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jeffkazmierski/Documents/GitHub/Zdetl/Zhodani Ships/"/>
    </mc:Choice>
  </mc:AlternateContent>
  <xr:revisionPtr revIDLastSave="0" documentId="13_ncr:1_{F014A28D-7CDC-2C46-9F84-C01A8789B752}" xr6:coauthVersionLast="47" xr6:coauthVersionMax="47" xr10:uidLastSave="{00000000-0000-0000-0000-000000000000}"/>
  <bookViews>
    <workbookView xWindow="0" yWindow="500" windowWidth="28800" windowHeight="16380" tabRatio="874" firstSheet="7" activeTab="16"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C36" i="12"/>
  <c r="T65" i="12" s="1"/>
  <c r="A44" i="12"/>
  <c r="A43" i="12"/>
  <c r="A42" i="12"/>
  <c r="A41" i="12"/>
  <c r="A40" i="12"/>
  <c r="A39" i="12"/>
  <c r="A38" i="12"/>
  <c r="T73" i="12"/>
  <c r="T72" i="12"/>
  <c r="T71" i="12"/>
  <c r="T70" i="12"/>
  <c r="T69" i="12"/>
  <c r="T68" i="12"/>
  <c r="T67" i="12"/>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D24" i="15"/>
  <c r="D19" i="15"/>
  <c r="D14" i="15"/>
  <c r="D29" i="15"/>
  <c r="S9" i="15"/>
  <c r="D9" i="15"/>
  <c r="AX136" i="19"/>
  <c r="AW136" i="19"/>
  <c r="Z156" i="19"/>
  <c r="X154" i="19"/>
  <c r="AB153" i="19"/>
  <c r="Z154" i="19"/>
  <c r="AG117" i="19"/>
  <c r="C7" i="12"/>
  <c r="T42" i="12"/>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G225" i="21" s="1"/>
  <c r="H82" i="21"/>
  <c r="D46" i="3"/>
  <c r="V21" i="7"/>
  <c r="E9" i="2"/>
  <c r="H355" i="21"/>
  <c r="E34" i="13"/>
  <c r="H51" i="21"/>
  <c r="H71" i="21"/>
  <c r="J72"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G83" i="21" s="1"/>
  <c r="H84" i="21"/>
  <c r="G84" i="21" s="1"/>
  <c r="H85" i="21"/>
  <c r="G85" i="21" s="1"/>
  <c r="H86" i="21"/>
  <c r="G86" i="21" s="1"/>
  <c r="H87" i="21"/>
  <c r="H88" i="21"/>
  <c r="H89" i="21"/>
  <c r="H90" i="21"/>
  <c r="H91" i="21"/>
  <c r="H92" i="21"/>
  <c r="H93" i="21"/>
  <c r="G93" i="21" s="1"/>
  <c r="H94" i="21"/>
  <c r="G94" i="21" s="1"/>
  <c r="H95" i="21"/>
  <c r="G95" i="21" s="1"/>
  <c r="H96" i="21"/>
  <c r="G96" i="21" s="1"/>
  <c r="H97" i="21"/>
  <c r="H98" i="21"/>
  <c r="G98" i="21" s="1"/>
  <c r="H99" i="21"/>
  <c r="H100" i="21"/>
  <c r="G100" i="21" s="1"/>
  <c r="H101" i="21"/>
  <c r="G101" i="21" s="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H217" i="21"/>
  <c r="G217" i="21" s="1"/>
  <c r="H219" i="21"/>
  <c r="H220" i="2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H296" i="21"/>
  <c r="G296" i="21" s="1"/>
  <c r="H297" i="21"/>
  <c r="G297" i="21" s="1"/>
  <c r="H300" i="21"/>
  <c r="G300" i="21" s="1"/>
  <c r="H304" i="21"/>
  <c r="H301" i="21"/>
  <c r="H302" i="21"/>
  <c r="G302" i="21" s="1"/>
  <c r="H303" i="21"/>
  <c r="G303" i="21" s="1"/>
  <c r="H326" i="21"/>
  <c r="G326" i="21" s="1"/>
  <c r="I326" i="21"/>
  <c r="H330" i="21"/>
  <c r="G330" i="21" s="1"/>
  <c r="H331" i="21"/>
  <c r="G331" i="21" s="1"/>
  <c r="H332" i="21"/>
  <c r="H333" i="21"/>
  <c r="G333" i="21" s="1"/>
  <c r="H334" i="21"/>
  <c r="G334" i="21" s="1"/>
  <c r="I334" i="21"/>
  <c r="H335" i="21"/>
  <c r="G335" i="21" s="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221" i="21" l="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G87" i="21"/>
  <c r="G88" i="21" s="1"/>
  <c r="G89" i="21" s="1"/>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X474" i="10" s="1"/>
  <c r="AS481" i="10"/>
  <c r="X481" i="10" s="1"/>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X440" i="10" s="1"/>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90" i="21" l="1"/>
  <c r="G91" i="21" s="1"/>
  <c r="G92" i="21" s="1"/>
  <c r="G295" i="21"/>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345" i="21" s="1"/>
  <c r="H26" i="13"/>
  <c r="H349" i="21" s="1"/>
  <c r="H18" i="13"/>
  <c r="H341" i="21" s="1"/>
  <c r="I347" i="21"/>
  <c r="D12" i="12"/>
  <c r="G97" i="21" l="1"/>
  <c r="G99" i="21" s="1"/>
  <c r="H351" i="21"/>
  <c r="H347" i="21"/>
  <c r="H343" i="21"/>
  <c r="E4" i="21"/>
  <c r="E5" i="21" s="1"/>
  <c r="AW9" i="10"/>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F4" i="21" l="1"/>
  <c r="I222" i="2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H169" i="21"/>
  <c r="G169" i="21" s="1"/>
  <c r="H164" i="2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G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9" i="21" l="1"/>
  <c r="G332" i="21" s="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H3" i="16" l="1"/>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F14" i="15" s="1"/>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20" i="8"/>
  <c r="J88"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F9" i="15" l="1"/>
  <c r="AU90" i="19"/>
  <c r="AT90" i="19"/>
  <c r="AD90" i="19"/>
  <c r="AC90" i="19"/>
  <c r="AZ90" i="19"/>
  <c r="AB90" i="19"/>
  <c r="AY90" i="19"/>
  <c r="AX90" i="19"/>
  <c r="AW90" i="19"/>
  <c r="AS90" i="19"/>
  <c r="AV90" i="19"/>
  <c r="AX85" i="19"/>
  <c r="AD85" i="19"/>
  <c r="AW85" i="19"/>
  <c r="AC85" i="19"/>
  <c r="AV85" i="19"/>
  <c r="AB85" i="19"/>
  <c r="AS85" i="19"/>
  <c r="AU85" i="19"/>
  <c r="AT85" i="19"/>
  <c r="AZ85" i="19"/>
  <c r="AY85" i="19"/>
  <c r="AC88" i="19"/>
  <c r="AS88" i="19"/>
  <c r="AZ88" i="19"/>
  <c r="AB88" i="19"/>
  <c r="AY88" i="19"/>
  <c r="AX88" i="19"/>
  <c r="AW88" i="19"/>
  <c r="AV88" i="19"/>
  <c r="AU88" i="19"/>
  <c r="AT88" i="19"/>
  <c r="AD88"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S32" i="19" s="1"/>
  <c r="AG33" i="19"/>
  <c r="AS33" i="19" s="1"/>
  <c r="AG28" i="19"/>
  <c r="AS28" i="19" s="1"/>
  <c r="AG34" i="19"/>
  <c r="AS34" i="19" s="1"/>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20" i="8"/>
  <c r="I88" i="21" s="1"/>
  <c r="K20"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67"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H28" i="19"/>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X93" i="19" l="1"/>
  <c r="AD93" i="19"/>
  <c r="AW93" i="19"/>
  <c r="AC93" i="19"/>
  <c r="AY93" i="19"/>
  <c r="AV93" i="19"/>
  <c r="AB93" i="19"/>
  <c r="AU93" i="19"/>
  <c r="AS93" i="19"/>
  <c r="AT93" i="19"/>
  <c r="AZ93" i="19"/>
  <c r="AZ95" i="19"/>
  <c r="AS95" i="19"/>
  <c r="AY95" i="19"/>
  <c r="AD95" i="19"/>
  <c r="AX95" i="19"/>
  <c r="AC95" i="19"/>
  <c r="AW95" i="19"/>
  <c r="AB95" i="19"/>
  <c r="AV95" i="19"/>
  <c r="AU95" i="19"/>
  <c r="AT95" i="19"/>
  <c r="AZ87" i="19"/>
  <c r="AY87" i="19"/>
  <c r="AS87" i="19"/>
  <c r="AX87" i="19"/>
  <c r="AD87" i="19"/>
  <c r="AW87" i="19"/>
  <c r="AC87" i="19"/>
  <c r="AV87" i="19"/>
  <c r="AB87" i="19"/>
  <c r="AU87" i="19"/>
  <c r="AT87" i="19"/>
  <c r="AT96" i="19"/>
  <c r="AC96" i="19"/>
  <c r="AS96" i="19"/>
  <c r="AB96" i="19"/>
  <c r="AZ96" i="19"/>
  <c r="AY96" i="19"/>
  <c r="AX96" i="19"/>
  <c r="AW96" i="19"/>
  <c r="AV96" i="19"/>
  <c r="AU96" i="19"/>
  <c r="AD96" i="19"/>
  <c r="AZ94" i="19"/>
  <c r="AY94" i="19"/>
  <c r="AX94" i="19"/>
  <c r="AS94" i="19"/>
  <c r="AW94" i="19"/>
  <c r="AV94" i="19"/>
  <c r="AU94" i="19"/>
  <c r="AD94" i="19"/>
  <c r="AT94" i="19"/>
  <c r="AC94" i="19"/>
  <c r="AB94" i="19"/>
  <c r="AW84" i="19"/>
  <c r="AV84" i="19"/>
  <c r="AU84" i="19"/>
  <c r="AT84" i="19"/>
  <c r="AD84" i="19"/>
  <c r="AS84" i="19"/>
  <c r="AC84" i="19"/>
  <c r="AZ84" i="19"/>
  <c r="AB84" i="19"/>
  <c r="AY84" i="19"/>
  <c r="AX84" i="19"/>
  <c r="AV91" i="19"/>
  <c r="AB91" i="19"/>
  <c r="AU91" i="19"/>
  <c r="AT91" i="19"/>
  <c r="AZ91" i="19"/>
  <c r="AY91" i="19"/>
  <c r="AS91" i="19"/>
  <c r="AX91" i="19"/>
  <c r="AD91" i="19"/>
  <c r="AW91" i="19"/>
  <c r="AC91" i="19"/>
  <c r="AU97" i="19"/>
  <c r="AT97" i="19"/>
  <c r="AZ97" i="19"/>
  <c r="AY97" i="19"/>
  <c r="AD97" i="19"/>
  <c r="AX97" i="19"/>
  <c r="AC97" i="19"/>
  <c r="AW97" i="19"/>
  <c r="AB97" i="19"/>
  <c r="AV97" i="19"/>
  <c r="AS97" i="19"/>
  <c r="AY86" i="19"/>
  <c r="AX86" i="19"/>
  <c r="AW86" i="19"/>
  <c r="AV86" i="19"/>
  <c r="AU86" i="19"/>
  <c r="AT86" i="19"/>
  <c r="AD86" i="19"/>
  <c r="AC86" i="19"/>
  <c r="AS86" i="19"/>
  <c r="AZ86" i="19"/>
  <c r="AB86" i="19"/>
  <c r="AW92" i="19"/>
  <c r="AV92" i="19"/>
  <c r="AU92" i="19"/>
  <c r="AT92" i="19"/>
  <c r="AD92" i="19"/>
  <c r="AC92" i="19"/>
  <c r="AS92" i="19"/>
  <c r="AZ92" i="19"/>
  <c r="AB92" i="19"/>
  <c r="AY92" i="19"/>
  <c r="AX92" i="19"/>
  <c r="AT89" i="19"/>
  <c r="AZ89" i="19"/>
  <c r="AY89" i="19"/>
  <c r="AX89" i="19"/>
  <c r="AD89" i="19"/>
  <c r="AW89" i="19"/>
  <c r="AC89" i="19"/>
  <c r="AV89" i="19"/>
  <c r="AB89" i="19"/>
  <c r="AU89" i="19"/>
  <c r="AS89"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J82" i="21"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Q31" i="19"/>
  <c r="AV103"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I205" i="21"/>
  <c r="F49" i="10"/>
  <c r="J146" i="21" s="1"/>
  <c r="I146" i="21"/>
  <c r="G148" i="21"/>
  <c r="H146" i="2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J145" i="21"/>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S32" i="12" s="1"/>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G213" i="21" s="1"/>
  <c r="D13" i="16"/>
  <c r="F12" i="16"/>
  <c r="J211" i="21" s="1"/>
  <c r="F11" i="16"/>
  <c r="J210" i="21" s="1"/>
  <c r="D23" i="10"/>
  <c r="F23" i="10"/>
  <c r="J201" i="21" s="1"/>
  <c r="K62" i="10"/>
  <c r="F63" i="10"/>
  <c r="J158" i="21" s="1"/>
  <c r="K60" i="10"/>
  <c r="F61" i="10"/>
  <c r="J156" i="21" s="1"/>
  <c r="F64" i="10"/>
  <c r="J159" i="21" s="1"/>
  <c r="F58" i="10"/>
  <c r="J154" i="21" s="1"/>
  <c r="K54" i="10"/>
  <c r="D12" i="10"/>
  <c r="H192" i="21" s="1"/>
  <c r="F11" i="10"/>
  <c r="J191" i="21" s="1"/>
  <c r="J396" i="21"/>
  <c r="B4" i="7"/>
  <c r="D2" i="7"/>
  <c r="B4" i="6"/>
  <c r="B13" i="6"/>
  <c r="B2" i="6"/>
  <c r="B1" i="6"/>
  <c r="S9" i="4"/>
  <c r="T7" i="4"/>
  <c r="T6" i="4"/>
  <c r="T5" i="4"/>
  <c r="T4" i="4"/>
  <c r="T3" i="4"/>
  <c r="U3" i="4" s="1"/>
  <c r="T2" i="4"/>
  <c r="T44" i="4"/>
  <c r="B2" i="4"/>
  <c r="B1" i="4"/>
  <c r="G191" i="21" l="1"/>
  <c r="G192" i="21" s="1"/>
  <c r="I12" i="1"/>
  <c r="K3" i="5"/>
  <c r="A49" i="12"/>
  <c r="T78" i="12"/>
  <c r="I302" i="21"/>
  <c r="S26" i="12"/>
  <c r="I20" i="1"/>
  <c r="K3" i="13"/>
  <c r="O20" i="4"/>
  <c r="K3" i="12"/>
  <c r="A9" i="5"/>
  <c r="H8" i="5"/>
  <c r="AQ28" i="19"/>
  <c r="J130" i="21"/>
  <c r="F5" i="15"/>
  <c r="G17" i="1" s="1"/>
  <c r="E11" i="21"/>
  <c r="F10" i="21"/>
  <c r="V28" i="10"/>
  <c r="H466" i="21" s="1"/>
  <c r="G466" i="21" s="1"/>
  <c r="S21" i="8"/>
  <c r="S17" i="8"/>
  <c r="K3" i="8"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G342" i="21" s="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S32" i="10"/>
  <c r="K3" i="10" s="1"/>
  <c r="L6" i="8"/>
  <c r="L15" i="4"/>
  <c r="M4" i="1" s="1"/>
  <c r="L6" i="15"/>
  <c r="L6" i="3"/>
  <c r="L6" i="5"/>
  <c r="L6" i="2"/>
  <c r="M3" i="1"/>
  <c r="G163" i="21" l="1"/>
  <c r="G164" i="21" s="1"/>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I15" i="1"/>
  <c r="G20" i="1"/>
  <c r="I18" i="1"/>
  <c r="I16" i="1"/>
  <c r="G16" i="1"/>
  <c r="S95" i="3"/>
  <c r="G21" i="21" s="1"/>
  <c r="AT39" i="3"/>
  <c r="AT41" i="3"/>
  <c r="AT42" i="3"/>
  <c r="AT40" i="3"/>
  <c r="H33" i="8"/>
  <c r="I100" i="21" s="1"/>
  <c r="S93" i="3"/>
  <c r="O16" i="4"/>
  <c r="T29" i="4"/>
  <c r="T17" i="4"/>
  <c r="H12" i="4" s="1"/>
  <c r="T27" i="4"/>
  <c r="T28" i="4"/>
  <c r="V32" i="6"/>
  <c r="T32" i="6" s="1"/>
  <c r="H17" i="6" s="1"/>
  <c r="L6" i="12"/>
  <c r="L6" i="13"/>
  <c r="L6" i="16"/>
  <c r="P6" i="11"/>
  <c r="L6" i="10"/>
  <c r="V9" i="6"/>
  <c r="T9" i="6" s="1"/>
  <c r="I17" i="1" l="1"/>
  <c r="E13" i="21"/>
  <c r="F12" i="21"/>
  <c r="X2" i="4"/>
  <c r="X7" i="4"/>
  <c r="X6" i="4"/>
  <c r="X4" i="4"/>
  <c r="X5" i="4"/>
  <c r="AW17" i="10"/>
  <c r="AX16" i="10"/>
  <c r="G131" i="21"/>
  <c r="G132" i="21" s="1"/>
  <c r="T45" i="4"/>
  <c r="I18" i="21"/>
  <c r="C44" i="1"/>
  <c r="E44" i="1" s="1"/>
  <c r="G347" i="21"/>
  <c r="G349" i="21" s="1"/>
  <c r="G351" i="21" s="1"/>
  <c r="G352" i="21" s="1"/>
  <c r="G353" i="21"/>
  <c r="J402" i="21"/>
  <c r="H402" i="21"/>
  <c r="J401" i="21"/>
  <c r="H401" i="21"/>
  <c r="I44" i="21"/>
  <c r="G354" i="21"/>
  <c r="S14" i="8"/>
  <c r="U76" i="12" s="1"/>
  <c r="I26" i="21"/>
  <c r="H15" i="4"/>
  <c r="H27" i="21" s="1"/>
  <c r="H16" i="4"/>
  <c r="H31" i="21" s="1"/>
  <c r="J18" i="21"/>
  <c r="G18" i="21" s="1"/>
  <c r="S57" i="2"/>
  <c r="H3" i="2" s="1"/>
  <c r="AZ9" i="3"/>
  <c r="AZ8" i="3"/>
  <c r="S98" i="3"/>
  <c r="X3" i="4"/>
  <c r="S22" i="8"/>
  <c r="F33" i="8" s="1"/>
  <c r="J100" i="21" s="1"/>
  <c r="E25" i="3"/>
  <c r="A47" i="12" l="1"/>
  <c r="T76" i="12"/>
  <c r="E14" i="21"/>
  <c r="F13" i="21"/>
  <c r="H15" i="1"/>
  <c r="H3" i="8"/>
  <c r="H10" i="5"/>
  <c r="H32" i="21" s="1"/>
  <c r="AX17" i="10"/>
  <c r="AW18" i="10"/>
  <c r="G355" i="21"/>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H22" i="6"/>
  <c r="U17" i="4"/>
  <c r="B2" i="3"/>
  <c r="B2" i="2"/>
  <c r="E15" i="21" l="1"/>
  <c r="F14" i="21"/>
  <c r="H11" i="1"/>
  <c r="H3" i="4"/>
  <c r="AW19" i="10"/>
  <c r="AX18" i="10"/>
  <c r="F32" i="7"/>
  <c r="F5" i="7" s="1"/>
  <c r="C45" i="1"/>
  <c r="E45" i="1" s="1"/>
  <c r="G32" i="21"/>
  <c r="I32" i="21"/>
  <c r="F22" i="6"/>
  <c r="I50"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F15" i="21" l="1"/>
  <c r="E16" i="21"/>
  <c r="AW20" i="10"/>
  <c r="AX19" i="10"/>
  <c r="J67" i="21"/>
  <c r="G14" i="1"/>
  <c r="D46" i="1"/>
  <c r="A45" i="1"/>
  <c r="H415" i="21" s="1"/>
  <c r="G33" i="21"/>
  <c r="J50"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E18" i="21" l="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T79" i="12" l="1"/>
  <c r="A50" i="12"/>
  <c r="F18" i="21"/>
  <c r="E19" i="21"/>
  <c r="H18" i="1"/>
  <c r="H3" i="10"/>
  <c r="AW23" i="10"/>
  <c r="AX22" i="10"/>
  <c r="G194" i="21"/>
  <c r="C47" i="1"/>
  <c r="E47" i="1"/>
  <c r="J406" i="21"/>
  <c r="H406" i="21"/>
  <c r="F19" i="11"/>
  <c r="F5" i="10"/>
  <c r="G18" i="1" s="1"/>
  <c r="F53" i="3"/>
  <c r="C13" i="11"/>
  <c r="H14" i="3"/>
  <c r="H13" i="3" s="1"/>
  <c r="AR125" i="20"/>
  <c r="S33" i="8"/>
  <c r="DK49" i="17"/>
  <c r="D13" i="11"/>
  <c r="P14" i="3"/>
  <c r="V12" i="11"/>
  <c r="F12" i="11" s="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9" i="21" l="1"/>
  <c r="E20" i="21"/>
  <c r="G195" i="21"/>
  <c r="G196" i="21"/>
  <c r="G197" i="21" s="1"/>
  <c r="AW24" i="10"/>
  <c r="AX23" i="10"/>
  <c r="H379" i="21"/>
  <c r="G379" i="21" s="1"/>
  <c r="T19" i="6"/>
  <c r="G198" i="21"/>
  <c r="D48" i="1"/>
  <c r="A47" i="1"/>
  <c r="H417" i="21" s="1"/>
  <c r="G19" i="11"/>
  <c r="J386" i="21" s="1"/>
  <c r="H386" i="21"/>
  <c r="T100" i="3"/>
  <c r="F13" i="3"/>
  <c r="I19" i="21"/>
  <c r="V13" i="11"/>
  <c r="F13" i="11" s="1"/>
  <c r="H380" i="21" s="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H34" i="3"/>
  <c r="I22" i="21" s="1"/>
  <c r="U43" i="3"/>
  <c r="U42" i="3"/>
  <c r="U41" i="3"/>
  <c r="U40" i="3"/>
  <c r="U37" i="3"/>
  <c r="U38" i="3"/>
  <c r="U39" i="3"/>
  <c r="U36" i="3"/>
  <c r="U30" i="3"/>
  <c r="K28" i="3" l="1"/>
  <c r="S66" i="3" s="1"/>
  <c r="L3" i="1" s="1"/>
  <c r="K6" i="5" s="1"/>
  <c r="E21" i="21"/>
  <c r="F20" i="21"/>
  <c r="G203" i="21"/>
  <c r="AW25" i="10"/>
  <c r="AX24" i="10"/>
  <c r="A6" i="6"/>
  <c r="W2" i="6"/>
  <c r="S2" i="6"/>
  <c r="C48" i="1"/>
  <c r="E48" i="1"/>
  <c r="H399" i="21"/>
  <c r="G380" i="21"/>
  <c r="G12" i="11"/>
  <c r="J379" i="21" s="1"/>
  <c r="G13" i="11"/>
  <c r="J380" i="21" s="1"/>
  <c r="O26" i="4"/>
  <c r="G9" i="1"/>
  <c r="AT47" i="3"/>
  <c r="F21" i="3" s="1"/>
  <c r="J21" i="21" s="1"/>
  <c r="F34" i="3"/>
  <c r="J22" i="21" s="1"/>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K3" i="3" l="1"/>
  <c r="O12" i="4"/>
  <c r="I10" i="1"/>
  <c r="G204" i="21"/>
  <c r="G205" i="21" s="1"/>
  <c r="G206" i="21" s="1"/>
  <c r="E22" i="21"/>
  <c r="F21" i="21"/>
  <c r="AX25" i="10"/>
  <c r="AW26" i="10"/>
  <c r="B9" i="6"/>
  <c r="S11" i="6"/>
  <c r="T44" i="6" s="1"/>
  <c r="H9" i="6"/>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G207" i="21" l="1"/>
  <c r="G208" i="21" s="1"/>
  <c r="F22" i="21"/>
  <c r="E23" i="21"/>
  <c r="AW27" i="10"/>
  <c r="AX26" i="10"/>
  <c r="U13" i="6"/>
  <c r="F10" i="6" s="1"/>
  <c r="J43" i="21" s="1"/>
  <c r="J42" i="21"/>
  <c r="T42" i="6"/>
  <c r="I42" i="21"/>
  <c r="S17" i="6"/>
  <c r="U75" i="12" s="1"/>
  <c r="C49" i="1"/>
  <c r="E49" i="1"/>
  <c r="F26" i="3"/>
  <c r="J24" i="21" s="1"/>
  <c r="G215" i="21" l="1"/>
  <c r="G218" i="21" s="1"/>
  <c r="A46" i="12"/>
  <c r="T75" i="12"/>
  <c r="H3" i="6"/>
  <c r="F23" i="21"/>
  <c r="E24" i="21"/>
  <c r="AW28" i="10"/>
  <c r="AX27" i="10"/>
  <c r="F5" i="6"/>
  <c r="G13" i="1" s="1"/>
  <c r="T43" i="6"/>
  <c r="T37" i="6" s="1"/>
  <c r="H461" i="21" s="1"/>
  <c r="G461" i="21" s="1"/>
  <c r="H13" i="1"/>
  <c r="D50" i="1"/>
  <c r="A49" i="1"/>
  <c r="H419" i="21" s="1"/>
  <c r="U100" i="3"/>
  <c r="F9" i="12"/>
  <c r="F7" i="12" s="1"/>
  <c r="G219" i="21" l="1"/>
  <c r="G220" i="21" s="1"/>
  <c r="F24" i="21"/>
  <c r="E25" i="21"/>
  <c r="AW29" i="10"/>
  <c r="AX28" i="10"/>
  <c r="C50" i="1"/>
  <c r="E50" i="1"/>
  <c r="B26" i="1"/>
  <c r="J374" i="21" s="1"/>
  <c r="O27" i="4"/>
  <c r="O29" i="4"/>
  <c r="O28" i="4"/>
  <c r="H47" i="3"/>
  <c r="I20" i="21" s="1"/>
  <c r="F25" i="21" l="1"/>
  <c r="E26" i="21"/>
  <c r="AX29" i="10"/>
  <c r="AW30" i="10"/>
  <c r="D51" i="1"/>
  <c r="A50" i="1"/>
  <c r="H420" i="21" s="1"/>
  <c r="T90" i="3"/>
  <c r="U70" i="3"/>
  <c r="F42" i="3" s="1"/>
  <c r="S63" i="3"/>
  <c r="U74" i="12" l="1"/>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C88" i="21" s="1"/>
  <c r="D299" i="21"/>
  <c r="C239" i="21"/>
  <c r="B41" i="21"/>
  <c r="D227" i="21"/>
  <c r="A74" i="21"/>
  <c r="D193" i="21"/>
  <c r="A275" i="21"/>
  <c r="C106" i="21"/>
  <c r="A21" i="21"/>
  <c r="D332" i="21"/>
  <c r="C70" i="21"/>
  <c r="A333" i="21"/>
  <c r="A339" i="21"/>
  <c r="B128" i="21"/>
  <c r="A102" i="21"/>
  <c r="C190" i="21"/>
  <c r="A310" i="21"/>
  <c r="A143" i="21"/>
  <c r="B284" i="21"/>
  <c r="D303" i="21"/>
  <c r="A50" i="21"/>
  <c r="A219" i="21"/>
  <c r="A220" i="21"/>
  <c r="A147" i="21"/>
  <c r="C10" i="21"/>
  <c r="B227" i="21"/>
  <c r="C60" i="21"/>
  <c r="A241" i="21"/>
  <c r="D284" i="21"/>
  <c r="D201" i="21"/>
  <c r="A316" i="21"/>
  <c r="A111" i="21"/>
  <c r="D57" i="21"/>
  <c r="C25" i="21"/>
  <c r="B67" i="21"/>
  <c r="B66" i="21"/>
  <c r="D174" i="21"/>
  <c r="A233" i="21"/>
  <c r="D40" i="21"/>
  <c r="C291" i="21"/>
  <c r="B56" i="21"/>
  <c r="B181" i="21"/>
  <c r="A58" i="21"/>
  <c r="C219" i="21"/>
  <c r="C334" i="21"/>
  <c r="B81" i="21"/>
  <c r="A149" i="21"/>
  <c r="D126" i="21"/>
  <c r="B65" i="21"/>
  <c r="D286" i="21"/>
  <c r="B317" i="21"/>
  <c r="D207" i="21"/>
  <c r="C277" i="21"/>
  <c r="C206" i="21"/>
  <c r="A257" i="21"/>
  <c r="B244" i="21"/>
  <c r="B40" i="21"/>
  <c r="D42" i="21"/>
  <c r="C28" i="21"/>
  <c r="D156" i="21"/>
  <c r="C303" i="21"/>
  <c r="A12" i="21"/>
  <c r="D164" i="21"/>
  <c r="C253" i="21"/>
  <c r="A237" i="21"/>
  <c r="A10" i="21"/>
  <c r="D97" i="21"/>
  <c r="B232" i="21"/>
  <c r="A62" i="21"/>
  <c r="A199" i="21"/>
  <c r="C160" i="21"/>
  <c r="C205" i="21"/>
  <c r="A123" i="21"/>
  <c r="C230" i="21"/>
  <c r="D312" i="21"/>
  <c r="B168" i="21"/>
  <c r="C267" i="21"/>
  <c r="A297" i="21"/>
  <c r="D152" i="21"/>
  <c r="B121" i="21"/>
  <c r="A116"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 r="A129" i="21" l="1"/>
  <c r="B312" i="21"/>
  <c r="A234" i="21"/>
  <c r="B207" i="21"/>
  <c r="D317" i="21"/>
  <c r="B309" i="21"/>
  <c r="C304" i="21"/>
  <c r="B233" i="21"/>
  <c r="C170" i="21"/>
  <c r="D328" i="21"/>
  <c r="B305" i="21"/>
  <c r="D155" i="21"/>
  <c r="B14" i="21"/>
  <c r="B165" i="21"/>
  <c r="D279" i="21"/>
  <c r="D140" i="21"/>
  <c r="C173" i="21"/>
  <c r="C327" i="21"/>
  <c r="A117" i="21"/>
  <c r="B206" i="21"/>
  <c r="B152" i="21"/>
  <c r="B292" i="21"/>
  <c r="D52" i="21"/>
  <c r="B158" i="21"/>
  <c r="D88" i="21"/>
  <c r="D298" i="21"/>
  <c r="B141" i="21"/>
  <c r="B78" i="21"/>
  <c r="C236" i="21"/>
  <c r="B241" i="21"/>
  <c r="C276" i="21"/>
  <c r="A66" i="21"/>
  <c r="B285" i="21"/>
  <c r="D236" i="21"/>
  <c r="B157" i="21"/>
  <c r="B270" i="21"/>
  <c r="A73" i="21"/>
  <c r="D68" i="21"/>
  <c r="A23" i="21"/>
  <c r="B42" i="21"/>
  <c r="A183" i="21"/>
  <c r="C202" i="21"/>
  <c r="A79" i="21"/>
  <c r="D275" i="21"/>
  <c r="A321" i="21"/>
  <c r="D190" i="21"/>
  <c r="B219" i="21"/>
  <c r="D70" i="21"/>
  <c r="C94" i="21"/>
</calcChain>
</file>

<file path=xl/sharedStrings.xml><?xml version="1.0" encoding="utf-8"?>
<sst xmlns="http://schemas.openxmlformats.org/spreadsheetml/2006/main" count="4643" uniqueCount="2462">
  <si>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</si>
  <si>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</si>
  <si>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</si>
  <si>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</si>
  <si>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</si>
  <si>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</si>
  <si>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</si>
  <si>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</si>
  <si>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</si>
  <si>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</si>
  <si>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</si>
  <si>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</si>
  <si>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</si>
  <si>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</si>
  <si>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</si>
  <si>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</si>
  <si>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</si>
  <si>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</si>
  <si>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</si>
  <si>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</si>
  <si>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</si>
  <si>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</si>
  <si>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</si>
  <si>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</si>
  <si>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</si>
  <si>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</si>
  <si>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</si>
  <si>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</si>
  <si>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</si>
  <si>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</si>
  <si>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</si>
  <si>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</si>
  <si>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</si>
  <si>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</si>
  <si>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</si>
  <si>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</si>
  <si>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</si>
  <si>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</si>
  <si>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</si>
  <si>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</si>
  <si>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</si>
  <si>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</si>
  <si>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</si>
  <si>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</si>
  <si>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</si>
  <si>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</si>
  <si>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</si>
  <si>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</si>
  <si>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</si>
  <si>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</si>
  <si>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</si>
  <si>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</si>
  <si>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</si>
  <si>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</si>
  <si>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</si>
  <si>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</si>
  <si>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</si>
  <si>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</si>
  <si>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</si>
  <si>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</si>
  <si>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</si>
  <si>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</si>
  <si>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</si>
  <si>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</si>
  <si>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</si>
  <si>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</si>
  <si>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</si>
  <si>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</si>
  <si>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</si>
  <si>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</si>
  <si>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</si>
  <si>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</si>
  <si>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</si>
  <si>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</si>
  <si>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</si>
  <si>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</si>
  <si>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</si>
  <si>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</si>
  <si>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</si>
  <si>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</si>
  <si>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</si>
  <si>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</si>
  <si>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</si>
  <si>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</si>
  <si>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</si>
  <si>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</si>
  <si>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</si>
  <si>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</si>
  <si>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</si>
  <si>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</si>
  <si>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</si>
  <si>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</si>
  <si>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</si>
  <si>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</si>
  <si>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</si>
  <si>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</si>
  <si>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</si>
  <si>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</si>
  <si>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</si>
  <si>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</si>
  <si>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</si>
  <si>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</si>
  <si>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</si>
  <si>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</si>
  <si>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</si>
  <si>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</si>
  <si>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</si>
  <si>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</si>
  <si>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</si>
  <si>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</si>
  <si>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</si>
  <si>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</si>
  <si>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</si>
  <si>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</si>
  <si>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</si>
  <si>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</si>
  <si>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</si>
  <si>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</si>
  <si>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</si>
  <si>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</si>
  <si>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</si>
  <si>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</si>
  <si>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</si>
  <si>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</si>
  <si>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</si>
  <si>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</si>
  <si>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</si>
  <si>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</si>
  <si>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</si>
  <si>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</si>
  <si>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</si>
  <si>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</si>
  <si>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</si>
  <si>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</si>
  <si>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</si>
  <si>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</si>
  <si>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</si>
  <si>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</si>
  <si>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</si>
  <si>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</si>
  <si>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</si>
  <si>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</si>
  <si>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</si>
  <si>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</si>
  <si>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</si>
  <si>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</si>
  <si>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</si>
  <si>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</si>
  <si>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</si>
  <si>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</si>
  <si>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</si>
  <si>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</si>
  <si>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</si>
  <si>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</si>
  <si>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</si>
  <si>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</si>
  <si>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</si>
  <si>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</si>
  <si>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</si>
  <si>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</si>
  <si>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</si>
  <si>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</si>
  <si>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</si>
  <si>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</si>
  <si>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</si>
  <si>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</si>
  <si>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</si>
  <si>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</si>
  <si>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</si>
  <si>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</si>
  <si>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</si>
  <si>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</si>
  <si>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</si>
  <si>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</si>
  <si>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</si>
  <si>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</si>
  <si>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</si>
  <si>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</si>
  <si>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</si>
  <si>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</si>
  <si>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</si>
  <si>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</si>
  <si>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</si>
  <si>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</si>
  <si>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</si>
  <si>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</si>
  <si>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</si>
  <si>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</si>
  <si>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</si>
  <si>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</si>
  <si>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</si>
  <si>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</si>
  <si>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</si>
  <si>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</si>
  <si>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</si>
  <si>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</si>
  <si>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</si>
  <si>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</si>
  <si>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</si>
  <si>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</si>
  <si>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</si>
  <si>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</si>
  <si>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</si>
  <si>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</si>
  <si>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</si>
  <si>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</si>
  <si>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</si>
  <si>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</si>
  <si>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</si>
  <si>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</si>
  <si>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</si>
  <si>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</si>
  <si>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</si>
  <si>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</si>
  <si>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</si>
  <si>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</si>
  <si>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</si>
  <si>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</si>
  <si>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</si>
  <si>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</si>
  <si>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</si>
  <si>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</si>
  <si>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</si>
  <si>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</si>
  <si>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</si>
  <si>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</si>
  <si>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</si>
  <si>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</si>
  <si>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</si>
  <si>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</si>
  <si>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</si>
  <si>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</si>
  <si>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</si>
  <si>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</si>
  <si>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</si>
  <si>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</si>
  <si>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</si>
  <si>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</si>
  <si>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</si>
  <si>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</si>
  <si>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</si>
  <si>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</si>
  <si>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</si>
  <si>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</si>
  <si>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</si>
  <si>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</si>
  <si>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</si>
  <si>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</si>
  <si>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</si>
  <si>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</si>
  <si>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</si>
  <si>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</si>
  <si>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</si>
  <si>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</si>
  <si>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</si>
  <si>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</si>
  <si>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</si>
  <si>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</si>
  <si>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</si>
  <si>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</si>
  <si>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</si>
  <si>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</si>
  <si>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</si>
  <si>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</si>
  <si>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</si>
  <si>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</si>
  <si>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</si>
  <si>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</si>
  <si>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</si>
  <si>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</si>
  <si>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</si>
  <si>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</si>
  <si>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</si>
  <si>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</si>
  <si>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</si>
  <si>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</si>
  <si>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</si>
  <si>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</si>
  <si>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</si>
  <si>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</si>
  <si>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</si>
  <si>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</si>
  <si>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</si>
  <si>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</si>
  <si>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</si>
  <si>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</si>
  <si>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</si>
  <si>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</si>
  <si>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</si>
  <si>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</si>
  <si>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</si>
  <si>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</si>
  <si>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</si>
  <si>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</si>
  <si>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</si>
  <si>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</si>
  <si>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</si>
  <si>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</si>
  <si>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</si>
  <si>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</si>
  <si>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</si>
  <si>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</si>
  <si>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</si>
  <si>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</si>
  <si>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</si>
  <si>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</si>
  <si>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</si>
  <si>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</si>
  <si>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</si>
  <si>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</si>
  <si>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</si>
  <si>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</si>
  <si>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</si>
  <si>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</si>
  <si>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</si>
  <si>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</si>
  <si>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</si>
  <si>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</si>
  <si>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</si>
  <si>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</si>
  <si>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</si>
  <si>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</si>
  <si>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</si>
  <si>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</si>
  <si>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</si>
  <si>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</si>
  <si>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</si>
  <si>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</si>
  <si>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</si>
  <si>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</si>
  <si>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</si>
  <si>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</si>
  <si>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</si>
  <si>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</si>
  <si>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</si>
  <si>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</si>
  <si>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</si>
  <si>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</si>
  <si>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</si>
  <si>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</si>
  <si>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</si>
  <si>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</si>
  <si>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</si>
  <si>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</si>
  <si>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</si>
  <si>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</si>
  <si>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</si>
  <si>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</si>
  <si>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</si>
  <si>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</si>
  <si>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</si>
  <si>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</si>
  <si>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</si>
  <si>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</si>
  <si>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</si>
  <si>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</si>
  <si>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</si>
  <si>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</si>
  <si>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</si>
  <si>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</si>
  <si>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</si>
  <si>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</si>
  <si>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</si>
  <si>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</si>
  <si>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</si>
  <si>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</si>
  <si>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</si>
  <si>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</si>
  <si>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</si>
  <si>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</si>
  <si>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</si>
  <si>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</si>
  <si>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</si>
  <si>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</si>
  <si>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</si>
  <si>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</si>
  <si>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</si>
  <si>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</si>
  <si>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</si>
  <si>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</si>
  <si>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</si>
  <si>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</si>
  <si>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</si>
  <si>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</si>
  <si>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</si>
  <si>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</si>
  <si>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</si>
  <si>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</si>
  <si>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</si>
  <si>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</si>
  <si>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</si>
  <si>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</si>
  <si>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</si>
  <si>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</si>
  <si>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</si>
  <si>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</si>
  <si>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</si>
  <si>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</si>
  <si>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</si>
  <si>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</si>
  <si>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</si>
  <si>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</si>
  <si>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</si>
  <si>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</si>
  <si>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</si>
  <si>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</si>
  <si>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</si>
  <si>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</si>
  <si>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</si>
  <si>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</si>
  <si>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</si>
  <si>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</si>
  <si>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</si>
  <si>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</si>
  <si>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</si>
  <si>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</si>
  <si>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</si>
  <si>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</si>
  <si>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</si>
  <si>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</si>
  <si>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</si>
  <si>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</si>
  <si>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</si>
  <si>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</si>
  <si>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</si>
  <si>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</si>
  <si>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</si>
  <si>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</si>
  <si>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</si>
  <si>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</si>
  <si>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</si>
  <si>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</si>
  <si>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</si>
  <si>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</si>
  <si>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</si>
  <si>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</si>
  <si>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</si>
  <si>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</si>
  <si>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</si>
  <si>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</si>
  <si>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</si>
  <si>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</si>
  <si>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</si>
  <si>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</si>
  <si>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</si>
  <si>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</si>
  <si>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</si>
  <si>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</si>
  <si>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</si>
  <si>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</si>
  <si>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</si>
  <si>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</si>
  <si>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</si>
  <si>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</si>
  <si>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</si>
  <si>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</si>
  <si>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</si>
  <si>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</si>
  <si>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</si>
  <si>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</si>
  <si>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</si>
  <si>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</si>
  <si>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</si>
  <si>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</si>
  <si>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</si>
  <si>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</si>
  <si>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</si>
  <si>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</si>
  <si>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</si>
  <si>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</si>
  <si>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</si>
  <si>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</si>
  <si>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</si>
  <si>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</si>
  <si>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</si>
  <si>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</si>
  <si>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</si>
  <si>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</si>
  <si>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</si>
  <si>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</si>
  <si>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</si>
  <si>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</si>
  <si>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</si>
  <si>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</si>
  <si>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</si>
  <si>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</si>
  <si>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</si>
  <si>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</si>
  <si>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</si>
  <si>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</si>
  <si>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</si>
  <si>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</si>
  <si>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</si>
  <si>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</si>
  <si>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</si>
  <si>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</si>
  <si>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</si>
  <si>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</si>
  <si>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</si>
  <si>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</si>
  <si>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</si>
  <si>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</si>
  <si>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</si>
  <si>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</si>
  <si>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</si>
  <si>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</si>
  <si>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</si>
  <si>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</si>
  <si>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</si>
  <si>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</si>
  <si>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</si>
  <si>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</si>
  <si>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</si>
  <si>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</si>
  <si>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</si>
  <si>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</si>
  <si>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</si>
  <si>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</si>
  <si>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</si>
  <si>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</si>
  <si>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</si>
  <si>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</si>
  <si>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</si>
  <si>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</si>
  <si>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</si>
  <si>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</si>
  <si>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</si>
  <si>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</si>
  <si>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</si>
  <si>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</si>
  <si>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</si>
  <si>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</si>
  <si>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</si>
  <si>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</si>
  <si>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</si>
  <si>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</si>
  <si>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</si>
  <si>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</si>
  <si>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</si>
  <si>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</si>
  <si>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</si>
  <si>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</si>
  <si>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</si>
  <si>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</si>
  <si>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</si>
  <si>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</si>
  <si>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</si>
  <si>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</si>
  <si>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</si>
  <si>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</si>
  <si>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</si>
  <si>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</si>
  <si>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</si>
  <si>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</si>
  <si>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</si>
  <si>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</si>
  <si>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</si>
  <si>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</si>
  <si>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</si>
  <si>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</si>
  <si>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</si>
  <si>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</si>
  <si>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</si>
  <si>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</si>
  <si>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</si>
  <si>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</si>
  <si>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</si>
  <si>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</si>
  <si>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</si>
  <si>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</si>
  <si>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</si>
  <si>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</si>
  <si>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</si>
  <si>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</si>
  <si>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</si>
  <si>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</si>
  <si>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</si>
  <si>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</si>
  <si>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</si>
  <si>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</si>
  <si>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</si>
  <si>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</si>
  <si>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</si>
  <si>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</si>
  <si>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</si>
  <si>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</si>
  <si>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</si>
  <si>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</si>
  <si>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</si>
  <si>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</si>
  <si>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</si>
  <si>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</si>
  <si>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</si>
  <si>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</si>
  <si>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</si>
  <si>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</si>
  <si>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</si>
  <si>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</si>
  <si>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</si>
  <si>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</si>
  <si>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</si>
  <si>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</si>
  <si>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</si>
  <si>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</si>
  <si>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</si>
  <si>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</si>
  <si>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</si>
  <si>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</si>
  <si>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</si>
  <si>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</si>
  <si>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</si>
  <si>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</si>
  <si>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</si>
  <si>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</si>
  <si>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</si>
  <si>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</si>
  <si>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</si>
  <si>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</si>
  <si>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</si>
  <si>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</si>
  <si>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</si>
  <si>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</si>
  <si>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</si>
  <si>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</si>
  <si>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</si>
  <si>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</si>
  <si>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</si>
  <si>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</si>
  <si>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</si>
  <si>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</si>
  <si>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</si>
  <si>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</si>
  <si>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</si>
  <si>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</si>
  <si>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</si>
  <si>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</si>
  <si>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</si>
  <si>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</si>
  <si>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</si>
  <si>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</si>
  <si>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</si>
  <si>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</si>
  <si>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</si>
  <si>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</si>
  <si>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</si>
  <si>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</si>
  <si>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</si>
  <si>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</si>
  <si>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</si>
  <si>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</si>
  <si>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</si>
  <si>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</si>
  <si>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</si>
  <si>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</si>
  <si>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</si>
  <si>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</si>
  <si>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</si>
  <si>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</si>
  <si>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</si>
  <si>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</si>
  <si>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</si>
  <si>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</si>
  <si>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</si>
  <si>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</si>
  <si>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</si>
  <si>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</si>
  <si>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</si>
  <si>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</si>
  <si>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</si>
  <si>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</si>
  <si>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</si>
  <si>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</si>
  <si>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</si>
  <si>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</si>
  <si>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</si>
  <si>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</si>
  <si>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</si>
  <si>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</si>
  <si>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</si>
  <si>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</si>
  <si>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</si>
  <si>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</si>
  <si>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</si>
  <si>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</si>
  <si>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</si>
  <si>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</si>
  <si>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</si>
  <si>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</si>
  <si>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</si>
  <si>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</si>
  <si>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</si>
  <si>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</si>
  <si>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</si>
  <si>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</si>
  <si>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</si>
  <si>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</si>
  <si>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</si>
  <si>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</si>
  <si>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</si>
  <si>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</si>
  <si>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</si>
  <si>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</si>
  <si>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</si>
  <si>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</si>
  <si>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</si>
  <si>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</si>
  <si>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</si>
  <si>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</si>
  <si>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</si>
  <si>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</si>
  <si>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</si>
  <si>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</si>
  <si>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</si>
  <si>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</si>
  <si>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</si>
  <si>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</si>
  <si>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</si>
  <si>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</si>
  <si>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</si>
  <si>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</si>
  <si>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</si>
  <si>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</si>
  <si>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</si>
  <si>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</si>
  <si>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</si>
  <si>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</si>
  <si>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</si>
  <si>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</si>
  <si>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</si>
  <si>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</si>
  <si>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</si>
  <si>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</si>
  <si>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</si>
  <si>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</si>
  <si>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</si>
  <si>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</si>
  <si>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</si>
  <si>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</si>
  <si>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</si>
  <si>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</si>
  <si>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</si>
  <si>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</si>
  <si>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</si>
  <si>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</si>
  <si>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</si>
  <si>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</si>
  <si>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</si>
  <si>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</si>
  <si>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</si>
  <si>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</si>
  <si>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</si>
  <si>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</si>
  <si>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</si>
  <si>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</si>
  <si>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</si>
  <si>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</si>
  <si>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</si>
  <si>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</si>
  <si>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</si>
  <si>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</si>
  <si>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</si>
  <si>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</si>
  <si>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</si>
  <si>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</si>
  <si>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</si>
  <si>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</si>
  <si>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</si>
  <si>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</si>
  <si>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</si>
  <si>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</si>
  <si>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</si>
  <si>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</si>
  <si>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</si>
  <si>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</si>
  <si>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</si>
  <si>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</si>
  <si>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</si>
  <si>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</si>
  <si>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</si>
  <si>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</si>
  <si>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</si>
  <si>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</si>
  <si>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</si>
  <si>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</si>
  <si>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</si>
  <si>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</si>
  <si>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</si>
  <si>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</si>
  <si>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</si>
  <si>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</si>
  <si>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</si>
  <si>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</si>
  <si>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</si>
  <si>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</si>
  <si>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</si>
  <si>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</si>
  <si>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</si>
  <si>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</si>
  <si>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</si>
  <si>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</si>
  <si>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</si>
  <si>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</si>
  <si>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</si>
  <si>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</si>
  <si>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</si>
  <si>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</si>
  <si>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</si>
  <si>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</si>
  <si>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</si>
  <si>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</si>
  <si>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</si>
  <si>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</si>
  <si>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</si>
  <si>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</si>
  <si>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</si>
  <si>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</si>
  <si>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</si>
  <si>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</si>
  <si>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</si>
  <si>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</si>
  <si>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</si>
  <si>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</si>
  <si>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</si>
  <si>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</si>
  <si>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</si>
  <si>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</si>
  <si>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</si>
  <si>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</si>
  <si>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</si>
  <si>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</si>
  <si>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</si>
  <si>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</si>
  <si>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</si>
  <si>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</si>
  <si>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</si>
  <si>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</si>
  <si>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</si>
  <si>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</si>
  <si>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</si>
  <si>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</si>
  <si>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</si>
  <si>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</si>
  <si>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</si>
  <si>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</si>
  <si>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</si>
  <si>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</si>
  <si>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</si>
  <si>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</si>
  <si>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</si>
  <si>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</si>
  <si>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</si>
  <si>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</si>
  <si>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</si>
  <si>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</si>
  <si>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</si>
  <si>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</si>
  <si>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</si>
  <si>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</si>
  <si>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</si>
  <si>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</si>
  <si>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</si>
  <si>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</si>
  <si>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</si>
  <si>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</si>
  <si>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</si>
  <si>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</si>
  <si>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</si>
  <si>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</si>
  <si>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</si>
  <si>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</si>
  <si>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</si>
  <si>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</si>
  <si>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</si>
  <si>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</si>
  <si>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</si>
  <si>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</si>
  <si>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</si>
  <si>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</si>
  <si>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</si>
  <si>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</si>
  <si>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</si>
  <si>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</si>
  <si>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</si>
  <si>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</si>
  <si>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</si>
  <si>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</si>
  <si>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</si>
  <si>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</si>
  <si>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</si>
  <si>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</si>
  <si>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</si>
  <si>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</si>
  <si>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</si>
  <si>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</si>
  <si>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</si>
  <si>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</si>
  <si>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</si>
  <si>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</si>
  <si>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</si>
  <si>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</si>
  <si>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</si>
  <si>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</si>
  <si>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</si>
  <si>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</si>
  <si>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</si>
  <si>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</si>
  <si>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</si>
  <si>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</si>
  <si>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</si>
  <si>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</si>
  <si>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</si>
  <si>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</si>
  <si>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</si>
  <si>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</si>
  <si>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</si>
  <si>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</si>
  <si>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</si>
  <si>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</si>
  <si>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</si>
  <si>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</si>
  <si>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</si>
  <si>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</si>
  <si>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</si>
  <si>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</si>
  <si>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</si>
  <si>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</si>
  <si>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</si>
  <si>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</si>
  <si>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</si>
  <si>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</si>
  <si>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</si>
  <si>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</si>
  <si>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</si>
  <si>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</si>
  <si>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</si>
  <si>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</si>
  <si>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</si>
  <si>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</si>
  <si>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</si>
  <si>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</si>
  <si>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</si>
  <si>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</si>
  <si>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</si>
  <si>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</si>
  <si>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</si>
  <si>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</si>
  <si>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</si>
  <si>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</si>
  <si>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</si>
  <si>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</si>
  <si>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</si>
  <si>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</si>
  <si>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</si>
  <si>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</si>
  <si>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</si>
  <si>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</si>
  <si>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</si>
  <si>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</si>
  <si>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</si>
  <si>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</si>
  <si>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</si>
  <si>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</si>
  <si>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</si>
  <si>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</si>
  <si>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</si>
  <si>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</si>
  <si>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</si>
  <si>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</si>
  <si>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</si>
  <si>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</si>
  <si>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</si>
  <si>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</si>
  <si>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</si>
  <si>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</si>
  <si>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</si>
  <si>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</si>
  <si>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</si>
  <si>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</si>
  <si>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</si>
  <si>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</si>
  <si>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</si>
  <si>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</si>
  <si>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</si>
  <si>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</si>
  <si>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</si>
  <si>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</si>
  <si>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</si>
  <si>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</si>
  <si>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</si>
  <si>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</si>
  <si>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</si>
  <si>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</si>
  <si>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</si>
  <si>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</si>
  <si>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</si>
  <si>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</si>
  <si>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</si>
  <si>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</si>
  <si>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</si>
  <si>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</si>
  <si>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</si>
  <si>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</si>
  <si>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</si>
  <si>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</si>
  <si>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</si>
  <si>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</si>
  <si>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</si>
  <si>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</si>
  <si>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</si>
  <si>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</si>
  <si>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</si>
  <si>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</si>
  <si>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</si>
  <si>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</si>
  <si>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</si>
  <si>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</si>
  <si>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</si>
  <si>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</si>
  <si>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</si>
  <si>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</si>
  <si>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</si>
  <si>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</si>
  <si>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</si>
  <si>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</si>
  <si>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</si>
  <si>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</si>
  <si>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</si>
  <si>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</si>
  <si>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</si>
  <si>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</si>
  <si>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</si>
  <si>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</si>
  <si>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</si>
  <si>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</si>
  <si>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</si>
  <si>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</si>
  <si>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</si>
  <si>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</si>
  <si>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</si>
  <si>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</si>
  <si>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</si>
  <si>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</si>
  <si>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</si>
  <si>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</si>
  <si>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</si>
  <si>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</si>
  <si>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</si>
  <si>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</si>
  <si>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</si>
  <si>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</si>
  <si>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</si>
  <si>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</si>
  <si>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</si>
  <si>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</si>
  <si>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</si>
  <si>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</si>
  <si>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</si>
  <si>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</si>
  <si>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</si>
  <si>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</si>
  <si>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</si>
  <si>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</si>
  <si>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</si>
  <si>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</si>
  <si>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</si>
  <si>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</si>
  <si>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</si>
  <si>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</si>
  <si>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</si>
  <si>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</si>
  <si>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</si>
  <si>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</si>
  <si>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</si>
  <si>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</si>
  <si>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</si>
  <si>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</si>
  <si>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</si>
  <si>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</si>
  <si>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</si>
  <si>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</si>
  <si>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</si>
  <si>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</si>
  <si>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</si>
  <si>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</si>
  <si>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</si>
  <si>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</si>
  <si>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</si>
  <si>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</si>
  <si>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</si>
  <si>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</si>
  <si>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</si>
  <si>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</si>
  <si>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</si>
  <si>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</si>
  <si>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</si>
  <si>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</si>
  <si>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</si>
  <si>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</si>
  <si>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</si>
  <si>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</si>
  <si>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</si>
  <si>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</si>
  <si>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</si>
  <si>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</si>
  <si>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</si>
  <si>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</si>
  <si>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</si>
  <si>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</si>
  <si>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</si>
  <si>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</si>
  <si>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</si>
  <si>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</si>
  <si>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</si>
  <si>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</si>
  <si>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</si>
  <si>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</si>
  <si>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</si>
  <si>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</si>
  <si>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</si>
  <si>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</si>
  <si>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</si>
  <si>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</si>
  <si>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</si>
  <si>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</si>
  <si>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</si>
  <si>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</si>
  <si>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</si>
  <si>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</si>
  <si>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</si>
  <si>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</si>
  <si>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</si>
  <si>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</si>
  <si>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</si>
  <si>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</si>
  <si>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</si>
  <si>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</si>
  <si>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</si>
  <si>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</si>
  <si>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</si>
  <si>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</si>
  <si>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</si>
  <si>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</si>
  <si>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</si>
  <si>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</si>
  <si>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</si>
  <si>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</si>
  <si>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</si>
  <si>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</si>
  <si>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</si>
  <si>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</si>
  <si>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</si>
  <si>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</si>
  <si>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</si>
  <si>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</si>
  <si>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</si>
  <si>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</si>
  <si>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</si>
  <si>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</si>
  <si>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</si>
  <si>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</si>
  <si>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</si>
  <si>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</si>
  <si>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</si>
  <si>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</si>
  <si>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</si>
  <si>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</si>
  <si>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</si>
  <si>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</si>
  <si>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</si>
  <si>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</si>
  <si>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</si>
  <si>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</si>
  <si>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</si>
  <si>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</si>
  <si>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</si>
  <si>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</si>
  <si>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</si>
  <si>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</si>
  <si>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</si>
  <si>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</si>
  <si>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</si>
  <si>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</si>
  <si>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</si>
  <si>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</si>
  <si>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</si>
  <si>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</si>
  <si>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</si>
  <si>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</si>
  <si>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</si>
  <si>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</si>
  <si>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</si>
  <si>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</si>
  <si>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</si>
  <si>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</si>
  <si>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</si>
  <si>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</si>
  <si>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</si>
  <si>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</si>
  <si>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</si>
  <si>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</si>
  <si>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</si>
  <si>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</si>
  <si>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</si>
  <si>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</si>
  <si>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</si>
  <si>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</si>
  <si>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</si>
  <si>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</si>
  <si>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</si>
  <si>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</si>
  <si>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</si>
  <si>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</si>
  <si>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</si>
  <si>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</si>
  <si>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</si>
  <si>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</si>
  <si>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</si>
  <si>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</si>
  <si>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</si>
  <si>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</si>
  <si>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</si>
  <si>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</si>
  <si>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</si>
  <si>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</si>
  <si>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</si>
  <si>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</si>
  <si>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</si>
  <si>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</si>
  <si>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</si>
  <si>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</si>
  <si>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</si>
  <si>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</si>
  <si>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</si>
  <si>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</si>
  <si>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</si>
  <si>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</si>
  <si>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</si>
  <si>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</si>
  <si>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</si>
  <si>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</si>
  <si>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</si>
  <si>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</si>
  <si>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</si>
  <si>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</si>
  <si>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</si>
  <si>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</si>
  <si>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</si>
  <si>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</si>
  <si>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</si>
  <si>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</si>
  <si>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</si>
  <si>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</si>
  <si>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</si>
  <si>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</si>
  <si>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</si>
  <si>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</si>
  <si>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</si>
  <si>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</si>
  <si>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</si>
  <si>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</si>
  <si>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</si>
  <si>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</si>
  <si>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</si>
  <si>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</si>
  <si>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</si>
  <si>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</si>
  <si>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</si>
  <si>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</si>
  <si>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</si>
  <si>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</si>
  <si>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</si>
  <si>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</si>
  <si>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</si>
  <si>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</si>
  <si>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</si>
  <si>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</si>
  <si>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</si>
  <si>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</si>
  <si>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</si>
  <si>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</si>
  <si>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</si>
  <si>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</si>
  <si>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</si>
  <si>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</si>
  <si>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</si>
  <si>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</si>
  <si>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</si>
  <si>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</si>
  <si>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</si>
  <si>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</si>
  <si>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</si>
  <si>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</si>
  <si>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</si>
  <si>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</si>
  <si>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</si>
  <si>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</si>
  <si>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</si>
  <si>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</si>
  <si>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</si>
  <si>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</si>
  <si>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</si>
  <si>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</si>
  <si>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</si>
  <si>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</si>
  <si>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</si>
  <si>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</si>
  <si>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</si>
  <si>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</si>
  <si>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</si>
  <si>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</si>
  <si>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</si>
  <si>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</si>
  <si>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</si>
  <si>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</si>
  <si>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</si>
  <si>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</si>
  <si>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</si>
  <si>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</si>
  <si>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</si>
  <si>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</si>
  <si>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</si>
  <si>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</si>
  <si>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</si>
  <si>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</si>
  <si>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</si>
  <si>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</si>
  <si>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</si>
  <si>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</si>
  <si>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</si>
  <si>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</si>
  <si>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</si>
  <si>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</si>
  <si>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</si>
  <si>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</si>
  <si>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</si>
  <si>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</si>
  <si>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</si>
  <si>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</si>
  <si>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</si>
  <si>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</si>
  <si>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</si>
  <si>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</si>
  <si>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</si>
  <si>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</si>
  <si>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</si>
  <si>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</si>
  <si>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</si>
  <si>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</si>
  <si>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</si>
  <si>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</si>
  <si>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</si>
  <si>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</si>
  <si>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</si>
  <si>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</si>
  <si>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</si>
  <si>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</si>
  <si>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</si>
  <si>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</si>
  <si>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</si>
  <si>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</si>
  <si>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</si>
  <si>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</si>
  <si>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</si>
  <si>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</si>
  <si>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</si>
  <si>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</si>
  <si>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</si>
  <si>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</si>
  <si>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</si>
  <si>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</si>
  <si>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</si>
  <si>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</si>
  <si>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</si>
  <si>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</si>
  <si>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</si>
  <si>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</si>
  <si>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</si>
  <si>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</si>
  <si>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</si>
  <si>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</si>
  <si>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</si>
  <si>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</si>
  <si>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</si>
  <si>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</si>
  <si>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</si>
  <si>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</si>
  <si>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</si>
  <si>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</si>
  <si>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</si>
  <si>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</si>
  <si>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</si>
  <si>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</si>
  <si>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</si>
  <si>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</si>
  <si>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</si>
  <si>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</si>
  <si>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</si>
  <si>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</si>
  <si>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</si>
  <si>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</si>
  <si>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</si>
  <si>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</si>
  <si>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</si>
  <si>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</si>
  <si>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</si>
  <si>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</si>
  <si>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</si>
  <si>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</si>
  <si>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</si>
  <si>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</si>
  <si>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</si>
  <si>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</si>
  <si>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</si>
  <si>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</si>
  <si>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</si>
  <si>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</si>
  <si>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</si>
  <si>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</si>
  <si>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</si>
  <si>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</si>
  <si>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</si>
  <si>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</si>
  <si>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</si>
  <si>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</si>
  <si>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</si>
  <si>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</si>
  <si>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</si>
  <si>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</si>
  <si>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</si>
  <si>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</si>
  <si>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</si>
  <si>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</si>
  <si>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</si>
  <si>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</si>
  <si>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</si>
  <si>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</si>
  <si>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</si>
  <si>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</si>
  <si>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</si>
  <si>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</si>
  <si>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</si>
  <si>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</si>
  <si>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</si>
  <si>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</si>
  <si>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</si>
  <si>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</si>
  <si>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</si>
  <si>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</si>
  <si>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</si>
  <si>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</si>
  <si>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</si>
  <si>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</si>
  <si>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</si>
  <si>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</si>
  <si>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</si>
  <si>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</si>
  <si>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</si>
  <si>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</si>
  <si>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</si>
  <si>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</si>
  <si>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</si>
  <si>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</si>
  <si>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</si>
  <si>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</si>
  <si>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</si>
  <si>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</si>
  <si>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</si>
  <si>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</si>
  <si>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</si>
  <si>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</si>
  <si>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</si>
  <si>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</si>
  <si>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</si>
  <si>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</si>
  <si>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</si>
  <si>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</si>
  <si>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</si>
  <si>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</si>
  <si>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</si>
  <si>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</si>
  <si>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</si>
  <si>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</si>
  <si>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</si>
  <si>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</si>
  <si>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</si>
  <si>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</si>
  <si>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</si>
  <si>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</si>
  <si>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</si>
  <si>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</si>
  <si>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</si>
  <si>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</si>
  <si>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</si>
  <si>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</si>
  <si>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</si>
  <si>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</si>
  <si>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</si>
  <si>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</si>
  <si>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</si>
  <si>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</si>
  <si>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</si>
  <si>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</si>
  <si>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</si>
  <si>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</si>
  <si>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</si>
  <si>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</si>
  <si>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</si>
  <si>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</si>
  <si>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</si>
  <si>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</si>
  <si>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</si>
  <si>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</si>
  <si>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</si>
  <si>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</si>
  <si>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</si>
  <si>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</si>
  <si>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</si>
  <si>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</si>
  <si>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</si>
  <si>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</si>
  <si>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</si>
  <si>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</si>
  <si>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</si>
  <si>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</si>
  <si>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</si>
  <si>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</si>
  <si>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</si>
  <si>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</si>
  <si>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</si>
  <si>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</si>
  <si>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</si>
  <si>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</si>
  <si>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</si>
  <si>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</si>
  <si>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</si>
  <si>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</si>
  <si>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</si>
  <si>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</si>
  <si>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</si>
  <si>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</si>
  <si>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</si>
  <si>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</si>
  <si>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</si>
  <si>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</si>
  <si>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</si>
  <si>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</si>
  <si>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</si>
  <si>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</si>
  <si>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</si>
  <si>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</si>
  <si>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</si>
  <si>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</si>
  <si>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</si>
  <si>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</si>
  <si>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</si>
  <si>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</si>
  <si>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</si>
  <si>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</si>
  <si>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</si>
  <si>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</si>
  <si>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</si>
  <si>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</si>
  <si>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</si>
  <si>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</si>
  <si>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</si>
  <si>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</si>
  <si>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</si>
  <si>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</si>
  <si>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</si>
  <si>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</si>
  <si>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</si>
  <si>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</si>
  <si>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</si>
  <si>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</si>
  <si>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</si>
  <si>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</si>
  <si>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</si>
  <si>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</si>
  <si>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</si>
  <si>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</si>
  <si>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</si>
  <si>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</si>
  <si>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</si>
  <si>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</si>
  <si>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</si>
  <si>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</si>
  <si>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</si>
  <si>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</si>
  <si>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</si>
  <si>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</si>
  <si>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</si>
  <si>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</si>
  <si>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</si>
  <si>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</si>
  <si>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</si>
  <si>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</si>
  <si>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</si>
  <si>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</si>
  <si>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</si>
  <si>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</si>
  <si>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</si>
  <si>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</si>
  <si>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</si>
  <si>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</si>
  <si>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</si>
  <si>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</si>
  <si>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</si>
  <si>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</si>
  <si>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</si>
  <si>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</si>
  <si>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</si>
  <si>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</si>
  <si>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</si>
  <si>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</si>
  <si>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</si>
  <si>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</si>
  <si>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</si>
  <si>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</si>
  <si>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</si>
  <si>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</si>
  <si>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</si>
  <si>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</si>
  <si>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</si>
  <si>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</si>
  <si>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</si>
  <si>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</si>
  <si>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</si>
  <si>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</si>
  <si>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</si>
  <si>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</si>
  <si>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</si>
  <si>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</si>
  <si>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</si>
  <si>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</si>
  <si>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</si>
  <si>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</si>
  <si>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</si>
  <si>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</si>
  <si>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</si>
  <si>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</si>
  <si>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</si>
  <si>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</si>
  <si>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</si>
  <si>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</si>
  <si>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</si>
  <si>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</si>
  <si>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</si>
  <si>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</si>
  <si>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</si>
  <si>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</si>
  <si>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</si>
  <si>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</si>
  <si>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</si>
  <si>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</si>
  <si>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</si>
  <si>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</si>
  <si>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</si>
  <si>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</si>
  <si>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</si>
  <si>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</si>
  <si>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</si>
  <si>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</si>
  <si>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</si>
  <si>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</si>
  <si>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</si>
  <si>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</si>
  <si>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</si>
  <si>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</si>
  <si>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</si>
  <si>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</si>
  <si>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</si>
  <si>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</si>
  <si>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</si>
  <si>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</si>
  <si>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</si>
  <si>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</si>
  <si>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</si>
  <si>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</si>
  <si>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</si>
  <si>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</si>
  <si>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</si>
  <si>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</si>
  <si>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</si>
  <si>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</si>
  <si>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</si>
  <si>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</si>
  <si>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</si>
  <si>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</si>
  <si>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</si>
  <si>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</si>
  <si>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</si>
  <si>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</si>
  <si>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</si>
  <si>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</si>
  <si>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</si>
  <si>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</si>
  <si>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</si>
  <si>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</si>
  <si>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</si>
  <si>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</si>
  <si>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</si>
  <si>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</si>
  <si>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</si>
  <si>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</si>
  <si>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</si>
  <si>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</si>
  <si>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</si>
  <si>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</si>
  <si>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</si>
  <si>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</si>
  <si>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</si>
  <si>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</si>
  <si>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</si>
  <si>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</si>
  <si>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</si>
  <si>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</si>
  <si>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</si>
  <si>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</si>
  <si>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</si>
  <si>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</si>
  <si>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</si>
  <si>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</si>
  <si>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</si>
  <si>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</si>
  <si>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</si>
  <si>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</si>
  <si>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</si>
  <si>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</si>
  <si>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</si>
  <si>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</si>
  <si>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</si>
  <si>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</si>
  <si>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</si>
  <si>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</si>
  <si>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</si>
  <si>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</si>
  <si>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</si>
  <si>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</si>
  <si>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</si>
  <si>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</si>
  <si>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</si>
  <si>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</si>
  <si>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</si>
  <si>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</si>
  <si>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</si>
  <si>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</si>
  <si>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</si>
  <si>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</si>
  <si>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</si>
  <si>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</si>
  <si>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</si>
  <si>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</si>
  <si>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</si>
  <si>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</si>
  <si>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</si>
  <si>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</si>
  <si>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</si>
  <si>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</si>
  <si>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</si>
  <si>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</si>
  <si>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</si>
  <si>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</si>
  <si>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</si>
  <si>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</si>
  <si>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</si>
  <si>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</si>
  <si>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</si>
  <si>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</si>
  <si>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</si>
  <si>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</si>
  <si>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</si>
  <si>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</si>
  <si>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</si>
  <si>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</si>
  <si>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</si>
  <si>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</si>
  <si>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</si>
  <si>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</si>
  <si>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</si>
  <si>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</si>
  <si>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</si>
  <si>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</si>
  <si>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</si>
  <si>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</si>
  <si>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</si>
  <si>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</si>
  <si>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</si>
  <si>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</si>
  <si>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</si>
  <si>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</si>
  <si>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</si>
  <si>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</si>
  <si>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</si>
  <si>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</si>
  <si>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</si>
  <si>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</si>
  <si>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</si>
  <si>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</si>
  <si>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</si>
  <si>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</si>
  <si>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</si>
  <si>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</si>
  <si>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</si>
  <si>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</si>
  <si>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</si>
  <si>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</si>
  <si>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</si>
  <si>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</si>
  <si>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</si>
  <si>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</si>
  <si>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</si>
  <si>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</si>
  <si>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</si>
  <si>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</si>
  <si>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</si>
  <si>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</si>
  <si>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</si>
  <si>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</si>
  <si>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</si>
  <si>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</si>
  <si>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</si>
  <si>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</si>
  <si>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</si>
  <si>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</si>
  <si>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</si>
  <si>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</si>
  <si>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</si>
  <si>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</si>
  <si>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</si>
  <si>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</si>
  <si>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</si>
  <si>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</si>
  <si>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</si>
  <si>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</si>
  <si>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</si>
  <si>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</si>
  <si>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</si>
  <si>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</si>
  <si>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</si>
  <si>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</si>
  <si>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</si>
  <si>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</si>
  <si>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</si>
  <si>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</si>
  <si>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</si>
  <si>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</si>
  <si>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</si>
  <si>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</si>
  <si>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</si>
  <si>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</si>
  <si>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</si>
  <si>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</si>
  <si>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</si>
  <si>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</si>
  <si>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</si>
  <si>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</si>
  <si>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</si>
  <si>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</si>
  <si>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</si>
  <si>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</si>
  <si>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</si>
  <si>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</si>
  <si>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</si>
  <si>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</si>
  <si>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</si>
  <si>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</si>
  <si>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</si>
  <si>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</si>
  <si>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</si>
  <si>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</si>
  <si>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</si>
  <si>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</si>
  <si>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</si>
  <si>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</si>
  <si>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</si>
  <si>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</si>
  <si>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</si>
  <si>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</si>
  <si>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</si>
  <si>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</si>
  <si>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</si>
  <si>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</si>
  <si>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</si>
  <si>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</si>
  <si>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</si>
  <si>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</si>
  <si>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</si>
  <si>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</si>
  <si>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</si>
  <si>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</si>
  <si>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</si>
  <si>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</si>
  <si>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</si>
  <si>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</si>
  <si>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</si>
  <si>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</si>
  <si>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</si>
  <si>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</si>
  <si>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</si>
  <si>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</si>
  <si>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</si>
  <si>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</si>
  <si>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</si>
  <si>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</si>
  <si>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</si>
  <si>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</si>
  <si>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</si>
  <si>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</si>
  <si>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</si>
  <si>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</si>
  <si>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</si>
  <si>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</si>
  <si>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</si>
  <si>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</si>
  <si>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</si>
  <si>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</si>
  <si>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</si>
  <si>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</si>
  <si>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</si>
  <si>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</si>
  <si>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</si>
  <si>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</si>
  <si>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</si>
  <si>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</si>
  <si>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</si>
  <si>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</si>
  <si>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</si>
  <si>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</si>
  <si>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</si>
  <si>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</si>
  <si>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</si>
  <si>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</si>
  <si>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</si>
  <si>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</si>
  <si>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</si>
  <si>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</si>
  <si>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</si>
  <si>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</si>
  <si>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</si>
  <si>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</si>
  <si>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</si>
  <si>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</si>
  <si>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</si>
  <si>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</si>
  <si>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</si>
  <si>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</si>
  <si>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</si>
  <si>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</si>
  <si>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</si>
  <si>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</si>
  <si>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</si>
  <si>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</si>
  <si>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</si>
  <si>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</si>
  <si>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</si>
  <si>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</si>
  <si>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</si>
  <si>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</si>
  <si>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</si>
  <si>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</si>
  <si>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</si>
  <si>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</si>
  <si>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</si>
  <si>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</si>
  <si>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</si>
  <si>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</si>
  <si>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</si>
  <si>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</si>
  <si>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</si>
  <si>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</si>
  <si>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</si>
  <si>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</si>
  <si>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</si>
  <si>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</si>
  <si>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</si>
  <si>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</si>
  <si>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</si>
  <si>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</si>
  <si>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</si>
  <si>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</si>
  <si>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</si>
  <si>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</si>
  <si>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</si>
  <si>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</si>
  <si>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</si>
  <si>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</si>
  <si>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</si>
  <si>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</si>
  <si>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</si>
  <si>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</si>
  <si>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</si>
  <si>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</si>
  <si>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</si>
  <si>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</si>
  <si>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</si>
  <si>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</si>
  <si>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</si>
  <si>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</si>
  <si>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</si>
  <si>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</si>
  <si>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</si>
  <si>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</si>
  <si>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</si>
  <si>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</si>
  <si>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</si>
  <si>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</si>
  <si>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</si>
  <si>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</si>
  <si>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</si>
  <si>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</si>
  <si>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</si>
  <si>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</si>
  <si>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</si>
  <si>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</si>
  <si>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</si>
  <si>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</si>
  <si>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</si>
  <si>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</si>
  <si>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</si>
  <si>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</si>
  <si>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</si>
  <si>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</si>
  <si>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</si>
  <si>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</si>
  <si>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</si>
  <si>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</si>
  <si>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</si>
  <si>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</si>
  <si>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</si>
  <si>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</si>
  <si>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</si>
  <si>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</si>
  <si>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</si>
  <si>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</si>
  <si>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</si>
  <si>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</si>
  <si>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</si>
  <si>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</si>
  <si>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</si>
  <si>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</si>
  <si>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</si>
  <si>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</si>
  <si>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</si>
  <si>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</si>
  <si>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</si>
  <si>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</si>
  <si>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</si>
  <si>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</si>
  <si>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</si>
  <si>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</si>
  <si>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</si>
  <si>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</si>
  <si>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</si>
  <si>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</si>
  <si>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</si>
  <si>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</si>
  <si>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</si>
  <si>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</si>
  <si>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</si>
  <si>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</si>
  <si>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</si>
  <si>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</si>
  <si>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</si>
  <si>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</si>
  <si>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</si>
  <si>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</si>
  <si>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</si>
  <si>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</si>
  <si>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</si>
  <si>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</si>
  <si>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</si>
  <si>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</si>
  <si>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</si>
  <si>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</si>
  <si>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</si>
  <si>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</si>
  <si>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</si>
  <si>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</si>
  <si>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</si>
  <si>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</si>
  <si>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</si>
  <si>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</si>
  <si>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</si>
  <si>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</si>
  <si>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</si>
  <si>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</si>
  <si>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</si>
  <si>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</si>
  <si>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</si>
  <si>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</si>
  <si>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</si>
  <si>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</si>
  <si>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</si>
  <si>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</si>
  <si>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</si>
  <si>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</si>
  <si>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</si>
  <si>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</si>
  <si>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</si>
  <si>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</si>
  <si>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</si>
  <si>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</si>
  <si>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</si>
  <si>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</si>
  <si>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</si>
  <si>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</si>
  <si>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</si>
  <si>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</si>
  <si>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</si>
  <si>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</si>
  <si>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</si>
  <si>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</si>
  <si>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</si>
  <si>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</si>
  <si>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</si>
  <si>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</si>
  <si>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</si>
  <si>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</si>
  <si>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</si>
  <si>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</si>
  <si>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</si>
  <si>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</si>
  <si>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</si>
  <si>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</si>
  <si>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</si>
  <si>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</si>
  <si>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</si>
  <si>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</si>
  <si>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</si>
  <si>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</si>
  <si>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</si>
  <si>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</si>
  <si>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</si>
  <si>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</si>
  <si>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</si>
  <si>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</si>
  <si>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</si>
  <si>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</si>
  <si>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</si>
  <si>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</si>
  <si>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</si>
  <si>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</si>
  <si>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</si>
  <si>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</si>
  <si>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</si>
  <si>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</si>
  <si>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</si>
  <si>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</si>
  <si>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</si>
  <si>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</si>
  <si>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</si>
  <si>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</si>
  <si>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</si>
  <si>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</si>
  <si>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</si>
  <si>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</si>
  <si>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</si>
  <si>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</si>
  <si>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</si>
  <si>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</si>
  <si>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</si>
  <si>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</si>
  <si>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</si>
  <si>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</si>
  <si>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</si>
  <si>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</si>
  <si>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</si>
  <si>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</si>
  <si>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</si>
  <si>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</si>
  <si>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</si>
  <si>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</si>
  <si>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</si>
  <si>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</si>
  <si>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</si>
  <si>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</si>
  <si>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</si>
  <si>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</si>
  <si>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</si>
  <si>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</si>
  <si>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</si>
  <si>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</si>
  <si>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</si>
  <si>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</si>
  <si>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</si>
  <si>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</si>
  <si>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</si>
  <si>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</si>
  <si>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</si>
  <si>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</si>
  <si>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</si>
  <si>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</si>
  <si>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</si>
  <si>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</si>
  <si>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</si>
  <si>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</si>
  <si>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</si>
  <si>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</si>
  <si>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</si>
  <si>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</si>
  <si>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</si>
  <si>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</si>
  <si>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</si>
  <si>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</si>
  <si>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</si>
  <si>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</si>
  <si>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</si>
  <si>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</si>
  <si>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</si>
  <si>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</si>
  <si>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</si>
  <si>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</si>
  <si>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</si>
  <si>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</si>
  <si>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</si>
  <si>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</si>
  <si>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</si>
  <si>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</si>
  <si>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</si>
  <si>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</si>
  <si>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</si>
  <si>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</si>
  <si>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</si>
  <si>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</si>
  <si>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</si>
  <si>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</si>
  <si>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</si>
  <si>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</si>
  <si>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</si>
  <si>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</si>
  <si>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</si>
  <si>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</si>
  <si>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</si>
  <si>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</si>
  <si>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</si>
  <si>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</si>
  <si>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</si>
  <si>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</si>
  <si>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</si>
  <si>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</si>
  <si>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</si>
  <si>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</si>
  <si>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</si>
  <si>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</si>
  <si>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</si>
  <si>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</si>
  <si>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</si>
  <si>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</si>
  <si>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</si>
  <si>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</si>
  <si>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</si>
  <si>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</si>
  <si>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</si>
  <si>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</si>
  <si>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</si>
  <si>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</si>
  <si>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</si>
  <si>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</si>
  <si>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</si>
  <si>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</si>
  <si>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</si>
  <si>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</si>
  <si>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</si>
  <si>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</si>
  <si>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</si>
  <si>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</si>
  <si>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</si>
  <si>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</si>
  <si>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</si>
  <si>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</si>
  <si>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</si>
  <si>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</si>
  <si>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</si>
  <si>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</si>
  <si>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</si>
  <si>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</si>
  <si>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</si>
  <si>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</si>
  <si>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</si>
  <si>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</si>
  <si>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</si>
  <si>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</si>
  <si>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</si>
  <si>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</si>
  <si>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</si>
  <si>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</si>
  <si>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</si>
  <si>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</si>
  <si>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</si>
  <si>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</si>
  <si>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</si>
  <si>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</si>
  <si>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</si>
  <si>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</si>
  <si>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</si>
  <si>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</si>
  <si>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</si>
  <si>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</si>
  <si>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</si>
  <si>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</si>
  <si>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</si>
  <si>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</si>
  <si>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</si>
  <si>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</si>
  <si>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</si>
  <si>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</si>
  <si>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</si>
  <si>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</si>
  <si>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</si>
  <si>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</si>
  <si>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</si>
  <si>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</si>
  <si>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</si>
  <si>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</si>
  <si>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</si>
  <si>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</si>
  <si>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</si>
  <si>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</si>
  <si>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</si>
  <si>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</si>
  <si>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</si>
  <si>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</si>
  <si>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</si>
  <si>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</si>
  <si>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</si>
  <si>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</si>
  <si>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</si>
  <si>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</si>
  <si>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</si>
  <si>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</si>
  <si>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</si>
  <si>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</si>
  <si>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</si>
  <si>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</si>
  <si>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</si>
  <si>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</si>
  <si>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</si>
  <si>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</si>
  <si>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</si>
  <si>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</si>
  <si>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</si>
  <si>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</si>
  <si>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</si>
  <si>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</si>
  <si>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</si>
  <si>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</si>
  <si>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</si>
  <si>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</si>
  <si>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</si>
  <si>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</si>
  <si>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</si>
  <si>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</si>
  <si>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</si>
  <si>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</si>
  <si>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</si>
  <si>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</si>
  <si>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</si>
  <si>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</si>
  <si>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</si>
  <si>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</si>
  <si>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</si>
  <si>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</si>
  <si>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</si>
  <si>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</si>
  <si>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</si>
  <si>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</si>
  <si>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</si>
  <si>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</si>
  <si>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</si>
  <si>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</si>
  <si>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</si>
  <si>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</si>
  <si>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</si>
  <si>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</si>
  <si>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</si>
  <si>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</si>
  <si>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</si>
  <si>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</si>
  <si>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</si>
  <si>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</si>
  <si>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</si>
  <si>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</si>
  <si>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</si>
  <si>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</si>
  <si>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</si>
  <si>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</si>
  <si>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</si>
  <si>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</si>
  <si>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</si>
  <si>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</si>
  <si>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</si>
  <si>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</si>
  <si>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</si>
  <si>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</si>
  <si>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</si>
  <si>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</si>
  <si>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</si>
  <si>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</si>
  <si>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</si>
  <si>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</si>
  <si>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</si>
  <si>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</si>
  <si>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</si>
  <si>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</si>
  <si>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</si>
  <si>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</si>
  <si>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</si>
  <si>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</si>
  <si>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</si>
  <si>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</si>
  <si>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</si>
  <si>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</si>
  <si>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</si>
  <si>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</si>
  <si>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</si>
  <si>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</si>
  <si>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</si>
  <si>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</si>
  <si>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</si>
  <si>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</si>
  <si>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</si>
  <si>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</si>
  <si>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</si>
  <si>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</si>
  <si>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</si>
  <si>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</si>
  <si>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</si>
  <si>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</si>
  <si>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</si>
  <si>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</si>
  <si>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</si>
  <si>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</si>
  <si>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</si>
  <si>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</si>
  <si>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</si>
  <si>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</si>
  <si>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</si>
  <si>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</si>
  <si>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</si>
  <si>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</si>
  <si>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</si>
  <si>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</si>
  <si>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</si>
  <si>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</si>
  <si>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</si>
  <si>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</si>
  <si>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</si>
  <si>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</si>
  <si>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</si>
  <si>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</si>
  <si>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</si>
  <si>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</si>
  <si>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</si>
  <si>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</si>
  <si>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</si>
  <si>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</si>
  <si>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Jump Control/3</t>
  </si>
  <si>
    <t>Port Cargo Hold</t>
  </si>
  <si>
    <t>Starboard Cargo Hold</t>
  </si>
  <si>
    <t>Survey and Exploration Ship</t>
  </si>
  <si>
    <t>Scout</t>
  </si>
  <si>
    <t>Bio Containment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</si>
</sst>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 xfId="0" applyBorder="1" applyAlignment="1">
      <alignment horizont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37" xfId="0" applyBorder="1" applyAlignment="1">
      <alignment horizontal="center" shrinkToFit="1"/>
    </xf>
    <xf numFmtId="0" fontId="0" fillId="0" borderId="43"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0" fillId="0" borderId="37" xfId="0" applyBorder="1" applyAlignment="1">
      <alignment horizontal="center"/>
    </xf>
    <xf numFmtId="0" fontId="0" fillId="0" borderId="43"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33" xfId="0" applyBorder="1" applyAlignment="1">
      <alignment horizontal="center" vertical="center" shrinkToFit="1"/>
    </xf>
    <xf numFmtId="0" fontId="29" fillId="3" borderId="14"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34" xfId="0" applyFont="1" applyBorder="1" applyAlignment="1">
      <alignment horizontal="center" vertic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 fillId="0" borderId="1" xfId="0" applyFont="1" applyBorder="1" applyAlignment="1">
      <alignment horizontal="center" shrinkToFit="1"/>
    </xf>
    <xf numFmtId="0" fontId="0" fillId="0" borderId="47" xfId="0" applyBorder="1" applyAlignment="1">
      <alignment horizontal="center" shrinkToFit="1"/>
    </xf>
    <xf numFmtId="0" fontId="0" fillId="0" borderId="48" xfId="0" applyBorder="1" applyAlignment="1">
      <alignment horizontal="center" shrinkToFit="1"/>
    </xf>
    <xf numFmtId="0" fontId="1" fillId="0" borderId="60" xfId="0" applyFont="1" applyBorder="1" applyAlignment="1">
      <alignment horizontal="center" shrinkToFit="1"/>
    </xf>
    <xf numFmtId="0" fontId="0" fillId="0" borderId="45" xfId="0" applyBorder="1" applyAlignment="1">
      <alignment horizontal="center" shrinkToFit="1"/>
    </xf>
    <xf numFmtId="0" fontId="11" fillId="0" borderId="57"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1" fillId="3" borderId="57" xfId="0" applyFont="1" applyFill="1" applyBorder="1" applyAlignment="1">
      <alignment horizontal="center" vertical="center" shrinkToFit="1"/>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0" fillId="0" borderId="42" xfId="0" applyBorder="1" applyAlignment="1">
      <alignment horizontal="center" shrinkToFit="1"/>
    </xf>
    <xf numFmtId="0" fontId="1" fillId="0" borderId="2"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0" borderId="49" xfId="0" applyBorder="1" applyAlignment="1">
      <alignment horizontal="center" shrinkToFit="1"/>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 fillId="0" borderId="61" xfId="0" applyFont="1"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11" fillId="0" borderId="32" xfId="0" applyFont="1" applyBorder="1" applyAlignment="1">
      <alignment horizontal="center" vertic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11" fillId="0" borderId="58" xfId="0" applyFont="1" applyBorder="1" applyAlignment="1">
      <alignment horizontal="center" vertical="center" shrinkToFit="1"/>
    </xf>
    <xf numFmtId="0" fontId="11" fillId="3" borderId="58" xfId="0" applyFont="1" applyFill="1" applyBorder="1" applyAlignment="1">
      <alignment horizontal="center" vertical="center" shrinkToFit="1"/>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6" xfId="0" applyFont="1" applyBorder="1" applyAlignment="1">
      <alignment horizontal="center" vertical="center" shrinkToFit="1"/>
    </xf>
    <xf numFmtId="0" fontId="29" fillId="0" borderId="97" xfId="0" applyFont="1" applyBorder="1" applyAlignment="1">
      <alignment horizontal="center" vertic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0" fillId="0" borderId="58" xfId="0" applyBorder="1" applyAlignment="1">
      <alignment horizontal="center" vertical="center" shrinkToFit="1"/>
    </xf>
    <xf numFmtId="0" fontId="29" fillId="0" borderId="94" xfId="0" applyFont="1" applyBorder="1" applyAlignment="1">
      <alignment horizontal="center" vertic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92"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21"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0" borderId="57" xfId="0" applyBorder="1" applyAlignment="1">
      <alignment horizont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5" fillId="0" borderId="10" xfId="0" applyFont="1" applyBorder="1" applyAlignment="1">
      <alignment horizontal="center" vertical="center"/>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3" fillId="3" borderId="91"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0" fillId="0" borderId="8" xfId="0" applyBorder="1" applyAlignment="1">
      <alignment horizontal="center" shrinkToFit="1"/>
    </xf>
    <xf numFmtId="0" fontId="0" fillId="0" borderId="8" xfId="0"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92" xfId="0" applyFont="1" applyBorder="1" applyAlignment="1">
      <alignment horizontal="center" vertical="center" shrinkToFit="1"/>
    </xf>
    <xf numFmtId="0" fontId="14" fillId="0" borderId="35" xfId="0" applyFont="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1" fillId="0" borderId="90" xfId="0" applyFont="1" applyBorder="1" applyAlignment="1">
      <alignment horizontal="center" vertical="center" shrinkToFit="1"/>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 fillId="0" borderId="10" xfId="0" applyFont="1" applyBorder="1" applyAlignment="1">
      <alignment horizontal="center"/>
    </xf>
    <xf numFmtId="0" fontId="0" fillId="0" borderId="38" xfId="0" applyBorder="1" applyAlignment="1">
      <alignment horizontal="center"/>
    </xf>
    <xf numFmtId="0" fontId="2" fillId="0" borderId="0" xfId="0" applyFont="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1" fillId="0" borderId="0" xfId="0" applyFont="1" applyAlignment="1">
      <alignment horizontal="center"/>
    </xf>
    <xf numFmtId="4" fontId="0" fillId="0" borderId="0" xfId="0" applyNumberFormat="1" applyAlignment="1">
      <alignment horizontal="center"/>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3" fontId="0" fillId="3" borderId="39" xfId="0" applyNumberFormat="1" applyFill="1" applyBorder="1" applyAlignment="1">
      <alignment horizontal="center"/>
    </xf>
    <xf numFmtId="3" fontId="0" fillId="3" borderId="43" xfId="0" applyNumberFormat="1" applyFill="1" applyBorder="1" applyAlignment="1">
      <alignment horizontal="center"/>
    </xf>
    <xf numFmtId="3" fontId="0" fillId="3" borderId="41" xfId="0" applyNumberFormat="1" applyFill="1" applyBorder="1" applyAlignment="1">
      <alignment horizontal="center"/>
    </xf>
    <xf numFmtId="3" fontId="0" fillId="3" borderId="115" xfId="0" applyNumberFormat="1" applyFill="1" applyBorder="1" applyAlignment="1">
      <alignment horizontal="center"/>
    </xf>
    <xf numFmtId="3" fontId="0" fillId="3" borderId="116" xfId="0" applyNumberFormat="1" applyFill="1" applyBorder="1" applyAlignment="1">
      <alignment horizontal="center"/>
    </xf>
    <xf numFmtId="3" fontId="0" fillId="3" borderId="42" xfId="0" applyNumberFormat="1" applyFill="1"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46" xfId="0" applyFont="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3" fontId="0" fillId="3" borderId="114" xfId="0" applyNumberFormat="1" applyFill="1" applyBorder="1" applyAlignment="1">
      <alignment horizontal="center"/>
    </xf>
    <xf numFmtId="0" fontId="1" fillId="0" borderId="113"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0" fontId="1" fillId="2" borderId="0" xfId="0" applyFont="1" applyFill="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36" fillId="0" borderId="111" xfId="0" applyFont="1" applyBorder="1" applyAlignment="1">
      <alignment horizontal="center" shrinkToFit="1"/>
    </xf>
    <xf numFmtId="0" fontId="11" fillId="0" borderId="2" xfId="0" applyFont="1" applyBorder="1" applyAlignment="1">
      <alignment horizontal="center"/>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6" fillId="3" borderId="111" xfId="0" applyFont="1" applyFill="1" applyBorder="1" applyAlignment="1">
      <alignment horizontal="center"/>
    </xf>
    <xf numFmtId="0" fontId="36" fillId="0" borderId="111" xfId="0" applyFont="1" applyBorder="1" applyAlignment="1">
      <alignment horizontal="center"/>
    </xf>
    <xf numFmtId="0" fontId="14" fillId="0" borderId="10" xfId="0" applyFont="1" applyBorder="1" applyAlignment="1">
      <alignment horizontal="center" shrinkToFit="1"/>
    </xf>
    <xf numFmtId="0" fontId="14" fillId="0" borderId="55" xfId="0" applyFont="1" applyBorder="1" applyAlignment="1">
      <alignment horizontal="center" shrinkToFit="1"/>
    </xf>
    <xf numFmtId="0" fontId="14"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35" fillId="3" borderId="111" xfId="0" applyFont="1" applyFill="1" applyBorder="1" applyAlignment="1">
      <alignment horizontal="center" shrinkToFit="1"/>
    </xf>
    <xf numFmtId="0" fontId="31" fillId="3" borderId="2"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1" fillId="0" borderId="2" xfId="0" applyFont="1" applyBorder="1" applyAlignment="1">
      <alignment horizontal="center" vertical="center" shrinkToFit="1"/>
    </xf>
    <xf numFmtId="0" fontId="31" fillId="0" borderId="3" xfId="0" applyFont="1" applyBorder="1" applyAlignment="1">
      <alignment horizontal="center" vertic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0" fontId="31" fillId="0" borderId="4"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13" xfId="0" applyFont="1" applyBorder="1" applyAlignment="1">
      <alignment horizontal="center" vertical="center" shrinkToFit="1"/>
    </xf>
    <xf numFmtId="9" fontId="31" fillId="0" borderId="3" xfId="0" applyNumberFormat="1" applyFont="1" applyBorder="1" applyAlignment="1">
      <alignment horizontal="center" vertical="center" shrinkToFit="1"/>
    </xf>
    <xf numFmtId="0" fontId="35" fillId="0" borderId="111" xfId="0" applyFont="1" applyBorder="1" applyAlignment="1">
      <alignment horizontal="center" shrinkToFit="1"/>
    </xf>
    <xf numFmtId="0" fontId="35" fillId="3" borderId="106" xfId="0" applyFont="1" applyFill="1" applyBorder="1" applyAlignment="1">
      <alignment horizontal="center" shrinkToFit="1"/>
    </xf>
    <xf numFmtId="0" fontId="41" fillId="0" borderId="111" xfId="0" applyFont="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3" fillId="0" borderId="1" xfId="0" applyFont="1" applyBorder="1" applyAlignment="1">
      <alignment horizontal="center" vertic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6" fillId="0" borderId="110" xfId="0" applyFont="1" applyBorder="1" applyAlignment="1">
      <alignment horizontal="center"/>
    </xf>
    <xf numFmtId="0" fontId="32" fillId="0" borderId="3" xfId="0" applyFont="1" applyBorder="1" applyAlignment="1">
      <alignment horizontal="center"/>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0" fillId="0" borderId="10" xfId="0" applyBorder="1" applyAlignment="1">
      <alignment horizontal="center"/>
    </xf>
    <xf numFmtId="0" fontId="0" fillId="0" borderId="55" xfId="0" applyBorder="1" applyAlignment="1">
      <alignment horizontal="center"/>
    </xf>
    <xf numFmtId="0" fontId="31" fillId="3" borderId="11" xfId="0" applyFont="1" applyFill="1" applyBorder="1" applyAlignment="1">
      <alignment horizontal="center" vertical="center" shrinkToFit="1"/>
    </xf>
    <xf numFmtId="0" fontId="31" fillId="3" borderId="13" xfId="0" applyFont="1" applyFill="1" applyBorder="1" applyAlignment="1">
      <alignment horizontal="center" vertical="center" shrinkToFit="1"/>
    </xf>
  </cellXfs>
  <cellStyles count="4">
    <cellStyle name="Comma" xfId="1" builtinId="3"/>
    <cellStyle name="Comma 2" xfId="3" xr:uid="{1F170453-B272-4474-A53A-B1AF5CDE7B99}"/>
    <cellStyle name="Normal" xfId="0" builtinId="0"/>
    <cellStyle name="Normal 2" xfId="2" xr:uid="{D0CB86D1-8800-4A88-AE31-6794C2F78943}"/>
  </cellStyles>
  <dxfs count="771">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0">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69"/>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68" dataDxfId="766" headerRowBorderDxfId="767" tableBorderDxfId="765" totalsRowBorderDxfId="764">
  <autoFilter ref="W2:X26" xr:uid="{1AB22D71-6D53-4999-80D8-DEAE85A8DA99}"/>
  <sortState xmlns:xlrd2="http://schemas.microsoft.com/office/spreadsheetml/2017/richdata2" ref="W3:X26">
    <sortCondition ref="W2:W26"/>
  </sortState>
  <tableColumns count="2">
    <tableColumn id="1" xr3:uid="{5710D457-FC98-427E-ABEB-EE63A69460FA}" name="Column1" dataDxfId="763"/>
    <tableColumn id="2" xr3:uid="{3CE29EA1-5B25-44D6-95CF-EECA6D87B3A1}" name="Column2" dataDxfId="7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1" dataDxfId="760">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59"/>
    <tableColumn id="2" xr3:uid="{268F303A-D6B9-4594-8DAC-7EE27FE773FF}" name="TL" dataDxfId="758"/>
    <tableColumn id="3" xr3:uid="{3F0CD468-A0E9-47EF-B11F-CBC1C6E5E384}" name="Range" dataDxfId="757"/>
    <tableColumn id="4" xr3:uid="{70785B22-DC1A-41A8-AE9E-EAF85E518566}" name="Small Range" dataDxfId="756"/>
    <tableColumn id="5" xr3:uid="{2ADCF830-FC1B-4410-8C8C-2D0CD8749F6A}" name="PWR" dataDxfId="755"/>
    <tableColumn id="6" xr3:uid="{7C5266B8-AB92-4FC7-A7D7-162953EAA114}" name="DAM" dataDxfId="754"/>
    <tableColumn id="7" xr3:uid="{3BEA295C-87C1-4A88-BDFD-D1037BF4D55B}" name="Cost" dataDxfId="753"/>
    <tableColumn id="8" xr3:uid="{B058DA95-72D9-4B79-9A62-1B5B131FB0A0}" name="Notes" dataDxfId="752"/>
    <tableColumn id="9" xr3:uid="{96C76D11-7498-48B6-96E5-567415BBE13F}" name="Column1" dataDxfId="751"/>
    <tableColumn id="10" xr3:uid="{A8A41C54-00B9-453E-BDC6-869342696C9E}" name="Missile" dataDxfId="750"/>
    <tableColumn id="11" xr3:uid="{570EE8F4-A84E-4194-B5F2-C4DB12CB26FD}" name="Index" dataDxfId="749"/>
    <tableColumn id="12" xr3:uid="{F281A17A-0734-45B5-BF43-8BECE256C55F}" name="1" dataDxfId="748"/>
    <tableColumn id="13" xr3:uid="{8CE19AFF-4F92-48DD-BACA-F4FB959153E2}" name="2" dataDxfId="747"/>
    <tableColumn id="14" xr3:uid="{E8476A3C-E5C3-4F6B-B4AF-6756108D8EC1}" name="3" dataDxfId="746"/>
    <tableColumn id="15" xr3:uid="{FEAECF50-8FB1-4B0C-AD43-D3D3E0DA0A48}" name="4" dataDxfId="745"/>
    <tableColumn id="16" xr3:uid="{37D54A7B-EE99-4D23-B486-B3219941CDE6}" name="5" dataDxfId="744"/>
    <tableColumn id="17" xr3:uid="{A70BE25E-7F17-433E-9CEB-BB4901D158DD}" name="6" dataDxfId="743"/>
    <tableColumn id="18" xr3:uid="{BB6B7334-175D-4FF1-8C79-0663F693CBBB}" name="7" dataDxfId="7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1">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0"/>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39" tableBorderDxfId="738">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7"/>
    <tableColumn id="2" xr3:uid="{1CF94512-B535-4786-8982-F3223044A7E2}" name="TL" dataDxfId="736"/>
    <tableColumn id="3" xr3:uid="{CAF95523-0B5E-4392-85F7-2D332349DBE3}" name="PWR" dataDxfId="735"/>
    <tableColumn id="4" xr3:uid="{270154A6-A49A-415C-922D-C67A3C516C1B}" name="Tons" dataDxfId="734"/>
    <tableColumn id="5" xr3:uid="{DCA0F4F2-A271-4399-A3B4-F23C0EB1FE49}" name="Cost" dataDxfId="733"/>
    <tableColumn id="6" xr3:uid="{CA115E9A-809D-4C8B-9FB6-ADFC805B72EB}" name="Notes" dataDxfId="732"/>
    <tableColumn id="7" xr3:uid="{8A07A007-7B21-43E0-AC38-8AEEF0BB9FA5}" name="#Mods" dataDxfId="731"/>
    <tableColumn id="8" xr3:uid="{E741371F-925E-4CF1-B38E-A4613D251C2D}" name="Mod Name" dataDxfId="730"/>
    <tableColumn id="9" xr3:uid="{95B4E953-CDA9-4925-BDB5-B00256809E16}" name="SSD Notes" dataDxfId="7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28">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zoomScale="125" zoomScaleNormal="125" workbookViewId="0">
      <selection activeCell="B44" sqref="B44"/>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Survey and Exploration Ship</v>
      </c>
      <c r="E1" s="2"/>
      <c r="F1" s="6" t="s">
        <v>1</v>
      </c>
      <c r="S1" t="str">
        <f>""</f>
        <v/>
      </c>
      <c r="T1">
        <v>0</v>
      </c>
      <c r="U1">
        <v>0</v>
      </c>
      <c r="V1">
        <v>0</v>
      </c>
    </row>
    <row r="2" spans="1:25">
      <c r="A2" s="3" t="s">
        <v>432</v>
      </c>
      <c r="B2" t="str">
        <f>'Ship Info'!B2</f>
        <v>Scout</v>
      </c>
      <c r="C2" t="s">
        <v>0</v>
      </c>
      <c r="D2" s="2">
        <f>'Ship Info'!F2</f>
        <v>14</v>
      </c>
      <c r="E2" s="2"/>
      <c r="F2" s="4">
        <f>'Ship Info'!G2</f>
        <v>1536124666.6666665</v>
      </c>
      <c r="S2" t="s">
        <v>157</v>
      </c>
      <c r="T2">
        <v>7</v>
      </c>
      <c r="U2">
        <v>30000</v>
      </c>
      <c r="V2">
        <v>5</v>
      </c>
    </row>
    <row r="3" spans="1:25">
      <c r="E3" s="2"/>
      <c r="S3" t="s">
        <v>142</v>
      </c>
      <c r="T3">
        <v>9</v>
      </c>
      <c r="U3">
        <v>160000</v>
      </c>
      <c r="V3">
        <v>10</v>
      </c>
    </row>
    <row r="4" spans="1:25">
      <c r="A4" t="s">
        <v>2</v>
      </c>
      <c r="B4" s="263">
        <f>'1-Hull'!B4</f>
        <v>1000</v>
      </c>
      <c r="E4" s="2"/>
      <c r="F4" s="6" t="s">
        <v>45</v>
      </c>
      <c r="H4" s="786"/>
      <c r="I4" s="786"/>
      <c r="K4" s="786"/>
      <c r="L4" s="786"/>
      <c r="S4" t="s">
        <v>143</v>
      </c>
      <c r="T4">
        <v>11</v>
      </c>
      <c r="U4">
        <v>2000000</v>
      </c>
      <c r="V4">
        <v>15</v>
      </c>
      <c r="X4" t="s">
        <v>701</v>
      </c>
    </row>
    <row r="5" spans="1:25" ht="16" thickBot="1">
      <c r="B5" s="5" t="s">
        <v>920</v>
      </c>
      <c r="F5" s="4">
        <f>IF(AND(C7="No",'Ship Info'!F7),0,SUM(F9:F44,F48:F67))</f>
        <v>187500000</v>
      </c>
      <c r="H5" s="1"/>
      <c r="I5" s="1"/>
      <c r="K5" s="1"/>
      <c r="L5" s="1"/>
      <c r="S5" t="s">
        <v>144</v>
      </c>
      <c r="T5">
        <v>12</v>
      </c>
      <c r="U5">
        <v>5000000</v>
      </c>
      <c r="V5">
        <v>20</v>
      </c>
      <c r="X5" t="s">
        <v>700</v>
      </c>
      <c r="Y5" t="str">
        <f>IF(B21=S25,IF(B24=S36,"N/A",VLOOKUP(B24,S36:T41,2)),VLOOKUP(B21,S25:T28,2))</f>
        <v>Bsc+1</v>
      </c>
    </row>
    <row r="6" spans="1:25" ht="16" thickBot="1">
      <c r="B6" s="7" t="s">
        <v>921</v>
      </c>
      <c r="C6" s="197" t="s">
        <v>99</v>
      </c>
      <c r="H6" s="2"/>
      <c r="I6" s="2"/>
      <c r="K6" s="2"/>
      <c r="L6" s="2"/>
      <c r="S6" t="s">
        <v>145</v>
      </c>
      <c r="T6">
        <v>13</v>
      </c>
      <c r="U6">
        <v>10000000</v>
      </c>
      <c r="V6">
        <v>25</v>
      </c>
      <c r="X6" t="s">
        <v>705</v>
      </c>
      <c r="Y6" t="str">
        <f>VLOOKUP(B33,S75:T78,2)</f>
        <v>+1</v>
      </c>
    </row>
    <row r="7" spans="1:25" ht="16" thickBot="1">
      <c r="B7" s="7" t="s">
        <v>1558</v>
      </c>
      <c r="C7" s="197" t="s">
        <v>99</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-1</v>
      </c>
    </row>
    <row r="9" spans="1:25" ht="16" thickBot="1">
      <c r="A9" s="7" t="s">
        <v>91</v>
      </c>
      <c r="B9" s="198" t="s">
        <v>153</v>
      </c>
      <c r="D9" s="2">
        <f>VLOOKUP(B9,S1:U17,2)</f>
        <v>11</v>
      </c>
      <c r="F9" s="4">
        <f>VLOOKUP(B9,S1:V17,3)</f>
        <v>75000000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100</v>
      </c>
      <c r="F10" s="4">
        <f>VLOOKUP(B10,S21:T22,2)*F9</f>
        <v>37500000</v>
      </c>
      <c r="S10" t="s">
        <v>151</v>
      </c>
      <c r="T10">
        <v>9</v>
      </c>
      <c r="U10">
        <v>45000000</v>
      </c>
      <c r="V10">
        <v>40</v>
      </c>
      <c r="X10" t="s">
        <v>704</v>
      </c>
      <c r="Y10" t="str">
        <f>VLOOKUP(B27,S49:T50,2)</f>
        <v>N/A</v>
      </c>
    </row>
    <row r="11" spans="1:25" ht="16" thickBot="1">
      <c r="A11" s="7" t="s">
        <v>150</v>
      </c>
      <c r="B11" s="254" t="s">
        <v>99</v>
      </c>
      <c r="F11" s="4">
        <f>VLOOKUP(B11,S21:T22,2)*F9</f>
        <v>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1103</v>
      </c>
      <c r="D13" s="2">
        <f>VLOOKUP(B13,S1:U17,2)</f>
        <v>0</v>
      </c>
      <c r="F13" s="4">
        <f>VLOOKUP(B13,S1:V17,3)</f>
        <v>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0</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60+10</v>
      </c>
      <c r="D17" s="16" t="str">
        <f>IF(B9=S9,"",IF(VLOOKUP(B9,S1:V16,4)&gt;39,C32&amp;" units of bandwidth reserved for Jump Control Only. No other programs permitted",""))</f>
        <v>10 units of bandwidth reserved for Jump Control Only. No other programs permitted</v>
      </c>
      <c r="F17" s="4"/>
      <c r="S17" t="s">
        <v>1446</v>
      </c>
      <c r="T17">
        <v>16</v>
      </c>
      <c r="U17">
        <v>150000000</v>
      </c>
      <c r="V17">
        <v>110</v>
      </c>
    </row>
    <row r="18" spans="1:25">
      <c r="B18" s="7" t="s">
        <v>753</v>
      </c>
      <c r="C18" s="2">
        <f>SUM(C21:C44,D48:D55)</f>
        <v>71</v>
      </c>
    </row>
    <row r="19" spans="1:25">
      <c r="B19" s="2"/>
      <c r="C19" s="2"/>
      <c r="X19" t="s">
        <v>1646</v>
      </c>
      <c r="Y19" s="107">
        <f>IF(B40=S90,0,B41)</f>
        <v>3</v>
      </c>
    </row>
    <row r="20" spans="1:25" ht="16" thickBot="1">
      <c r="A20" s="15" t="s">
        <v>219</v>
      </c>
      <c r="B20" s="2"/>
      <c r="C20" s="1" t="s">
        <v>220</v>
      </c>
      <c r="D20" s="1" t="s">
        <v>26</v>
      </c>
      <c r="I20" s="3" t="s">
        <v>171</v>
      </c>
      <c r="X20" t="s">
        <v>769</v>
      </c>
      <c r="Y20">
        <f>SUM(Y21:Y23)</f>
        <v>0</v>
      </c>
    </row>
    <row r="21" spans="1:25" ht="16" thickBot="1">
      <c r="A21" t="s">
        <v>247</v>
      </c>
      <c r="B21" s="254" t="s">
        <v>1103</v>
      </c>
      <c r="C21" s="2">
        <f>INDEX(S25:X28,MATCH(B21,S25:S28,0),4)</f>
        <v>0</v>
      </c>
      <c r="D21" s="2">
        <f>INDEX(S25:X28,MATCH(B21,S25:S28,0),5)</f>
        <v>0</v>
      </c>
      <c r="F21" s="4">
        <f>INDEX(S25:X28,MATCH(B21,S25:S28,0),3)</f>
        <v>0</v>
      </c>
      <c r="I21" t="str">
        <f>INDEX(S25:X28,MATCH(B21,S25:S28,0),6)</f>
        <v xml:space="preserve"> </v>
      </c>
      <c r="S21" t="s">
        <v>99</v>
      </c>
      <c r="T21">
        <v>0</v>
      </c>
      <c r="V21">
        <f>VLOOKUP(B9,S1:V17,4)</f>
        <v>60</v>
      </c>
      <c r="X21" t="s">
        <v>26</v>
      </c>
      <c r="Y21">
        <f>IF(MAX(D9:D15,D21:D42,E49:E53)&gt;D2,1,0)</f>
        <v>0</v>
      </c>
    </row>
    <row r="22" spans="1:25" ht="16" thickBot="1">
      <c r="A22" t="s">
        <v>248</v>
      </c>
      <c r="B22" s="254" t="s">
        <v>161</v>
      </c>
      <c r="C22" s="2">
        <f>VLOOKUP(B22,S29:X32,4)</f>
        <v>2</v>
      </c>
      <c r="D22" s="2">
        <f>VLOOKUP(B22,S29:X32,5)</f>
        <v>11</v>
      </c>
      <c r="F22" s="4">
        <f>VLOOKUP(B22,S29:X32,3)</f>
        <v>6000000</v>
      </c>
      <c r="I22" t="str">
        <f>VLOOKUP(B22,S29:X32,6)</f>
        <v xml:space="preserve">DM -2 to unauthorized access </v>
      </c>
      <c r="S22" t="s">
        <v>100</v>
      </c>
      <c r="T22">
        <v>0.5</v>
      </c>
      <c r="V22">
        <f>VLOOKUP(B13,S1:V17,4)</f>
        <v>0</v>
      </c>
      <c r="X22" t="s">
        <v>800</v>
      </c>
      <c r="Y22">
        <f>IF(B9&gt;B13,0,IF(AND(B9="",B13=""),0,1))</f>
        <v>0</v>
      </c>
    </row>
    <row r="23" spans="1:25" ht="16" thickBot="1">
      <c r="A23" t="s">
        <v>249</v>
      </c>
      <c r="B23" s="254" t="s">
        <v>1103</v>
      </c>
      <c r="C23" s="2">
        <f>VLOOKUP(B23,S33:X35,4)</f>
        <v>0</v>
      </c>
      <c r="D23" s="2">
        <f>VLOOKUP(B23,S33:X35,5)</f>
        <v>0</v>
      </c>
      <c r="F23" s="4">
        <f>VLOOKUP(B23,S33:X35,3)</f>
        <v>0</v>
      </c>
      <c r="I23" t="str">
        <f>VLOOKUP(B23,S33:X35,6)</f>
        <v xml:space="preserve"> </v>
      </c>
      <c r="V23" s="14">
        <f>SUM(V21:V22)</f>
        <v>60</v>
      </c>
      <c r="X23" t="s">
        <v>1646</v>
      </c>
      <c r="Y23">
        <f>IF(B41&gt;'10-Crew'!X7,1,0)</f>
        <v>0</v>
      </c>
    </row>
    <row r="24" spans="1:25" ht="16" thickBot="1">
      <c r="A24" t="s">
        <v>250</v>
      </c>
      <c r="B24" s="254" t="s">
        <v>198</v>
      </c>
      <c r="C24" s="2">
        <f>VLOOKUP(B24,S36:X41,4)</f>
        <v>5</v>
      </c>
      <c r="D24" s="2">
        <f>VLOOKUP(B24,S36:X41,5)</f>
        <v>9</v>
      </c>
      <c r="F24" s="4">
        <f>VLOOKUP(B24,S36:X41,3)</f>
        <v>2000000</v>
      </c>
      <c r="I24" t="str">
        <f>VLOOKUP(B24,S36:X41,6)</f>
        <v>DM +1 to a gunner making an attack or 1 automated attack</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1103</v>
      </c>
      <c r="C27" s="2">
        <f>VLOOKUP(B27,S49:X50,4)</f>
        <v>0</v>
      </c>
      <c r="D27" s="2">
        <f>VLOOKUP(B27,S49:X50,5)</f>
        <v>0</v>
      </c>
      <c r="F27" s="4">
        <f>VLOOKUP(B27,S49:X50,3)</f>
        <v>0</v>
      </c>
      <c r="I27" t="str">
        <f>VLOOKUP(B27,S49:X50,6)</f>
        <v xml:space="preserve"> </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208</v>
      </c>
      <c r="C30" s="2">
        <f>VLOOKUP(B30,S59:X62,4)</f>
        <v>10</v>
      </c>
      <c r="D30" s="2">
        <f>VLOOKUP(B30,S59:X62,5)</f>
        <v>9</v>
      </c>
      <c r="F30" s="4">
        <f>VLOOKUP(B30,S59:X62,3)</f>
        <v>1000000</v>
      </c>
      <c r="I30" t="str">
        <f>VLOOKUP(B30,S59:X62,6)</f>
        <v>DM -1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2456</v>
      </c>
      <c r="C32" s="2">
        <f>VLOOKUP(B32,S65:X74,4)</f>
        <v>10</v>
      </c>
      <c r="D32" s="2">
        <f>VLOOKUP(B32,S65:X74,5)+IF(SUM('2-Drives'!E28:E30)&lt;0,SUM('2-Drives'!E28:E30),0)</f>
        <v>12</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189</v>
      </c>
      <c r="C33" s="2">
        <f>VLOOKUP(B33,S75:X78,4)</f>
        <v>5</v>
      </c>
      <c r="D33" s="2">
        <f>VLOOKUP(B33,S75:X78,5)</f>
        <v>8</v>
      </c>
      <c r="F33" s="4">
        <f>VLOOKUP(B33,S75:X78,3)</f>
        <v>10000000</v>
      </c>
      <c r="I33" t="str">
        <f>VLOOKUP(B33,S75:X78,6)</f>
        <v>DM +1 to all missile salvo attack rolls</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1103</v>
      </c>
      <c r="C37" s="2">
        <f>VLOOKUP(B37,S82:X83,4)</f>
        <v>0</v>
      </c>
      <c r="D37" s="2">
        <f>VLOOKUP(B37,S82:X83,5)</f>
        <v>0</v>
      </c>
      <c r="F37" s="4">
        <f>VLOOKUP(B37,S82:X83,3)</f>
        <v>0</v>
      </c>
      <c r="I37" t="str">
        <f>VLOOKUP(B37,S82:X83,6)</f>
        <v xml:space="preserve"> </v>
      </c>
      <c r="S37" t="s">
        <v>198</v>
      </c>
      <c r="T37" t="s">
        <v>719</v>
      </c>
      <c r="U37">
        <v>2000000</v>
      </c>
      <c r="V37">
        <v>5</v>
      </c>
      <c r="W37">
        <v>9</v>
      </c>
      <c r="X37" t="s">
        <v>203</v>
      </c>
    </row>
    <row r="38" spans="1:24" ht="16" thickBot="1">
      <c r="A38" t="s">
        <v>256</v>
      </c>
      <c r="B38" s="254" t="s">
        <v>230</v>
      </c>
      <c r="C38" s="2">
        <f>VLOOKUP(B38,S84:X87,4)</f>
        <v>10</v>
      </c>
      <c r="D38" s="2">
        <f>VLOOKUP(B38,S84:X87,5)</f>
        <v>13</v>
      </c>
      <c r="F38" s="4">
        <f>VLOOKUP(B38,S84:X87,3)</f>
        <v>5000000</v>
      </c>
      <c r="I38" t="str">
        <f>VLOOKUP(B38,S84:X87,6)</f>
        <v>Replace 5 crewmembers at DM +1 skill level</v>
      </c>
      <c r="S38" t="s">
        <v>199</v>
      </c>
      <c r="T38" t="s">
        <v>720</v>
      </c>
      <c r="U38">
        <v>4000000</v>
      </c>
      <c r="V38">
        <v>10</v>
      </c>
      <c r="W38">
        <v>10</v>
      </c>
      <c r="X38" t="s">
        <v>204</v>
      </c>
    </row>
    <row r="39" spans="1:24" ht="16" thickBot="1">
      <c r="A39" s="9" t="s">
        <v>258</v>
      </c>
      <c r="B39" s="255">
        <v>5</v>
      </c>
      <c r="C39" s="2">
        <f>IF(B39&gt;0,ROUNDUP(B39/5,0)-1,0)</f>
        <v>0</v>
      </c>
      <c r="F39" s="4">
        <v>0</v>
      </c>
      <c r="S39" t="s">
        <v>200</v>
      </c>
      <c r="T39" t="s">
        <v>721</v>
      </c>
      <c r="U39">
        <v>6000000</v>
      </c>
      <c r="V39">
        <v>15</v>
      </c>
      <c r="W39">
        <v>11</v>
      </c>
      <c r="X39" t="s">
        <v>205</v>
      </c>
    </row>
    <row r="40" spans="1:24" ht="16" thickBot="1">
      <c r="A40" t="s">
        <v>257</v>
      </c>
      <c r="B40" s="254" t="s">
        <v>237</v>
      </c>
      <c r="C40" s="2">
        <f>VLOOKUP(B40,S90:X93,4)</f>
        <v>5</v>
      </c>
      <c r="D40" s="2">
        <f>VLOOKUP(B40,S90:X93,5)</f>
        <v>9</v>
      </c>
      <c r="F40" s="4">
        <f>VLOOKUP(B40,S90:X93,3)</f>
        <v>1000000</v>
      </c>
      <c r="I40" t="str">
        <f>VLOOKUP(B40,S90:X93,6)</f>
        <v>Replace 10 gunners at DM 0 skill level</v>
      </c>
      <c r="S40" t="s">
        <v>201</v>
      </c>
      <c r="T40" t="s">
        <v>722</v>
      </c>
      <c r="U40">
        <v>8000000</v>
      </c>
      <c r="V40">
        <v>20</v>
      </c>
      <c r="W40">
        <v>12</v>
      </c>
      <c r="X40" t="s">
        <v>206</v>
      </c>
    </row>
    <row r="41" spans="1:24" ht="16" thickBot="1">
      <c r="A41" s="9" t="s">
        <v>259</v>
      </c>
      <c r="B41" s="255">
        <v>3</v>
      </c>
      <c r="C41" s="2">
        <f>IF(B41&gt;0,ROUNDUP(B41/10,0)-1,0)</f>
        <v>0</v>
      </c>
      <c r="F41" s="4"/>
      <c r="I41" t="str">
        <f>"Limit = "&amp;'10-Crew'!X7</f>
        <v>Limit = 3</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283</v>
      </c>
      <c r="C44" s="2">
        <f>INDEX($S$96:$X$97,MATCH($B$44,$S$96:$S$97,0),4)</f>
        <v>0</v>
      </c>
      <c r="D44" s="2">
        <f>INDEX($S$96:$X$97,MATCH($B$44,$S$96:$S$97,0),5)</f>
        <v>0</v>
      </c>
      <c r="F44" s="4">
        <f>INDEX($S$96:$X$97,MATCH($B$44,$S$96:$S$97,0),3)</f>
        <v>0</v>
      </c>
      <c r="I44" t="str">
        <f>INDEX($S$96:$X$97,MATCH($B$44,$S$96:$S$97,0),6)</f>
        <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1536</v>
      </c>
      <c r="D48" s="2">
        <f>INDEX(S104:X105,MATCH(B48,S104:S105,0),4)</f>
        <v>9</v>
      </c>
      <c r="E48">
        <f>INDEX(S104:X105,MATCH(B48,S104:S105,0),5)</f>
        <v>12</v>
      </c>
      <c r="F48" s="4">
        <f>INDEX(S104:X105,MATCH(B48,S104:S105,0),3)</f>
        <v>25000000</v>
      </c>
      <c r="I48" t="str">
        <f>INDEX(S104:X105,MATCH(B48,S104:S105,0),6)</f>
        <v>DM +1 to any Science research checks</v>
      </c>
      <c r="S48" t="s">
        <v>173</v>
      </c>
      <c r="T48" t="str">
        <f>"+3"</f>
        <v>+3</v>
      </c>
      <c r="U48">
        <v>36000000</v>
      </c>
      <c r="V48">
        <v>15</v>
      </c>
      <c r="W48">
        <v>15</v>
      </c>
      <c r="X48" t="s">
        <v>178</v>
      </c>
    </row>
    <row r="49" spans="1:24" ht="16" thickBot="1">
      <c r="A49" t="s">
        <v>1554</v>
      </c>
      <c r="B49" s="254" t="s">
        <v>1529</v>
      </c>
      <c r="C49" s="240">
        <v>1</v>
      </c>
      <c r="D49" s="2">
        <f>INDEX(S106:X108,MATCH(B49,S106:S108,0),4)*C49</f>
        <v>6</v>
      </c>
      <c r="E49">
        <f>INDEX(S106:X108,MATCH(B49,S106:S108,0),5)</f>
        <v>11</v>
      </c>
      <c r="F49" s="4">
        <f>INDEX(S106:X108,MATCH(B49,S106:S108,0),3)*C49</f>
        <v>20000000</v>
      </c>
      <c r="I49" t="str">
        <f>INDEX(S106:X108,MATCH(B49,S106:S108,0),6)</f>
        <v>DM +2 to Purchased Science(Specific) research checks</v>
      </c>
      <c r="S49" t="str">
        <f>""</f>
        <v/>
      </c>
      <c r="T49" t="s">
        <v>61</v>
      </c>
      <c r="U49">
        <v>0</v>
      </c>
      <c r="V49">
        <v>0</v>
      </c>
      <c r="W49">
        <v>0</v>
      </c>
      <c r="X49" t="s">
        <v>33</v>
      </c>
    </row>
    <row r="50" spans="1:24" ht="16" thickBot="1">
      <c r="A50" t="s">
        <v>1530</v>
      </c>
      <c r="B50" s="254" t="s">
        <v>1538</v>
      </c>
      <c r="C50" s="240">
        <v>1</v>
      </c>
      <c r="D50" s="2">
        <f>INDEX(S109:X112,MATCH(B50,S109:S112,0),4)*C50</f>
        <v>3</v>
      </c>
      <c r="E50">
        <f>INDEX(S109:X112,MATCH(B50,S109:S112,0),5)</f>
        <v>8</v>
      </c>
      <c r="F50" s="4">
        <f>INDEX(S109:X112,MATCH(B50,S109:S112,0),3)*C50</f>
        <v>2000000</v>
      </c>
      <c r="I50" t="str">
        <f>INDEX(S109:X112,MATCH(B50,S109:S112,0),6)</f>
        <v>DM +2 to avoid mishap for up to 12 people.</v>
      </c>
      <c r="S50" t="s">
        <v>179</v>
      </c>
      <c r="T50" t="s">
        <v>100</v>
      </c>
      <c r="U50">
        <v>14000000</v>
      </c>
      <c r="V50">
        <v>12</v>
      </c>
      <c r="W50">
        <v>13</v>
      </c>
      <c r="X50" t="s">
        <v>180</v>
      </c>
    </row>
    <row r="51" spans="1:24" ht="16" thickBot="1">
      <c r="A51" t="s">
        <v>1531</v>
      </c>
      <c r="B51" s="254" t="s">
        <v>1541</v>
      </c>
      <c r="C51" s="240">
        <v>1</v>
      </c>
      <c r="D51" s="2">
        <f>INDEX(S113:X116,MATCH(B51,S113:S116,0),4)*C51</f>
        <v>4</v>
      </c>
      <c r="E51">
        <f>INDEX(S113:X116,MATCH(B51,S113:S116,0),5)</f>
        <v>9</v>
      </c>
      <c r="F51" s="4">
        <f>INDEX(S113:X116,MATCH(B51,S113:S116,0),3)*C51</f>
        <v>2000000</v>
      </c>
      <c r="I51" t="str">
        <f>INDEX(S113:X116,MATCH(B51,S113:S116,0),6)</f>
        <v>DM +1 to any Science research checks for up to 12 researchers.</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1547</v>
      </c>
      <c r="C53" s="2"/>
      <c r="D53" s="2">
        <f>INDEX(S121:X124,MATCH(B53,S121:S124,0),4)</f>
        <v>2</v>
      </c>
      <c r="E53">
        <f>INDEX(S121:X124,MATCH(B53,S121:S124,0),5)</f>
        <v>9</v>
      </c>
      <c r="F53" s="4">
        <f>INDEX(S121:X124,MATCH(B53,S121:S124,0),3)</f>
        <v>1000000</v>
      </c>
      <c r="I53" t="str">
        <f>INDEX(S121:X124,MATCH(B53,S121:S124,0),6)</f>
        <v>DM +1 to Planetology/Prospecting/Weather Prediction</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0</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5</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10</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15</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20</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25</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30</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35</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40</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Anti-Hijack/1, Basic Fire Control/1, Evade/1, Intellect, Jump Control/3, Launch Solution/1, Virtual Crew/1: 5 additional crew replaced, Virtual Gunner/0: 3 additional gunners replaced, Science (General), 1x Science (Specific), 1x Mentor/1, 1x Research Assist/1, Planetology/1</v>
      </c>
      <c r="U98" t="s">
        <v>1581</v>
      </c>
    </row>
    <row r="99" spans="6:24">
      <c r="F99" s="4"/>
    </row>
    <row r="100" spans="6:24">
      <c r="F100" s="4"/>
      <c r="S100" t="s">
        <v>55</v>
      </c>
    </row>
    <row r="101" spans="6:24">
      <c r="F101" s="4"/>
      <c r="S101">
        <f>IF(B44=S96,1,0)</f>
        <v>0</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12 people.</v>
      </c>
    </row>
    <row r="111" spans="6:24">
      <c r="F111" s="4"/>
      <c r="S111" t="s">
        <v>1539</v>
      </c>
      <c r="U111">
        <v>3000000</v>
      </c>
      <c r="V111">
        <v>5</v>
      </c>
      <c r="W111">
        <v>10</v>
      </c>
      <c r="X111" t="str">
        <f>"DM +3 to avoid mishap for up to "&amp;C50*12&amp;" people."</f>
        <v>DM +3 to avoid mishap for up to 12 people.</v>
      </c>
    </row>
    <row r="112" spans="6:24">
      <c r="F112" s="4"/>
      <c r="S112" t="s">
        <v>1540</v>
      </c>
      <c r="U112">
        <v>4000000</v>
      </c>
      <c r="V112">
        <v>7</v>
      </c>
      <c r="W112">
        <v>12</v>
      </c>
      <c r="X112" t="str">
        <f>"DM +4 to avoid mishap for up to "&amp;C50*12&amp;" people."</f>
        <v>DM +4 to avoid mishap for up to 12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12 researchers.</v>
      </c>
    </row>
    <row r="115" spans="6:24">
      <c r="F115" s="4"/>
      <c r="S115" t="s">
        <v>1542</v>
      </c>
      <c r="U115">
        <v>3000000</v>
      </c>
      <c r="V115">
        <v>6</v>
      </c>
      <c r="W115">
        <v>11</v>
      </c>
      <c r="X115" t="str">
        <f>"DM +2 to any Science research checks for up to "&amp;12*C51&amp;" researchers."</f>
        <v>DM +2 to any Science research checks for up to 12 researchers.</v>
      </c>
    </row>
    <row r="116" spans="6:24">
      <c r="F116" s="4"/>
      <c r="S116" t="s">
        <v>1543</v>
      </c>
      <c r="U116">
        <v>5000000</v>
      </c>
      <c r="V116">
        <v>8</v>
      </c>
      <c r="W116">
        <v>13</v>
      </c>
      <c r="X116" t="str">
        <f>"DM +3 to any Science research checks for up to "&amp;12*C51&amp;" researchers."</f>
        <v>DM +3 to any Science research checks for up to 12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4" priority="46">
      <formula>$D$21&gt;$D$2</formula>
    </cfRule>
  </conditionalFormatting>
  <conditionalFormatting sqref="A22:D22">
    <cfRule type="expression" dxfId="503" priority="45">
      <formula>$D$22&gt;$D$2</formula>
    </cfRule>
  </conditionalFormatting>
  <conditionalFormatting sqref="A23:D23">
    <cfRule type="expression" dxfId="502" priority="44">
      <formula>$D$23&gt;$D$2</formula>
    </cfRule>
  </conditionalFormatting>
  <conditionalFormatting sqref="A24:D24">
    <cfRule type="expression" dxfId="501" priority="43">
      <formula>$D$24&gt;$D$2</formula>
    </cfRule>
  </conditionalFormatting>
  <conditionalFormatting sqref="A26:D26">
    <cfRule type="expression" dxfId="500" priority="42">
      <formula>$D$26&gt;$D$2</formula>
    </cfRule>
  </conditionalFormatting>
  <conditionalFormatting sqref="A27:D27">
    <cfRule type="expression" dxfId="499" priority="41">
      <formula>$D$27&gt;$D$2</formula>
    </cfRule>
  </conditionalFormatting>
  <conditionalFormatting sqref="A28:D28">
    <cfRule type="expression" dxfId="498" priority="40">
      <formula>$D$28&gt;$D$2</formula>
    </cfRule>
  </conditionalFormatting>
  <conditionalFormatting sqref="A29:D29">
    <cfRule type="expression" dxfId="497" priority="39">
      <formula>$D$29&gt;$D$2</formula>
    </cfRule>
  </conditionalFormatting>
  <conditionalFormatting sqref="A30:D30">
    <cfRule type="expression" dxfId="496" priority="38">
      <formula>$D$30&gt;$D$2</formula>
    </cfRule>
  </conditionalFormatting>
  <conditionalFormatting sqref="A31:D31">
    <cfRule type="expression" dxfId="495" priority="37">
      <formula>$D$31&gt;$D$2</formula>
    </cfRule>
  </conditionalFormatting>
  <conditionalFormatting sqref="A32:D32">
    <cfRule type="expression" dxfId="494" priority="36">
      <formula>$D$32&gt;$D$2</formula>
    </cfRule>
  </conditionalFormatting>
  <conditionalFormatting sqref="A33:D33">
    <cfRule type="expression" dxfId="493" priority="35">
      <formula>$D$33&gt;$D$2</formula>
    </cfRule>
  </conditionalFormatting>
  <conditionalFormatting sqref="A36:D36">
    <cfRule type="expression" dxfId="492" priority="34">
      <formula>$D$36&gt;$D$2</formula>
    </cfRule>
  </conditionalFormatting>
  <conditionalFormatting sqref="A37:D37">
    <cfRule type="expression" dxfId="491" priority="33">
      <formula>$D$37&gt;$D$2</formula>
    </cfRule>
  </conditionalFormatting>
  <conditionalFormatting sqref="A38:D38">
    <cfRule type="expression" dxfId="490" priority="32">
      <formula>$D$38&gt;$D$2</formula>
    </cfRule>
  </conditionalFormatting>
  <conditionalFormatting sqref="A40:D40">
    <cfRule type="expression" dxfId="489" priority="31">
      <formula>$D$40&gt;$D$2</formula>
    </cfRule>
  </conditionalFormatting>
  <conditionalFormatting sqref="B10">
    <cfRule type="cellIs" dxfId="487" priority="18" operator="equal">
      <formula>$S$21</formula>
    </cfRule>
  </conditionalFormatting>
  <conditionalFormatting sqref="B11 B14:B15">
    <cfRule type="cellIs" dxfId="486" priority="25" operator="equal">
      <formula>$S$21</formula>
    </cfRule>
  </conditionalFormatting>
  <conditionalFormatting sqref="B13">
    <cfRule type="cellIs" dxfId="485" priority="727" operator="equal">
      <formula>$S$1</formula>
    </cfRule>
    <cfRule type="expression" dxfId="484" priority="728">
      <formula>($V$21-1)&lt;$V$22</formula>
    </cfRule>
  </conditionalFormatting>
  <conditionalFormatting sqref="B21">
    <cfRule type="cellIs" dxfId="483" priority="19" operator="equal">
      <formula>$S$25</formula>
    </cfRule>
  </conditionalFormatting>
  <conditionalFormatting sqref="B22 B24">
    <cfRule type="cellIs" dxfId="482" priority="13" operator="equal">
      <formula>$S$29</formula>
    </cfRule>
  </conditionalFormatting>
  <conditionalFormatting sqref="B23 B27">
    <cfRule type="cellIs" dxfId="481" priority="16" operator="equal">
      <formula>$S$25</formula>
    </cfRule>
  </conditionalFormatting>
  <conditionalFormatting sqref="B25">
    <cfRule type="cellIs" dxfId="480" priority="744" operator="equal">
      <formula>$S$42</formula>
    </cfRule>
  </conditionalFormatting>
  <conditionalFormatting sqref="B26 B28">
    <cfRule type="cellIs" dxfId="479" priority="737" operator="equal">
      <formula>$S$29</formula>
    </cfRule>
  </conditionalFormatting>
  <conditionalFormatting sqref="B29:B33">
    <cfRule type="cellIs" dxfId="478" priority="740" operator="equal">
      <formula>$S$33</formula>
    </cfRule>
  </conditionalFormatting>
  <conditionalFormatting sqref="B34:B35">
    <cfRule type="expression" dxfId="477" priority="1">
      <formula>$B$34=""</formula>
    </cfRule>
  </conditionalFormatting>
  <conditionalFormatting sqref="B36:B38 B40">
    <cfRule type="cellIs" dxfId="476" priority="741" operator="equal">
      <formula>$S$36</formula>
    </cfRule>
  </conditionalFormatting>
  <conditionalFormatting sqref="B39">
    <cfRule type="cellIs" dxfId="475" priority="26" operator="equal">
      <formula>0</formula>
    </cfRule>
  </conditionalFormatting>
  <conditionalFormatting sqref="B41">
    <cfRule type="cellIs" dxfId="474" priority="27" operator="equal">
      <formula>0</formula>
    </cfRule>
    <cfRule type="expression" dxfId="473" priority="4">
      <formula>$Y$23=1</formula>
    </cfRule>
  </conditionalFormatting>
  <conditionalFormatting sqref="B44">
    <cfRule type="cellIs" dxfId="472" priority="743" operator="equal">
      <formula>$S$97</formula>
    </cfRule>
  </conditionalFormatting>
  <conditionalFormatting sqref="B48:B53">
    <cfRule type="cellIs" dxfId="471" priority="9" operator="equal">
      <formula>$S$104</formula>
    </cfRule>
  </conditionalFormatting>
  <conditionalFormatting sqref="B49:B52">
    <cfRule type="expression" dxfId="470" priority="6">
      <formula>AND($B49="",$C49&gt;0)</formula>
    </cfRule>
  </conditionalFormatting>
  <conditionalFormatting sqref="B55">
    <cfRule type="cellIs" dxfId="469" priority="3" operator="equal">
      <formula>$S$104</formula>
    </cfRule>
  </conditionalFormatting>
  <conditionalFormatting sqref="B9:Q9">
    <cfRule type="expression" dxfId="467" priority="54">
      <formula>$B$9=$S$1</formula>
    </cfRule>
  </conditionalFormatting>
  <conditionalFormatting sqref="C6:C7">
    <cfRule type="expression" dxfId="466" priority="30">
      <formula>$C$6="Yes"</formula>
    </cfRule>
  </conditionalFormatting>
  <conditionalFormatting sqref="C17">
    <cfRule type="expression" dxfId="465" priority="748">
      <formula>SUM($C$21:$C$41)&gt;(VLOOKUP(B9,S1:V16,4))</formula>
    </cfRule>
  </conditionalFormatting>
  <conditionalFormatting sqref="C42">
    <cfRule type="cellIs" dxfId="464" priority="28" operator="equal">
      <formula>0</formula>
    </cfRule>
    <cfRule type="expression" dxfId="463" priority="47">
      <formula>$C$42&gt;$C$17</formula>
    </cfRule>
  </conditionalFormatting>
  <conditionalFormatting sqref="C49:C52">
    <cfRule type="expression" dxfId="462" priority="8">
      <formula>AND($B49&lt;&gt;"",$C49=0)</formula>
    </cfRule>
  </conditionalFormatting>
  <conditionalFormatting sqref="D9 D13">
    <cfRule type="cellIs" dxfId="461" priority="29" operator="greaterThan">
      <formula>$D$2</formula>
    </cfRule>
  </conditionalFormatting>
  <conditionalFormatting sqref="E48:E53">
    <cfRule type="cellIs" dxfId="460"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topLeftCell="A3" workbookViewId="0">
      <selection activeCell="B31" sqref="B31"/>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Survey and Exploration Ship</v>
      </c>
      <c r="F1" s="1" t="s">
        <v>1</v>
      </c>
      <c r="S1" s="3" t="s">
        <v>267</v>
      </c>
      <c r="T1" s="3" t="s">
        <v>26</v>
      </c>
      <c r="U1" s="3" t="s">
        <v>1</v>
      </c>
      <c r="V1" s="3" t="s">
        <v>262</v>
      </c>
      <c r="W1" s="3" t="s">
        <v>117</v>
      </c>
      <c r="X1" s="3"/>
      <c r="Y1" s="3" t="s">
        <v>171</v>
      </c>
    </row>
    <row r="2" spans="1:26">
      <c r="A2" s="3" t="s">
        <v>432</v>
      </c>
      <c r="B2" t="str">
        <f>'Ship Info'!B2</f>
        <v>Scout</v>
      </c>
      <c r="C2" s="3" t="s">
        <v>0</v>
      </c>
      <c r="D2" s="2">
        <f>'Ship Info'!F2</f>
        <v>14</v>
      </c>
      <c r="F2" s="10">
        <f>'Ship Info'!G2</f>
        <v>1536124666.6666665</v>
      </c>
      <c r="S2" t="s">
        <v>576</v>
      </c>
      <c r="T2">
        <v>0</v>
      </c>
      <c r="U2">
        <v>0</v>
      </c>
      <c r="V2">
        <v>0</v>
      </c>
      <c r="W2">
        <v>0</v>
      </c>
      <c r="X2">
        <v>0</v>
      </c>
      <c r="Y2" t="str">
        <f>""</f>
        <v/>
      </c>
    </row>
    <row r="3" spans="1:26">
      <c r="F3" s="10"/>
      <c r="H3" s="506">
        <f>S14</f>
        <v>60</v>
      </c>
      <c r="K3" s="507">
        <f>S17</f>
        <v>49</v>
      </c>
      <c r="S3" t="s">
        <v>292</v>
      </c>
      <c r="T3">
        <f>IF(D2=7,7,8)</f>
        <v>8</v>
      </c>
      <c r="U3">
        <f>IF(T3=8,0,U4)</f>
        <v>0</v>
      </c>
      <c r="V3">
        <f>IF($T$3=8,0,V4)</f>
        <v>0</v>
      </c>
      <c r="W3">
        <f>IF($T$3=8,0,W4)</f>
        <v>0</v>
      </c>
      <c r="X3" t="str">
        <f>"-4"</f>
        <v>-4</v>
      </c>
      <c r="Y3" t="s">
        <v>293</v>
      </c>
    </row>
    <row r="4" spans="1:26">
      <c r="F4" s="508" t="s">
        <v>45</v>
      </c>
      <c r="H4" s="786" t="s">
        <v>46</v>
      </c>
      <c r="I4" s="786"/>
      <c r="K4" s="786" t="s">
        <v>47</v>
      </c>
      <c r="L4" s="786"/>
      <c r="S4" t="s">
        <v>295</v>
      </c>
      <c r="T4">
        <v>9</v>
      </c>
      <c r="U4">
        <v>3000000</v>
      </c>
      <c r="V4">
        <v>1</v>
      </c>
      <c r="W4">
        <v>1</v>
      </c>
      <c r="X4" t="str">
        <f>"-2"</f>
        <v>-2</v>
      </c>
      <c r="Y4" t="s">
        <v>294</v>
      </c>
    </row>
    <row r="5" spans="1:26">
      <c r="F5" s="506">
        <f>SUM(F8:F35)</f>
        <v>97700000</v>
      </c>
      <c r="H5" s="1" t="s">
        <v>403</v>
      </c>
      <c r="I5" s="1" t="s">
        <v>27</v>
      </c>
      <c r="K5" s="1" t="s">
        <v>403</v>
      </c>
      <c r="L5" s="1" t="s">
        <v>27</v>
      </c>
      <c r="S5" t="s">
        <v>299</v>
      </c>
      <c r="T5">
        <v>10</v>
      </c>
      <c r="U5">
        <v>4100000</v>
      </c>
      <c r="V5">
        <v>2</v>
      </c>
      <c r="W5">
        <v>2</v>
      </c>
      <c r="X5" t="str">
        <f>"0"</f>
        <v>0</v>
      </c>
      <c r="Y5" t="s">
        <v>296</v>
      </c>
    </row>
    <row r="6" spans="1:26">
      <c r="B6" s="497" t="s">
        <v>2181</v>
      </c>
      <c r="F6" s="4"/>
      <c r="H6" s="10">
        <f>'Ship Info'!I3</f>
        <v>6.25</v>
      </c>
      <c r="I6" s="270">
        <f>'1-Hull'!B4</f>
        <v>1000</v>
      </c>
      <c r="J6" s="2"/>
      <c r="K6" s="270">
        <f>'Ship Info'!L3</f>
        <v>6</v>
      </c>
      <c r="L6" s="270">
        <f>'3-Pwr Plant'!L6</f>
        <v>850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3</v>
      </c>
      <c r="D8" s="18">
        <f>VLOOKUP(B8,S3:Y8,2)</f>
        <v>12</v>
      </c>
      <c r="F8" s="4">
        <f>VLOOKUP(B8,S3:Y8,3)*C8</f>
        <v>12900000</v>
      </c>
      <c r="H8" s="4">
        <f>VLOOKUP(B8,S3:Y8,5)*C8</f>
        <v>9</v>
      </c>
      <c r="K8">
        <f>VLOOKUP(B8,S3:Y8,4)*C8</f>
        <v>12</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576</v>
      </c>
      <c r="C11" s="200">
        <v>0</v>
      </c>
      <c r="D11" s="18">
        <f>VLOOKUP(B11,S2:Y7,2)</f>
        <v>0</v>
      </c>
      <c r="F11" s="4">
        <f>VLOOKUP(B11,S2:Y7,3)*C11</f>
        <v>0</v>
      </c>
      <c r="H11" s="4">
        <f>VLOOKUP(B11,S2:Y7,5)*C11</f>
        <v>0</v>
      </c>
      <c r="K11">
        <f>VLOOKUP(B11,S2:Y7,4)*C11</f>
        <v>0</v>
      </c>
      <c r="S11" t="s">
        <v>283</v>
      </c>
    </row>
    <row r="12" spans="1:26" ht="16" thickBot="1">
      <c r="A12" s="22"/>
      <c r="B12" s="102" t="s">
        <v>265</v>
      </c>
      <c r="C12" s="226">
        <v>0</v>
      </c>
      <c r="D12" s="227"/>
      <c r="E12" s="103" t="s">
        <v>1238</v>
      </c>
      <c r="F12" s="23">
        <f>500000*ROUNDDOWN(C12,0)+(200000*IF(E13=U13,0,0.1*C12))</f>
        <v>0</v>
      </c>
      <c r="G12" s="22"/>
      <c r="H12" s="23">
        <f>1*ROUNDDOWN(C12,0)*IF(E13=U13,1,1.1)</f>
        <v>0</v>
      </c>
      <c r="I12" s="22"/>
      <c r="J12" s="22"/>
      <c r="K12" s="22"/>
      <c r="L12" s="22"/>
    </row>
    <row r="13" spans="1:26" ht="16" thickBot="1">
      <c r="A13" s="22"/>
      <c r="B13" s="102" t="s">
        <v>266</v>
      </c>
      <c r="C13" s="324">
        <f>MAX(MIN(1+('10-Crew'!F17*'10-Crew'!R17),C12+1+'5-Bridge'!C17),MIN(ROUNDUP(Tonnage/7500,0)+C12,'10-Crew'!F17/'10-Crew'!R17))</f>
        <v>1</v>
      </c>
      <c r="D13" s="227"/>
      <c r="E13" s="205" t="s">
        <v>99</v>
      </c>
      <c r="F13" s="23"/>
      <c r="G13" s="22"/>
      <c r="H13" s="23"/>
      <c r="I13" s="22"/>
      <c r="J13" s="22"/>
      <c r="K13" s="22"/>
      <c r="L13" s="22"/>
      <c r="S13" t="s">
        <v>399</v>
      </c>
      <c r="U13" t="s">
        <v>99</v>
      </c>
      <c r="V13">
        <v>1</v>
      </c>
    </row>
    <row r="14" spans="1:26">
      <c r="A14" s="3" t="s">
        <v>268</v>
      </c>
      <c r="B14" s="119"/>
      <c r="C14" s="75" t="s">
        <v>1704</v>
      </c>
      <c r="D14" s="384"/>
      <c r="E14" s="119"/>
      <c r="F14" s="385"/>
      <c r="H14" s="4"/>
      <c r="S14">
        <f>SUM(H8:H33)</f>
        <v>60</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0</v>
      </c>
      <c r="C16" t="s">
        <v>285</v>
      </c>
      <c r="D16" s="18">
        <v>13</v>
      </c>
      <c r="E16" s="18"/>
      <c r="F16" s="20">
        <f>B16*4000000</f>
        <v>0</v>
      </c>
      <c r="G16" s="19"/>
      <c r="H16" s="419">
        <f>IF(B16&gt;0,2,0)*B16</f>
        <v>0</v>
      </c>
      <c r="I16" s="19"/>
      <c r="J16" s="19"/>
      <c r="K16" s="336">
        <f>IF(B16&gt;0,1,0)*B16</f>
        <v>0</v>
      </c>
      <c r="L16" s="19"/>
      <c r="S16" t="s">
        <v>400</v>
      </c>
      <c r="V16" t="s">
        <v>913</v>
      </c>
      <c r="W16">
        <f>IF(D8&gt;D2,1,0)</f>
        <v>0</v>
      </c>
      <c r="Y16" t="s">
        <v>916</v>
      </c>
      <c r="Z16">
        <f>IF(AND(B8&lt;S38,B20&gt;0),1,0)</f>
        <v>0</v>
      </c>
    </row>
    <row r="17" spans="1:26" ht="16" thickBot="1">
      <c r="A17" t="s">
        <v>270</v>
      </c>
      <c r="B17" s="337">
        <v>1</v>
      </c>
      <c r="C17" t="str">
        <f>+"Scan "&amp;H17*20&amp;" T/Hr"</f>
        <v>Scan 20 T/Hr</v>
      </c>
      <c r="D17" s="18">
        <v>13</v>
      </c>
      <c r="E17" s="18"/>
      <c r="F17" s="20">
        <f>H17*1000000</f>
        <v>1000000</v>
      </c>
      <c r="G17" s="19"/>
      <c r="H17" s="419">
        <f>B17</f>
        <v>1</v>
      </c>
      <c r="I17" s="19"/>
      <c r="J17" s="19"/>
      <c r="K17" s="336">
        <f>IF(F17&gt;0,1,0)*B17</f>
        <v>1</v>
      </c>
      <c r="L17" s="19"/>
      <c r="S17">
        <f>SUM(K8:K31)</f>
        <v>49</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3</v>
      </c>
      <c r="C19" t="s">
        <v>286</v>
      </c>
      <c r="D19" s="18">
        <v>13</v>
      </c>
      <c r="E19" s="18"/>
      <c r="F19" s="20">
        <f>IF(B19&gt;0,8000000,0)*B19</f>
        <v>24000000</v>
      </c>
      <c r="G19" s="19"/>
      <c r="H19" s="419">
        <f>IF(F19&gt;0,2,0)*B19</f>
        <v>6</v>
      </c>
      <c r="I19" s="19"/>
      <c r="J19" s="19"/>
      <c r="K19" s="336">
        <f>IF(F19&gt;0,2,0)*B19</f>
        <v>6</v>
      </c>
      <c r="L19" s="19"/>
      <c r="V19">
        <v>18</v>
      </c>
      <c r="W19">
        <f>IF(AND(B18&gt;0,D18&gt;D2),1,0)</f>
        <v>0</v>
      </c>
      <c r="Y19" t="s">
        <v>919</v>
      </c>
      <c r="Z19">
        <f>IF(AND(B8&lt;S38,B30&gt;0),1,0)</f>
        <v>0</v>
      </c>
    </row>
    <row r="20" spans="1:26" ht="16" thickBot="1">
      <c r="A20" t="s">
        <v>273</v>
      </c>
      <c r="B20" s="337">
        <v>1</v>
      </c>
      <c r="C20" t="s">
        <v>284</v>
      </c>
      <c r="D20" s="18">
        <v>11</v>
      </c>
      <c r="E20" s="18"/>
      <c r="F20" s="20">
        <f>IF(B20&gt;0,2*F8,0)*B20</f>
        <v>25800000</v>
      </c>
      <c r="G20" s="19"/>
      <c r="H20" s="419">
        <f>IF(F20&gt;0,2*H8,0)*B20</f>
        <v>18</v>
      </c>
      <c r="I20" s="19"/>
      <c r="J20" s="19"/>
      <c r="K20" s="336">
        <f>IF(F20&gt;0,2*K8,0)*B20</f>
        <v>24</v>
      </c>
      <c r="L20" s="19"/>
      <c r="S20" t="s">
        <v>431</v>
      </c>
      <c r="V20">
        <v>19</v>
      </c>
      <c r="W20">
        <f>IF(AND(B19&gt;0,D19&gt;D2),1,0)</f>
        <v>0</v>
      </c>
      <c r="Y20" t="s">
        <v>998</v>
      </c>
      <c r="Z20">
        <f>IF(B11&gt;B8,1,0)</f>
        <v>0</v>
      </c>
    </row>
    <row r="21" spans="1:26" ht="16" thickBot="1">
      <c r="A21" t="s">
        <v>274</v>
      </c>
      <c r="B21" s="337">
        <v>1</v>
      </c>
      <c r="C21" t="s">
        <v>287</v>
      </c>
      <c r="D21" s="18">
        <v>10</v>
      </c>
      <c r="E21" s="18"/>
      <c r="F21" s="20">
        <f>IF(H21&gt;0,1000000*H21,0)*B21</f>
        <v>10000000</v>
      </c>
      <c r="G21" s="19"/>
      <c r="H21" s="419">
        <f>IF(B21&gt;0,ROUNDUP(0.01*'1-Hull'!B4,0),0)*B21</f>
        <v>10</v>
      </c>
      <c r="I21" s="19"/>
      <c r="J21" s="19"/>
      <c r="K21" s="336">
        <v>0</v>
      </c>
      <c r="L21" s="19"/>
      <c r="S21">
        <f>0.1*SUM(H14:H31,H8:H11)</f>
        <v>6</v>
      </c>
      <c r="V21">
        <v>20</v>
      </c>
      <c r="W21">
        <f>IF(AND(B20&gt;0,D20&gt;D2),1,0)</f>
        <v>0</v>
      </c>
      <c r="Y21" t="s">
        <v>999</v>
      </c>
      <c r="Z21">
        <f>IF(AND(B8=S3,B11=S3),1,0)</f>
        <v>0</v>
      </c>
    </row>
    <row r="22" spans="1:26" ht="16" thickBot="1">
      <c r="A22" t="s">
        <v>275</v>
      </c>
      <c r="B22" s="337">
        <v>1</v>
      </c>
      <c r="C22" t="s">
        <v>288</v>
      </c>
      <c r="D22" s="18">
        <v>11</v>
      </c>
      <c r="E22" s="18"/>
      <c r="F22" s="20">
        <f>IF(B22&gt;0,4000000,0)*B22</f>
        <v>4000000</v>
      </c>
      <c r="G22" s="19"/>
      <c r="H22" s="419">
        <f>IF(F22&gt;0,1,0)*B22</f>
        <v>1</v>
      </c>
      <c r="I22" s="19"/>
      <c r="J22" s="19"/>
      <c r="K22" s="336">
        <f>IF(F22&gt;0,1,0)*B22</f>
        <v>1</v>
      </c>
      <c r="L22" s="19"/>
      <c r="S22">
        <f>200000*S21</f>
        <v>1200000</v>
      </c>
      <c r="V22">
        <v>21</v>
      </c>
      <c r="W22">
        <f>IF(AND(B21&gt;0,D21&gt;D2),1,0)</f>
        <v>0</v>
      </c>
      <c r="Y22" t="s">
        <v>1224</v>
      </c>
      <c r="Z22">
        <f>IF(AND(B8=S3,C8&gt;1),1,0)</f>
        <v>0</v>
      </c>
    </row>
    <row r="23" spans="1:26" ht="16" thickBot="1">
      <c r="A23" t="s">
        <v>276</v>
      </c>
      <c r="B23" s="337">
        <v>3</v>
      </c>
      <c r="C23" t="s">
        <v>290</v>
      </c>
      <c r="D23" s="18">
        <v>12</v>
      </c>
      <c r="E23" s="18"/>
      <c r="F23" s="20">
        <f>IF(B23&gt;0,2000000,0)*B23</f>
        <v>6000000</v>
      </c>
      <c r="G23" s="19"/>
      <c r="H23" s="419">
        <f>IF(F23&gt;0,1,0)*B23</f>
        <v>3</v>
      </c>
      <c r="I23" s="19"/>
      <c r="J23" s="19"/>
      <c r="K23" s="336">
        <f>IF(F23&gt;0,1,0)*B23</f>
        <v>3</v>
      </c>
      <c r="L23" s="19"/>
      <c r="S23" t="s">
        <v>701</v>
      </c>
      <c r="V23">
        <v>22</v>
      </c>
      <c r="W23">
        <f>IF(AND(B22&gt;0,D22&gt;D2),1,0)</f>
        <v>0</v>
      </c>
      <c r="Y23" t="s">
        <v>1225</v>
      </c>
      <c r="Z23">
        <f>IF(AND(B11=S3,C11&gt;1),1,0)</f>
        <v>0</v>
      </c>
    </row>
    <row r="24" spans="1:26" ht="16" thickBot="1">
      <c r="A24" t="s">
        <v>277</v>
      </c>
      <c r="B24" s="337">
        <v>1</v>
      </c>
      <c r="C24" t="s">
        <v>291</v>
      </c>
      <c r="D24" s="18">
        <v>14</v>
      </c>
      <c r="E24" s="18"/>
      <c r="F24" s="20">
        <f>IF(B24&gt;0,4000000,0)*B24</f>
        <v>4000000</v>
      </c>
      <c r="G24" s="19"/>
      <c r="H24" s="419">
        <f>IF(F24&gt;0,1,0)*B24</f>
        <v>1</v>
      </c>
      <c r="I24" s="19"/>
      <c r="J24" s="19"/>
      <c r="K24" s="336">
        <f>IF(F24&gt;0,1,0)*B24</f>
        <v>1</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0</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+Rng</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1</v>
      </c>
      <c r="C29" t="s">
        <v>304</v>
      </c>
      <c r="D29" s="18">
        <v>12</v>
      </c>
      <c r="E29" s="18"/>
      <c r="F29" s="20">
        <f>IF(B29&gt;0,5000000,0)*B29</f>
        <v>5000000</v>
      </c>
      <c r="G29" s="19"/>
      <c r="H29" s="419">
        <f>IF(F29&gt;0,1,0)*B29</f>
        <v>1</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1</v>
      </c>
      <c r="C31" t="s">
        <v>306</v>
      </c>
      <c r="D31" s="18">
        <v>10</v>
      </c>
      <c r="E31" s="18"/>
      <c r="F31" s="4">
        <f>IF(B31&gt;0,5000000,0)*B31</f>
        <v>5000000</v>
      </c>
      <c r="H31" s="4">
        <f>IF(F31&gt;0,10,0)*B31</f>
        <v>10</v>
      </c>
      <c r="K31" s="263">
        <f>IF(F31&gt;0,1,0)</f>
        <v>1</v>
      </c>
      <c r="V31">
        <v>30</v>
      </c>
      <c r="W31">
        <f>IF(AND(B30&gt;0,D30&gt;D2),1,0)</f>
        <v>0</v>
      </c>
    </row>
    <row r="32" spans="1:26" ht="16" thickBot="1">
      <c r="F32" s="4"/>
      <c r="H32" s="4"/>
      <c r="V32">
        <v>31</v>
      </c>
      <c r="W32">
        <f>IF(AND(B31&gt;0,D31&gt;D2),1,0)</f>
        <v>0</v>
      </c>
    </row>
    <row r="33" spans="1:23" ht="16" thickBot="1">
      <c r="A33" s="3" t="s">
        <v>431</v>
      </c>
      <c r="B33" s="254" t="s">
        <v>283</v>
      </c>
      <c r="C33" t="s">
        <v>379</v>
      </c>
      <c r="F33" s="4">
        <f>IF(B33=S10,S22,0)</f>
        <v>0</v>
      </c>
      <c r="H33" s="4">
        <f>IF(B33=S10,S21,0)</f>
        <v>0</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3x Improved  Sensor Array: 1 Stations, 1 tons Deep Penetration Scanners- Scan 20 T/Hr, 3x Enhanced Signal Processing, 1x Extended Arrays, 1x Extension Net, 1x Improved Signal Processing, 3x Life Scanner, 1x Life Scanner Analysis Suite, 1x Mineral Detection Suite, 1x Shallow Penetration Suite</v>
      </c>
    </row>
    <row r="34" spans="1:23" ht="16" thickBot="1">
      <c r="A34" s="3" t="s">
        <v>580</v>
      </c>
      <c r="B34" s="254" t="s">
        <v>283</v>
      </c>
      <c r="C34" t="s">
        <v>581</v>
      </c>
      <c r="F34" s="4">
        <f>IF(B34=S11,0,0.5*SUM(F8,F16:F31))</f>
        <v>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59" priority="788">
      <formula>$B$16=$S$10</formula>
    </cfRule>
  </conditionalFormatting>
  <conditionalFormatting sqref="A17">
    <cfRule type="expression" dxfId="458" priority="789">
      <formula>$B$17=$S$10</formula>
    </cfRule>
  </conditionalFormatting>
  <conditionalFormatting sqref="A18">
    <cfRule type="expression" dxfId="457" priority="790">
      <formula>$B$18=$S$10</formula>
    </cfRule>
  </conditionalFormatting>
  <conditionalFormatting sqref="A19">
    <cfRule type="expression" dxfId="456" priority="791">
      <formula>$B$19=$S$10</formula>
    </cfRule>
  </conditionalFormatting>
  <conditionalFormatting sqref="A20">
    <cfRule type="expression" dxfId="455" priority="792">
      <formula>$B$20=$S$10</formula>
    </cfRule>
  </conditionalFormatting>
  <conditionalFormatting sqref="A21">
    <cfRule type="expression" dxfId="454" priority="793">
      <formula>$B$21=$S$10</formula>
    </cfRule>
  </conditionalFormatting>
  <conditionalFormatting sqref="A22">
    <cfRule type="expression" dxfId="453" priority="794">
      <formula>$B$22=$S$10</formula>
    </cfRule>
  </conditionalFormatting>
  <conditionalFormatting sqref="A23">
    <cfRule type="expression" dxfId="452" priority="795">
      <formula>$B$23=$S$10</formula>
    </cfRule>
  </conditionalFormatting>
  <conditionalFormatting sqref="A24">
    <cfRule type="expression" dxfId="451" priority="796">
      <formula>$B$24=$S$10</formula>
    </cfRule>
  </conditionalFormatting>
  <conditionalFormatting sqref="A25">
    <cfRule type="expression" dxfId="450" priority="797">
      <formula>$B$25=$S$10</formula>
    </cfRule>
  </conditionalFormatting>
  <conditionalFormatting sqref="A26">
    <cfRule type="expression" dxfId="449" priority="785">
      <formula>$B$26=$S$10</formula>
    </cfRule>
    <cfRule type="expression" dxfId="448" priority="784" stopIfTrue="1">
      <formula>$D$25&gt;$D$2</formula>
    </cfRule>
  </conditionalFormatting>
  <conditionalFormatting sqref="A27:A28">
    <cfRule type="expression" dxfId="447" priority="798">
      <formula>$B$27=$S$10</formula>
    </cfRule>
  </conditionalFormatting>
  <conditionalFormatting sqref="A29">
    <cfRule type="expression" dxfId="446" priority="799">
      <formula>$B$29=$S$10</formula>
    </cfRule>
  </conditionalFormatting>
  <conditionalFormatting sqref="A30">
    <cfRule type="expression" dxfId="445" priority="800">
      <formula>$B$30=$S$10</formula>
    </cfRule>
  </conditionalFormatting>
  <conditionalFormatting sqref="A31">
    <cfRule type="expression" dxfId="444" priority="801">
      <formula>$B$31=$S$10</formula>
    </cfRule>
  </conditionalFormatting>
  <conditionalFormatting sqref="A16:D16">
    <cfRule type="expression" dxfId="443" priority="52" stopIfTrue="1">
      <formula>$D$16&gt;$D$2</formula>
    </cfRule>
  </conditionalFormatting>
  <conditionalFormatting sqref="A17:D17">
    <cfRule type="expression" dxfId="442" priority="51" stopIfTrue="1">
      <formula>$D$17&gt;$D$2</formula>
    </cfRule>
  </conditionalFormatting>
  <conditionalFormatting sqref="A18:D18">
    <cfRule type="expression" dxfId="441" priority="70" stopIfTrue="1">
      <formula>$D$18&gt;$D$2</formula>
    </cfRule>
    <cfRule type="expression" dxfId="439" priority="68" stopIfTrue="1">
      <formula>$B$8=$S$3</formula>
    </cfRule>
    <cfRule type="expression" dxfId="438" priority="67" stopIfTrue="1">
      <formula>$B$8=$S$4</formula>
    </cfRule>
    <cfRule type="expression" dxfId="437" priority="50" stopIfTrue="1">
      <formula>$B$8=$S$5</formula>
    </cfRule>
  </conditionalFormatting>
  <conditionalFormatting sqref="A19:D19">
    <cfRule type="expression" dxfId="436" priority="49" stopIfTrue="1">
      <formula>$D$19&gt;$D$2</formula>
    </cfRule>
  </conditionalFormatting>
  <conditionalFormatting sqref="A20:D20">
    <cfRule type="expression" dxfId="435" priority="48" stopIfTrue="1">
      <formula>$B$8=$S$5</formula>
    </cfRule>
    <cfRule type="expression" dxfId="434" priority="66" stopIfTrue="1">
      <formula>$D$20&gt;$D$2</formula>
    </cfRule>
    <cfRule type="expression" dxfId="433" priority="65" stopIfTrue="1">
      <formula>$B$8=$S$3</formula>
    </cfRule>
    <cfRule type="expression" dxfId="432" priority="64" stopIfTrue="1">
      <formula>$B$8=$S$4</formula>
    </cfRule>
  </conditionalFormatting>
  <conditionalFormatting sqref="A21:D21">
    <cfRule type="expression" dxfId="431" priority="80">
      <formula>$D$21&gt;$D$2</formula>
    </cfRule>
  </conditionalFormatting>
  <conditionalFormatting sqref="A22:D22">
    <cfRule type="expression" dxfId="430" priority="46" stopIfTrue="1">
      <formula>$D$22&gt;$D$2</formula>
    </cfRule>
  </conditionalFormatting>
  <conditionalFormatting sqref="A23:D23">
    <cfRule type="expression" dxfId="429" priority="45" stopIfTrue="1">
      <formula>$D$23&gt;$D$2</formula>
    </cfRule>
  </conditionalFormatting>
  <conditionalFormatting sqref="A24:D24">
    <cfRule type="expression" dxfId="428" priority="44" stopIfTrue="1">
      <formula>$D$24&gt;$D$2</formula>
    </cfRule>
  </conditionalFormatting>
  <conditionalFormatting sqref="A25:D25">
    <cfRule type="expression" dxfId="427" priority="774" stopIfTrue="1">
      <formula>$B$26=$S$10</formula>
    </cfRule>
    <cfRule type="expression" dxfId="426" priority="775" stopIfTrue="1">
      <formula>$D$25&gt;$D$2</formula>
    </cfRule>
  </conditionalFormatting>
  <conditionalFormatting sqref="A26:D26">
    <cfRule type="expression" dxfId="425" priority="787" stopIfTrue="1">
      <formula>$D$26&gt;$D$2</formula>
    </cfRule>
    <cfRule type="expression" dxfId="424" priority="786" stopIfTrue="1">
      <formula>$B$25=$S$10</formula>
    </cfRule>
  </conditionalFormatting>
  <conditionalFormatting sqref="A27:D27">
    <cfRule type="expression" dxfId="423" priority="41" stopIfTrue="1">
      <formula>$D$27&gt;$D$2</formula>
    </cfRule>
  </conditionalFormatting>
  <conditionalFormatting sqref="A28:D28">
    <cfRule type="expression" dxfId="422" priority="6" stopIfTrue="1">
      <formula>$D$27&gt;$D$2</formula>
    </cfRule>
  </conditionalFormatting>
  <conditionalFormatting sqref="A29:D29">
    <cfRule type="expression" dxfId="421" priority="56">
      <formula>$B$8=$S$5</formula>
    </cfRule>
    <cfRule type="expression" dxfId="420" priority="57">
      <formula>$B$8=$S$4</formula>
    </cfRule>
    <cfRule type="expression" dxfId="419" priority="58">
      <formula>$B$8=$S$3</formula>
    </cfRule>
    <cfRule type="expression" dxfId="418" priority="74">
      <formula>$D$29&gt;$D$2</formula>
    </cfRule>
  </conditionalFormatting>
  <conditionalFormatting sqref="A30:D30">
    <cfRule type="expression" dxfId="417" priority="55" stopIfTrue="1">
      <formula>$D$30&gt;$D$2</formula>
    </cfRule>
    <cfRule type="expression" dxfId="416" priority="54" stopIfTrue="1">
      <formula>$B$8=$S$5</formula>
    </cfRule>
    <cfRule type="expression" dxfId="415" priority="53" stopIfTrue="1">
      <formula>$B$8=$S$4</formula>
    </cfRule>
    <cfRule type="expression" dxfId="414" priority="39" stopIfTrue="1">
      <formula>$B$8=$S$3</formula>
    </cfRule>
  </conditionalFormatting>
  <conditionalFormatting sqref="A31:D31">
    <cfRule type="expression" dxfId="413" priority="72">
      <formula>$D$31&gt;$D$2</formula>
    </cfRule>
  </conditionalFormatting>
  <conditionalFormatting sqref="B8 B11">
    <cfRule type="expression" dxfId="411" priority="12">
      <formula>AND($B$8=$S$3,$B$8=$B$11)</formula>
    </cfRule>
  </conditionalFormatting>
  <conditionalFormatting sqref="B8 E20">
    <cfRule type="expression" dxfId="409" priority="823">
      <formula>AND($B$8&lt;$S$38,$B$20=$S$10)</formula>
    </cfRule>
  </conditionalFormatting>
  <conditionalFormatting sqref="B8 E29">
    <cfRule type="expression" dxfId="408" priority="825">
      <formula>AND($B$8&lt;$S$38,$B$29=$S$10)</formula>
    </cfRule>
  </conditionalFormatting>
  <conditionalFormatting sqref="B8 E30">
    <cfRule type="expression" dxfId="407" priority="827">
      <formula>AND($B$8&lt;$S$38,$B$30=$S$10)</formula>
    </cfRule>
  </conditionalFormatting>
  <conditionalFormatting sqref="B16:B31 C12">
    <cfRule type="cellIs" dxfId="406" priority="10" operator="greaterThan">
      <formula>0</formula>
    </cfRule>
  </conditionalFormatting>
  <conditionalFormatting sqref="B33:B34">
    <cfRule type="cellIs" dxfId="405" priority="822" operator="equal">
      <formula>$S$11</formula>
    </cfRule>
  </conditionalFormatting>
  <conditionalFormatting sqref="B8:D8">
    <cfRule type="expression" dxfId="404" priority="71">
      <formula>$D$8&gt;$D$2</formula>
    </cfRule>
  </conditionalFormatting>
  <conditionalFormatting sqref="B14:F14">
    <cfRule type="expression" dxfId="403" priority="3">
      <formula>AND($C$12&gt;0,Tonnage&gt;7500)</formula>
    </cfRule>
  </conditionalFormatting>
  <conditionalFormatting sqref="C8 B11:C11">
    <cfRule type="expression" dxfId="402" priority="15">
      <formula>$B$8="Class I - Basic"</formula>
    </cfRule>
  </conditionalFormatting>
  <conditionalFormatting sqref="C8">
    <cfRule type="expression" dxfId="401" priority="14">
      <formula>AND(B8=S3,C8&gt;1)</formula>
    </cfRule>
    <cfRule type="expression" dxfId="400" priority="2">
      <formula>$Z$24=1</formula>
    </cfRule>
  </conditionalFormatting>
  <conditionalFormatting sqref="C11">
    <cfRule type="expression" dxfId="399" priority="11">
      <formula>AND($B$11&lt;&gt;$S$2,$C$11=0)</formula>
    </cfRule>
    <cfRule type="expression" dxfId="398" priority="13">
      <formula>AND(B11=S3,C11&gt;1)</formula>
    </cfRule>
  </conditionalFormatting>
  <conditionalFormatting sqref="C12">
    <cfRule type="expression" dxfId="397" priority="4">
      <formula>AND($C$12&gt;0,Tonnage&gt;7500)</formula>
    </cfRule>
  </conditionalFormatting>
  <conditionalFormatting sqref="C26">
    <cfRule type="expression" dxfId="396" priority="63">
      <formula>$D$25&gt;$D$2</formula>
    </cfRule>
  </conditionalFormatting>
  <conditionalFormatting sqref="D2">
    <cfRule type="expression" dxfId="395" priority="802">
      <formula>$W$15&gt;0</formula>
    </cfRule>
  </conditionalFormatting>
  <conditionalFormatting sqref="E13">
    <cfRule type="cellIs" dxfId="394" priority="9" operator="equal">
      <formula>"Yes"</formula>
    </cfRule>
  </conditionalFormatting>
  <conditionalFormatting sqref="E16">
    <cfRule type="expression" dxfId="393" priority="33">
      <formula>$W$17=1</formula>
    </cfRule>
  </conditionalFormatting>
  <conditionalFormatting sqref="E17">
    <cfRule type="expression" dxfId="392" priority="32">
      <formula>$W$18=1</formula>
    </cfRule>
  </conditionalFormatting>
  <conditionalFormatting sqref="E18">
    <cfRule type="expression" dxfId="391" priority="31">
      <formula>$W$19=1</formula>
    </cfRule>
  </conditionalFormatting>
  <conditionalFormatting sqref="E19">
    <cfRule type="expression" dxfId="390" priority="30">
      <formula>$W$20=1</formula>
    </cfRule>
  </conditionalFormatting>
  <conditionalFormatting sqref="E20">
    <cfRule type="expression" dxfId="389" priority="29">
      <formula>$W$21=1</formula>
    </cfRule>
  </conditionalFormatting>
  <conditionalFormatting sqref="E21">
    <cfRule type="expression" dxfId="388" priority="28">
      <formula>$W$22=1</formula>
    </cfRule>
  </conditionalFormatting>
  <conditionalFormatting sqref="E22">
    <cfRule type="expression" dxfId="387" priority="27">
      <formula>$W$23=1</formula>
    </cfRule>
  </conditionalFormatting>
  <conditionalFormatting sqref="E23">
    <cfRule type="expression" dxfId="386" priority="26">
      <formula>$W$24=1</formula>
    </cfRule>
  </conditionalFormatting>
  <conditionalFormatting sqref="E24">
    <cfRule type="expression" dxfId="385" priority="25">
      <formula>$W$25=1</formula>
    </cfRule>
  </conditionalFormatting>
  <conditionalFormatting sqref="E25">
    <cfRule type="expression" dxfId="384" priority="24">
      <formula>$W$26=1</formula>
    </cfRule>
  </conditionalFormatting>
  <conditionalFormatting sqref="E26">
    <cfRule type="expression" dxfId="383" priority="23">
      <formula>$W$27=1</formula>
    </cfRule>
  </conditionalFormatting>
  <conditionalFormatting sqref="E27">
    <cfRule type="expression" dxfId="382" priority="814">
      <formula>$W$28=1</formula>
    </cfRule>
  </conditionalFormatting>
  <conditionalFormatting sqref="E28">
    <cfRule type="expression" dxfId="381" priority="832">
      <formula>$W$29&gt;0</formula>
    </cfRule>
  </conditionalFormatting>
  <conditionalFormatting sqref="E29">
    <cfRule type="expression" dxfId="380" priority="20">
      <formula>$W$30=1</formula>
    </cfRule>
  </conditionalFormatting>
  <conditionalFormatting sqref="E30">
    <cfRule type="expression" dxfId="379" priority="759">
      <formula>$W$31=1</formula>
    </cfRule>
  </conditionalFormatting>
  <conditionalFormatting sqref="E31">
    <cfRule type="expression" dxfId="378" priority="831">
      <formula>$W$32=1</formula>
    </cfRule>
  </conditionalFormatting>
  <conditionalFormatting sqref="H6">
    <cfRule type="expression" dxfId="377" priority="37">
      <formula>$H$6&lt;0</formula>
    </cfRule>
  </conditionalFormatting>
  <conditionalFormatting sqref="K6">
    <cfRule type="expression" dxfId="376"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D13" sqref="D13"/>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Survey and Exploration Ship</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Scout</v>
      </c>
      <c r="E2" s="158"/>
      <c r="F2" s="159" t="s">
        <v>1154</v>
      </c>
      <c r="G2" s="160"/>
      <c r="J2" s="68" t="s">
        <v>0</v>
      </c>
      <c r="K2" s="69">
        <f>'Ship Info'!F2</f>
        <v>14</v>
      </c>
      <c r="L2" s="156">
        <f>'Ship Info'!G2</f>
        <v>1536124666.6666665</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0" t="s">
        <v>1077</v>
      </c>
      <c r="F3" s="860" t="s">
        <v>1078</v>
      </c>
      <c r="G3" s="860"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1000</v>
      </c>
      <c r="C4" s="70" t="s">
        <v>1012</v>
      </c>
      <c r="D4" s="70"/>
      <c r="E4" s="861"/>
      <c r="F4" s="861"/>
      <c r="G4" s="861"/>
      <c r="L4" s="515" t="s">
        <v>45</v>
      </c>
      <c r="N4" s="857" t="s">
        <v>46</v>
      </c>
      <c r="O4" s="857"/>
      <c r="Q4" s="857" t="s">
        <v>47</v>
      </c>
      <c r="R4" s="857"/>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54" t="s">
        <v>1158</v>
      </c>
      <c r="C5" s="855"/>
      <c r="D5" s="68"/>
      <c r="E5" s="229" t="s">
        <v>99</v>
      </c>
      <c r="F5" s="229" t="s">
        <v>99</v>
      </c>
      <c r="G5" s="229" t="s">
        <v>99</v>
      </c>
      <c r="I5" s="161" t="s">
        <v>1122</v>
      </c>
      <c r="J5" s="267"/>
      <c r="K5" s="165">
        <f>IF('Ship Info'!C5&lt;35.001,1,IF('Ship Info'!C5&lt;70,2,IF('Ship Info'!C5&lt;99.999,3,ROUNDDOWN('Ship Info'!C5/100,0))))</f>
        <v>15</v>
      </c>
      <c r="L5" s="514">
        <f>SUM(L12:L37)</f>
        <v>65000000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48" t="s">
        <v>1155</v>
      </c>
      <c r="B6" s="849"/>
      <c r="C6" s="228"/>
      <c r="E6" s="197" t="s">
        <v>1694</v>
      </c>
      <c r="F6" s="197" t="s">
        <v>1103</v>
      </c>
      <c r="G6" s="197" t="s">
        <v>1103</v>
      </c>
      <c r="I6" s="163" t="str">
        <f>IF(LEFT(Y28,2)="Fm","Firmpoints","Hardpoints")</f>
        <v>Hardpoints</v>
      </c>
      <c r="J6" s="343">
        <f>IF('Ship Info'!F7,'8a-Weapons'!K5,IF(Tonnage&lt;35.001,1,IF(Tonnage&lt;70,2,IF(Tonnage&lt;99.999,3,ROUNDDOWN(Tonnage/100,0)))))</f>
        <v>10</v>
      </c>
      <c r="L6" s="509"/>
      <c r="N6" s="344">
        <f>'Ship Info'!I3</f>
        <v>6.25</v>
      </c>
      <c r="O6" s="345">
        <f>'1-Hull'!B4</f>
        <v>1000</v>
      </c>
      <c r="Q6" s="345">
        <f>'Ship Info'!L3</f>
        <v>6</v>
      </c>
      <c r="R6" s="345">
        <f>'3-Pwr Plant'!L6</f>
        <v>850</v>
      </c>
      <c r="T6" s="78" t="s">
        <v>353</v>
      </c>
      <c r="U6" s="46">
        <f>VLOOKUP(B12,Table1[],9)</f>
        <v>3</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0"/>
      <c r="B7" s="851"/>
      <c r="C7" s="228"/>
      <c r="E7" s="197" t="s">
        <v>616</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0"/>
      <c r="B8" s="851"/>
      <c r="C8" s="228"/>
      <c r="E8" s="197" t="s">
        <v>1694</v>
      </c>
      <c r="F8" s="197" t="s">
        <v>1103</v>
      </c>
      <c r="G8" s="197" t="s">
        <v>1103</v>
      </c>
      <c r="I8" s="163" t="str">
        <f>IF(LEFT(Y28,2)="Fm","Firmpoints","Hardpoints")</f>
        <v>Hardpoints</v>
      </c>
      <c r="J8" s="343">
        <f>IF(AND('Ship Info'!F7,'Ship Info'!C5&gt;=100),SUM(AP28:AP47,D37),IF(B4&lt;100,SUM(AB9:AB11),SUM(AP28:AP47,D37)))+IF(AND('Ship Info'!F7,J6+'Ship Info'!C6&gt;'8a-Weapons'!K5),J6+'Ship Info'!C6-'8a-Weapons'!K5,0)</f>
        <v>5</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0"/>
      <c r="B9" s="851"/>
      <c r="E9" s="197" t="s">
        <v>1103</v>
      </c>
      <c r="F9" s="197" t="s">
        <v>1103</v>
      </c>
      <c r="G9" s="197" t="s">
        <v>1103</v>
      </c>
      <c r="L9" s="164"/>
      <c r="N9" s="513">
        <f>SUM(N12:N37)</f>
        <v>5</v>
      </c>
      <c r="O9" s="71"/>
      <c r="P9" s="71"/>
      <c r="Q9" s="511">
        <f>SUMIF(Q12:Q37,"&lt;&gt;#N/A")</f>
        <v>125</v>
      </c>
      <c r="W9" s="125" t="s">
        <v>342</v>
      </c>
      <c r="X9" s="125">
        <v>1</v>
      </c>
      <c r="Y9" s="149" t="s">
        <v>1151</v>
      </c>
      <c r="Z9" s="4">
        <f>VLOOKUP(B12,Table2[],5)</f>
        <v>0</v>
      </c>
      <c r="AA9">
        <f>VLOOKUP(B12,Table2[],4)</f>
        <v>5</v>
      </c>
      <c r="AB9">
        <f>VLOOKUP(B12,Table2[],9)*D12</f>
        <v>15</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2"/>
      <c r="B10" s="853"/>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343</v>
      </c>
      <c r="C12" s="214" t="s">
        <v>1625</v>
      </c>
      <c r="D12" s="338">
        <v>5</v>
      </c>
      <c r="E12" s="215" t="s">
        <v>395</v>
      </c>
      <c r="F12" s="215" t="s">
        <v>395</v>
      </c>
      <c r="G12" s="215" t="s">
        <v>395</v>
      </c>
      <c r="H12" s="69">
        <f t="shared" ref="H12:H31" si="1">VLOOKUP(E12,$Z$51:$AL$76,9)+VLOOKUP(F12,$Z$51:$AL$76,9)+VLOOKUP(G12,$Z$51:$AL$76,9)</f>
        <v>0</v>
      </c>
      <c r="I12" s="198" t="s">
        <v>99</v>
      </c>
      <c r="J12" s="198" t="s">
        <v>99</v>
      </c>
      <c r="K12" s="67">
        <f>SUM(T12:U12)</f>
        <v>12</v>
      </c>
      <c r="L12" s="164">
        <f>AI28+IF(I12="Yes",AI28*0.5,0)+IF(J12="Yes",200000*AJ28*0.1,0)</f>
        <v>65000000</v>
      </c>
      <c r="N12" s="346">
        <f>AJ28*IF(J12="No",1,1.1)+IF(C12=AF101,2*D12,0)</f>
        <v>5</v>
      </c>
      <c r="Q12" s="242">
        <f>AK28</f>
        <v>125</v>
      </c>
      <c r="S12" s="166" t="str">
        <f>VLOOKUP(E12,Table5[],6)&amp;IF(F12=$Z$52,"",", "&amp;VLOOKUP(F12,Table5[],6))&amp;IF(G12=$Z$52,"",", "&amp;VLOOKUP(G12,Table5[],6))</f>
        <v/>
      </c>
      <c r="T12" s="78">
        <f>IF(E5="No",VLOOKUP(C12,Table3[],2),MAX(V50:V53))</f>
        <v>12</v>
      </c>
      <c r="U12" s="46">
        <f>VLOOKUP(E12,Table5[],2)+VLOOKUP(F12,Table5[],2)+VLOOKUP(G12,Table5[],2)</f>
        <v>0</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1000000</v>
      </c>
      <c r="AA13">
        <f>VLOOKUP(B12,Table1[],4)</f>
        <v>1</v>
      </c>
      <c r="AB13">
        <f>VLOOKUP(B12,Table1[],9)</f>
        <v>3</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5</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10</v>
      </c>
      <c r="AI14">
        <f>D12*(IF($B$4&lt;100,Z9,Z13)+IF(E5="No",Z19,Z23))</f>
        <v>65000000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375</v>
      </c>
      <c r="C15" s="206" t="s">
        <v>1103</v>
      </c>
      <c r="D15" s="340">
        <v>0</v>
      </c>
      <c r="E15" s="218" t="s">
        <v>395</v>
      </c>
      <c r="F15" s="218" t="s">
        <v>395</v>
      </c>
      <c r="G15" s="218" t="s">
        <v>395</v>
      </c>
      <c r="H15" s="69">
        <f t="shared" si="1"/>
        <v>0</v>
      </c>
      <c r="I15" s="205" t="s">
        <v>99</v>
      </c>
      <c r="J15" s="205" t="s">
        <v>99</v>
      </c>
      <c r="K15" s="154">
        <f t="shared" si="2"/>
        <v>0</v>
      </c>
      <c r="L15" s="164">
        <f t="shared" si="3"/>
        <v>0</v>
      </c>
      <c r="M15" s="154"/>
      <c r="N15" s="347">
        <f t="shared" si="4"/>
        <v>0</v>
      </c>
      <c r="O15" s="154"/>
      <c r="P15" s="154"/>
      <c r="Q15" s="348">
        <f t="shared" si="5"/>
        <v>0</v>
      </c>
      <c r="R15" s="154"/>
      <c r="S15" s="168" t="str">
        <f>VLOOKUP(E15,Table5[],6)&amp;IF(F15=$Z$52,"",", "&amp;VLOOKUP(F15,Table5[],6))&amp;IF(G15=$Z$52,"",", "&amp;VLOOKUP(G15,Table5[],6))</f>
        <v/>
      </c>
      <c r="T15" s="78">
        <f>INDEX(Table3[],MATCH(C15,Table3[Weapon],0),2)</f>
        <v>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5</v>
      </c>
      <c r="AH15" s="122">
        <f>IF(AND('Ship Info'!F7,'Ship Info'!C5&gt;=100),AH14,IF(B4&lt;100,AH13,AH14))</f>
        <v>10</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12000000</v>
      </c>
      <c r="AA19">
        <f>IF(B12=Z7,1,IF(B4&lt;100,AB9,AB13))</f>
        <v>3</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2250000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Triple Turret</v>
      </c>
      <c r="AA28" s="2">
        <f>IF(OR(Z28=0,Z28=""),"",D12)</f>
        <v>5</v>
      </c>
      <c r="AB28" s="16" t="str">
        <f>IF(E5="No",C12,E6)</f>
        <v>Particle Beam</v>
      </c>
      <c r="AC28" s="2" t="str">
        <f>IF($E$5="No","",E7)</f>
        <v/>
      </c>
      <c r="AD28" s="2" t="str">
        <f>IF($E$5="No","",E8)</f>
        <v/>
      </c>
      <c r="AE28" s="2" t="str">
        <f>IF($E$5="No","",E9)</f>
        <v/>
      </c>
      <c r="AF28" s="16" t="str">
        <f>IF(E12="A Standard","",VLOOKUP(E12,Table5[],10)&amp;IF(AND(E12=G12,E12=F12)," x3",IF(OR(E12=F12,E12=G12)," x2","")))</f>
        <v/>
      </c>
      <c r="AG28" s="16" t="str">
        <f>IF(F12="A Standard","",IF(E12=F12,"",IF(AF28="","",", ")&amp;VLOOKUP(F12,Table5[],10)&amp;IF(F12=G12," x2","")))</f>
        <v/>
      </c>
      <c r="AH28" s="16" t="str">
        <f>IF(G12="A Standard","",IF(OR(G12=E12,G12=F12),"", IF(AND(AF28="",AG28=""),"",", ")&amp;VLOOKUP(G12,Table5[],10)))</f>
        <v/>
      </c>
      <c r="AI28" s="10">
        <f>D12*(IF($B$4&lt;100,Z9,Z13)+IF(E5="No",Z19,Z23))*(1+IF(SUM(VLOOKUP(E12,Table5[],5),VLOOKUP(F12,Table5[],5),VLOOKUP(G12,Table5[],5))=0,VLOOKUP(H12,$AC$17:$AD$20,2),VLOOKUP(E12,Table5[],5)+VLOOKUP(F12,Table5[],5)+VLOOKUP(G12,Table5[],5)))</f>
        <v>65000000</v>
      </c>
      <c r="AJ28" s="2">
        <f>D12*IF(AND('Ship Info'!F7,'Ship Info'!C5&gt;=100),AA13,IF($B$4&lt;100,AA9,AA13))*(1+VLOOKUP(E12,Table5[],4)+VLOOKUP(F12,Table5[],4)+VLOOKUP(G12,Table5[],4))</f>
        <v>5</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125</v>
      </c>
      <c r="AL28" t="str">
        <f>IF($E$5="No",VLOOKUP(AB28,Table3[],8),"See Rulebook")</f>
        <v>Radiation</v>
      </c>
      <c r="AM28">
        <f>IF(AND('Ship Info'!$F$7,'Ship Info'!$C$5&gt;=100),1,IF($B$4&gt;=100,1,0))</f>
        <v>1</v>
      </c>
      <c r="AN28">
        <f>IF(B12=$Z$2,$AM$28,VLOOKUP(B12,Table4[],2))</f>
        <v>1</v>
      </c>
      <c r="AO28">
        <f>IF(AM28=AN28,0,1)</f>
        <v>0</v>
      </c>
      <c r="AP28">
        <f>VLOOKUP(B12,Table1[],6)*D12</f>
        <v>5</v>
      </c>
      <c r="AQ28" s="46" t="str">
        <f>IF(AA28="","",IF(E$5="Yes","See Notes",IF(B$4&lt;100,INDEX($U$64:$V$72,MATCH(VLOOKUP(AB28,Table3[],4)+AS28,$U$64:$U$72,0),2),INDEX($U$64:$V$72,MATCH(VLOOKUP(AB28,Table3[],3)+AS28,$U$64:$U$72,0),2))))</f>
        <v>Very Long</v>
      </c>
      <c r="AR28" t="str">
        <f>IF(E5="Yes","See Notes",VLOOKUP(C12,Table3[],6)&amp;IF(VLOOKUP(AB28,Table3[],10)=0,IF(VLOOKUP(B12,Table1[],10)=0,"","+"&amp;LEFT(VLOOKUP(C12,Table3[],6),1)*VLOOKUP(B12,Table1[],10)),""))</f>
        <v>3D+6</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
      </c>
      <c r="AA31" s="2" t="str">
        <f t="shared" si="7"/>
        <v/>
      </c>
      <c r="AB31" s="16" t="str">
        <f>C15</f>
        <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0</v>
      </c>
      <c r="AJ31" s="2">
        <f>D15*VLOOKUP(B15,Table1[],4)*(1+VLOOKUP(E15,Table5[],4)+VLOOKUP(F15,Table5[],4)+VLOOKUP(G15,Table5[],4))</f>
        <v>0</v>
      </c>
      <c r="AK31" s="2">
        <f>D15*VLOOKUP(B15,Table1[],3)+D15*VLOOKUP(B15,Table1[],9)*VLOOKUP(AB31,Table3[],5)*(1+VLOOKUP(E15,Table5[],3)+VLOOKUP(F15,Table5[],3)+VLOOKUP(G15,Table5[],3))</f>
        <v>0</v>
      </c>
      <c r="AL31" t="str">
        <f>VLOOKUP(AB31,Table3[],8)</f>
        <v/>
      </c>
      <c r="AM31">
        <f>IF(AND('Ship Info'!$F$7,'Ship Info'!$C$5&gt;=100),1,IF($B$4&gt;=100,1,0))</f>
        <v>1</v>
      </c>
      <c r="AN31">
        <f>IF(B15=$Z$2,$AM$28,VLOOKUP(B15,Table4[],2))</f>
        <v>1</v>
      </c>
      <c r="AO31">
        <f t="shared" si="8"/>
        <v>0</v>
      </c>
      <c r="AP31">
        <f>VLOOKUP(B15,Table1[],6)*D15</f>
        <v>0</v>
      </c>
      <c r="AQ31" s="46" t="str">
        <f>IF(AA31="","",IF(E$5="Yes","See Notes",IF(B$4&lt;100,INDEX($U$64:$V$72,MATCH(VLOOKUP(AB31,Table3[],4)+AS31,$U$64:$U$72,0),2),INDEX($U$64:$V$72,MATCH(VLOOKUP(AB31,Table3[],3)+AS31,$U$64:$U$72,0),2))))</f>
        <v/>
      </c>
      <c r="AR31" t="str">
        <f>IF(D9="Yes","See Notes",INDEX(Table3[],MATCH(C15,Table3[Weapon],0),6)&amp;IF(VLOOKUP(AB31,Table3[],10)=0,IF(VLOOKUP(B15,Table1[],10)=0,"","+"&amp;LEFT(VLOOKUP(C15,Table3[],6),1)*VLOOKUP(B15,Table1[],10)),""))</f>
        <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2" t="s">
        <v>1659</v>
      </c>
      <c r="B32" s="862"/>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2"/>
      <c r="B33" s="862"/>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63"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59" t="s">
        <v>1239</v>
      </c>
      <c r="F37" s="859"/>
      <c r="G37" s="154"/>
      <c r="H37" s="169"/>
      <c r="I37" s="169"/>
      <c r="J37" s="169"/>
      <c r="K37" s="154"/>
      <c r="L37" s="154"/>
      <c r="M37" s="154"/>
      <c r="N37" s="154"/>
      <c r="O37" s="154"/>
      <c r="P37" s="154"/>
      <c r="Q37" s="154"/>
      <c r="R37" s="154"/>
      <c r="S37" s="863"/>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58"/>
      <c r="S39" s="858"/>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56"/>
      <c r="S40" s="856"/>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56"/>
      <c r="S41" s="856"/>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64" t="s">
        <v>171</v>
      </c>
      <c r="N45" s="864"/>
      <c r="O45" s="864"/>
      <c r="P45" s="864" t="s">
        <v>373</v>
      </c>
      <c r="Q45" s="868"/>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18">
        <v>0</v>
      </c>
      <c r="K46" s="818"/>
      <c r="L46" s="221">
        <v>0</v>
      </c>
      <c r="M46" s="820"/>
      <c r="N46" s="820"/>
      <c r="O46" s="820"/>
      <c r="P46" s="820" t="s">
        <v>1103</v>
      </c>
      <c r="Q46" s="820"/>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66" t="s">
        <v>1194</v>
      </c>
      <c r="K47" s="867"/>
      <c r="L47" s="182">
        <v>6000000</v>
      </c>
      <c r="M47" s="865" t="s">
        <v>339</v>
      </c>
      <c r="N47" s="865"/>
      <c r="O47" s="865"/>
      <c r="P47" s="869" t="s">
        <v>1139</v>
      </c>
      <c r="Q47" s="870"/>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64" t="s">
        <v>171</v>
      </c>
      <c r="N49" s="864"/>
      <c r="O49" s="864"/>
      <c r="P49" s="864" t="s">
        <v>373</v>
      </c>
      <c r="Q49" s="868"/>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18">
        <v>0</v>
      </c>
      <c r="K50" s="818"/>
      <c r="L50" s="221">
        <v>0</v>
      </c>
      <c r="M50" s="820"/>
      <c r="N50" s="820"/>
      <c r="O50" s="820"/>
      <c r="P50" s="820" t="s">
        <v>1103</v>
      </c>
      <c r="Q50" s="820"/>
      <c r="V50" s="78">
        <f>VLOOKUP(E6,Table3[],2)</f>
        <v>10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7</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64" t="s">
        <v>171</v>
      </c>
      <c r="N52" s="864"/>
      <c r="O52" s="864"/>
      <c r="P52" s="864" t="s">
        <v>373</v>
      </c>
      <c r="Q52" s="868"/>
      <c r="V52" s="78">
        <f>VLOOKUP(E8,Table3[],2)</f>
        <v>10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18">
        <v>0</v>
      </c>
      <c r="K53" s="818"/>
      <c r="L53" s="221">
        <v>0</v>
      </c>
      <c r="M53" s="820"/>
      <c r="N53" s="820"/>
      <c r="O53" s="820"/>
      <c r="P53" s="820" t="s">
        <v>1103</v>
      </c>
      <c r="Q53" s="820"/>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0</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2</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0</v>
      </c>
      <c r="Y81" s="27">
        <f>VLOOKUP(B15,Table1[],8)</f>
        <v>0</v>
      </c>
      <c r="Z81" s="87">
        <f>IF(AND('Ship Info'!$F$7,'Ship Info'!$C$5&gt;=100),Y81,IF($B$4&lt;100,X81,Y81))</f>
        <v>0</v>
      </c>
      <c r="AA81" s="136" t="str">
        <f>""</f>
        <v/>
      </c>
      <c r="AB81" s="22" t="str">
        <f>IF($Z81=0,AB$99,IF($Z81=1,AB$100,IF($Z81=2,AB$101,IF($Z81=3,AB$102,IF($Z81=4,AB$103,IF($Z81=5,AB$104,IF($Z81=6,AB$105,IF($Z81=7,AB$106,AB$107))))))))</f>
        <v/>
      </c>
      <c r="AC81" s="22" t="str">
        <f t="shared" ref="AC81:AD97" si="28">IF($Z81=0,AC$99,IF($Z81=1,AC$100,IF($Z81=2,AC$101,IF($Z81=3,AC$102,IF($Z81=4,AC$103,IF($Z81=5,AC$104,IF($Z81=6,AC$105,IF($Z81=7,AC$106,AC$107))))))))</f>
        <v/>
      </c>
      <c r="AD81" s="22" t="str">
        <f t="shared" si="28"/>
        <v/>
      </c>
      <c r="AE81" s="22" t="str">
        <f t="shared" ref="AE81:AR83" si="29">IF($Z81=0,AE$99,IF($Z81=1,AE$100,IF($Z81=2,AE$101,IF($Z81=3,AE$102,IF($Z81=4,AE$103,IF($Z81=5,AE$104,IF($Z81=6,AE$105,AE$106)))))))</f>
        <v/>
      </c>
      <c r="AF81" s="22" t="str">
        <f t="shared" si="29"/>
        <v/>
      </c>
      <c r="AG81" s="22" t="str">
        <f t="shared" si="29"/>
        <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 xml:space="preserve">5x Triple Turret: Particle Beam </v>
      </c>
      <c r="AS113" s="22" t="str">
        <f>IF(AA28="","",AA28&amp;"x "&amp;Z28&amp;": "&amp;AB28&amp;AC28&amp;AD28&amp;AE28)</f>
        <v>5x Triple Turret: Particle Beam</v>
      </c>
      <c r="AU113" s="22" t="str">
        <f>IF(AA28=0,"",IF(I12="No",""," Ignore Ion")&amp;IF(J12="No","",", CS-1")&amp;IF(VLOOKUP(E12,Table5[],13)="","",", "&amp;VLOOKUP(E12,Table5[],13))&amp;IF(VLOOKUP(F12,Table5[],13)="","",", "&amp;VLOOKUP(F12,Table5[],13))&amp;IF(VLOOKUP(G12,Table5[],13)="","",""&amp;VLOOKUP(G12,Table5[],13)))</f>
        <v/>
      </c>
      <c r="AV113" s="92">
        <v>1</v>
      </c>
      <c r="AW113" s="2">
        <f>VLOOKUP(B12,Table1[],8)</f>
        <v>1</v>
      </c>
      <c r="AX113">
        <f>VLOOKUP(B12,Table2[],8)</f>
        <v>2</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c>
      <c r="AS116" s="22" t="str">
        <f>IF(AA31="","",AA31&amp;"x "&amp;Z31&amp;": "&amp;AB31)</f>
        <v/>
      </c>
      <c r="AU116" s="22" t="str">
        <f>IF(AA31=0,"",IF(I15="No",""," Ignore Ion")&amp;IF(J15="No","",", CS-1")&amp;IF(VLOOKUP(E15,Table5[],13)="","",", "&amp;VLOOKUP(E15,Table5[],13))&amp;IF(VLOOKUP(F15,Table5[],13)="","",", "&amp;VLOOKUP(F15,Table5[],13))&amp;IF(VLOOKUP(G15,Table5[],13)="","",""&amp;VLOOKUP(G15,Table5[],13)))</f>
        <v/>
      </c>
      <c r="AV116" s="92">
        <v>4</v>
      </c>
      <c r="AW116" s="2">
        <f>VLOOKUP(B15,Table1[],8)</f>
        <v>0</v>
      </c>
      <c r="AX116">
        <f>VLOOKUP(B15,Table2[],8)</f>
        <v>0</v>
      </c>
      <c r="AY116">
        <f>IF(AND('Ship Info'!$F$7,'Ship Info'!$C$5&gt;=100),AW116,IF($B$4&lt;100,AX116,AW116))</f>
        <v>0</v>
      </c>
      <c r="AZ116">
        <f>VLOOKUP(C15,Table3[],11)</f>
        <v>0</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1000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1000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P53:Q53"/>
    <mergeCell ref="P45:Q45"/>
    <mergeCell ref="P49:Q49"/>
    <mergeCell ref="P52:Q52"/>
    <mergeCell ref="P46:Q46"/>
    <mergeCell ref="P47:Q47"/>
    <mergeCell ref="P50:Q50"/>
    <mergeCell ref="M49:O49"/>
    <mergeCell ref="J50:K50"/>
    <mergeCell ref="M50:O50"/>
    <mergeCell ref="M52:O52"/>
    <mergeCell ref="J53:K53"/>
    <mergeCell ref="M53:O53"/>
    <mergeCell ref="M45:O45"/>
    <mergeCell ref="M46:O46"/>
    <mergeCell ref="M47:O47"/>
    <mergeCell ref="J46:K46"/>
    <mergeCell ref="J47:K47"/>
    <mergeCell ref="A6:B10"/>
    <mergeCell ref="B5:C5"/>
    <mergeCell ref="R41:S41"/>
    <mergeCell ref="N4:O4"/>
    <mergeCell ref="Q4:R4"/>
    <mergeCell ref="R39:S39"/>
    <mergeCell ref="R40:S40"/>
    <mergeCell ref="E37:F37"/>
    <mergeCell ref="E3:E4"/>
    <mergeCell ref="F3:F4"/>
    <mergeCell ref="G3:G4"/>
    <mergeCell ref="A32:B33"/>
    <mergeCell ref="S36:S37"/>
  </mergeCells>
  <phoneticPr fontId="13" type="noConversion"/>
  <conditionalFormatting sqref="B5">
    <cfRule type="expression" dxfId="375" priority="37">
      <formula>SUM($AO$28:$AO$47)&gt;0</formula>
    </cfRule>
  </conditionalFormatting>
  <conditionalFormatting sqref="B12">
    <cfRule type="expression" dxfId="374" priority="91">
      <formula>AO28=1</formula>
    </cfRule>
  </conditionalFormatting>
  <conditionalFormatting sqref="B13:B14">
    <cfRule type="expression" dxfId="373" priority="38">
      <formula>AO29&gt;0</formula>
    </cfRule>
  </conditionalFormatting>
  <conditionalFormatting sqref="B15">
    <cfRule type="expression" dxfId="372" priority="516">
      <formula>AND($A$15="N/A",$B$15&gt;$BB$2)</formula>
    </cfRule>
  </conditionalFormatting>
  <conditionalFormatting sqref="B16">
    <cfRule type="expression" dxfId="371" priority="517">
      <formula>AND($A$16="N/A",$B$16&gt;$BB$2)</formula>
    </cfRule>
  </conditionalFormatting>
  <conditionalFormatting sqref="B17">
    <cfRule type="expression" dxfId="370" priority="518">
      <formula>AND($A$17="N/A",$B$17&gt;$BB$2)</formula>
    </cfRule>
  </conditionalFormatting>
  <conditionalFormatting sqref="B18">
    <cfRule type="expression" dxfId="369" priority="519">
      <formula>AND($A$18="N/A",$B$18&gt;$BB$2)</formula>
    </cfRule>
  </conditionalFormatting>
  <conditionalFormatting sqref="B19">
    <cfRule type="expression" dxfId="368" priority="520">
      <formula>AND($A$19="N/A",$B$19&gt;$BB$2)</formula>
    </cfRule>
  </conditionalFormatting>
  <conditionalFormatting sqref="B20">
    <cfRule type="expression" dxfId="367" priority="521">
      <formula>AND($A$20="N/A",$B$20&gt;$BB$2)</formula>
    </cfRule>
  </conditionalFormatting>
  <conditionalFormatting sqref="B21">
    <cfRule type="expression" dxfId="366" priority="522">
      <formula>AND($A$21="N/A",$B$21&gt;$BB$2)</formula>
    </cfRule>
  </conditionalFormatting>
  <conditionalFormatting sqref="B22">
    <cfRule type="expression" dxfId="365" priority="523">
      <formula>AND($A$22="N/A",$B$22&gt;$BB$2)</formula>
    </cfRule>
  </conditionalFormatting>
  <conditionalFormatting sqref="B23">
    <cfRule type="expression" dxfId="364" priority="524">
      <formula>AND($A$23="N/A",$B$23&gt;$BB$2)</formula>
    </cfRule>
  </conditionalFormatting>
  <conditionalFormatting sqref="B24">
    <cfRule type="expression" dxfId="363" priority="525">
      <formula>AND($A$24="N/A",$B$24&gt;$BB$2)</formula>
    </cfRule>
  </conditionalFormatting>
  <conditionalFormatting sqref="B25">
    <cfRule type="expression" dxfId="362" priority="526">
      <formula>AND($A$25="N/A",$B$25&gt;$BB$2)</formula>
    </cfRule>
  </conditionalFormatting>
  <conditionalFormatting sqref="B26">
    <cfRule type="expression" dxfId="361" priority="527">
      <formula>AND($A$26="N/A",$B$26&gt;$BB$2)</formula>
    </cfRule>
  </conditionalFormatting>
  <conditionalFormatting sqref="B27">
    <cfRule type="expression" dxfId="360" priority="528">
      <formula>AND($A$27="N/A",$B$27&gt;$BB$2)</formula>
    </cfRule>
  </conditionalFormatting>
  <conditionalFormatting sqref="B28">
    <cfRule type="expression" dxfId="359" priority="529">
      <formula>AND($A$28="N/A",$B$28&gt;$BB$2)</formula>
    </cfRule>
  </conditionalFormatting>
  <conditionalFormatting sqref="B29">
    <cfRule type="expression" dxfId="358" priority="530">
      <formula>AND($A$29="N/A",$B$29&gt;$BB$2)</formula>
    </cfRule>
  </conditionalFormatting>
  <conditionalFormatting sqref="B30">
    <cfRule type="expression" dxfId="357" priority="531">
      <formula>AND($A$30="N/A",$B$30&gt;$BB$2)</formula>
    </cfRule>
  </conditionalFormatting>
  <conditionalFormatting sqref="B31">
    <cfRule type="expression" dxfId="356" priority="532">
      <formula>AND($A$31="N/A",$B$31&gt;$BB$2)</formula>
    </cfRule>
  </conditionalFormatting>
  <conditionalFormatting sqref="C6">
    <cfRule type="expression" dxfId="355" priority="101">
      <formula>B4&lt;100</formula>
    </cfRule>
  </conditionalFormatting>
  <conditionalFormatting sqref="C7">
    <cfRule type="expression" dxfId="354" priority="98">
      <formula>B4&lt;100</formula>
    </cfRule>
  </conditionalFormatting>
  <conditionalFormatting sqref="C8">
    <cfRule type="expression" dxfId="353" priority="94">
      <formula>B4&lt;100</formula>
    </cfRule>
  </conditionalFormatting>
  <conditionalFormatting sqref="C12">
    <cfRule type="expression" dxfId="352" priority="923">
      <formula>$BA$113&gt;0</formula>
    </cfRule>
    <cfRule type="expression" dxfId="351" priority="924">
      <formula>$E$5="Yes"</formula>
    </cfRule>
  </conditionalFormatting>
  <conditionalFormatting sqref="C12:C31">
    <cfRule type="expression" dxfId="350" priority="925">
      <formula>$BA113&gt;0</formula>
    </cfRule>
  </conditionalFormatting>
  <conditionalFormatting sqref="C13">
    <cfRule type="expression" dxfId="349" priority="541">
      <formula>$F$5="Yes"</formula>
    </cfRule>
  </conditionalFormatting>
  <conditionalFormatting sqref="C14">
    <cfRule type="expression" dxfId="348" priority="545">
      <formula>$G$5="Yes"</formula>
    </cfRule>
  </conditionalFormatting>
  <conditionalFormatting sqref="D12:D31">
    <cfRule type="expression" dxfId="347" priority="5">
      <formula>AND($B12&lt;&gt;$Z$2,$D12=0)</formula>
    </cfRule>
  </conditionalFormatting>
  <conditionalFormatting sqref="D33">
    <cfRule type="cellIs" dxfId="346" priority="10" operator="greaterThan">
      <formula>0</formula>
    </cfRule>
    <cfRule type="expression" dxfId="345" priority="3">
      <formula>AND($B$4&lt;50.1,$D$33&gt;0)</formula>
    </cfRule>
  </conditionalFormatting>
  <conditionalFormatting sqref="D33:D34 F34">
    <cfRule type="expression" dxfId="344" priority="4">
      <formula>$B$4&lt;50.01</formula>
    </cfRule>
  </conditionalFormatting>
  <conditionalFormatting sqref="D34 F34 D32">
    <cfRule type="cellIs" dxfId="343" priority="11" operator="greaterThan">
      <formula>0</formula>
    </cfRule>
  </conditionalFormatting>
  <conditionalFormatting sqref="D34">
    <cfRule type="expression" dxfId="342" priority="2">
      <formula>AND($B$4&lt;50.1,$D$34&gt;0)</formula>
    </cfRule>
  </conditionalFormatting>
  <conditionalFormatting sqref="E5">
    <cfRule type="expression" dxfId="341" priority="100">
      <formula>B4&lt;100</formula>
    </cfRule>
    <cfRule type="expression" dxfId="340" priority="99" stopIfTrue="1">
      <formula>AND(E5="Yes",B4&lt;100)</formula>
    </cfRule>
  </conditionalFormatting>
  <conditionalFormatting sqref="E6">
    <cfRule type="expression" dxfId="339" priority="64">
      <formula>$U$6=0</formula>
    </cfRule>
  </conditionalFormatting>
  <conditionalFormatting sqref="E6:E9">
    <cfRule type="expression" dxfId="338" priority="535">
      <formula>$E$5="No"</formula>
    </cfRule>
  </conditionalFormatting>
  <conditionalFormatting sqref="E7">
    <cfRule type="expression" dxfId="337" priority="65">
      <formula>$U$6&lt;2</formula>
    </cfRule>
  </conditionalFormatting>
  <conditionalFormatting sqref="E8">
    <cfRule type="expression" dxfId="336" priority="63">
      <formula>$U$6&lt;3</formula>
    </cfRule>
  </conditionalFormatting>
  <conditionalFormatting sqref="E9">
    <cfRule type="expression" dxfId="335" priority="62">
      <formula>$U$6&lt;4</formula>
    </cfRule>
  </conditionalFormatting>
  <conditionalFormatting sqref="E37">
    <cfRule type="expression" dxfId="334" priority="6">
      <formula>$W$60&gt;0</formula>
    </cfRule>
  </conditionalFormatting>
  <conditionalFormatting sqref="E12:G12 E14:G14 E16:G16 E18:G18 E20:G20 E22:G22 E24:G24 E26:G26 E28:G28 E30:G30">
    <cfRule type="cellIs" dxfId="333" priority="45" operator="notEqual">
      <formula>"A Standard"</formula>
    </cfRule>
  </conditionalFormatting>
  <conditionalFormatting sqref="E12:G14">
    <cfRule type="expression" dxfId="332" priority="1">
      <formula>AND(Tonnage&lt;100,E12=$Z$66)</formula>
    </cfRule>
  </conditionalFormatting>
  <conditionalFormatting sqref="E13:G13 E15:G15 E17:G17 E19:G19 E21:G21 E23:G23 E25:G25 E27:G27 E29:G29 E31:G31 E36:G36">
    <cfRule type="cellIs" dxfId="331" priority="40" operator="notEqual">
      <formula>"A Standard"</formula>
    </cfRule>
  </conditionalFormatting>
  <conditionalFormatting sqref="F5">
    <cfRule type="expression" dxfId="330" priority="97">
      <formula>B4&lt;100</formula>
    </cfRule>
    <cfRule type="expression" dxfId="329" priority="96" stopIfTrue="1">
      <formula>AND(F5="Yes",B4&lt;100)</formula>
    </cfRule>
  </conditionalFormatting>
  <conditionalFormatting sqref="F6">
    <cfRule type="expression" dxfId="328" priority="61">
      <formula>$U$7=0</formula>
    </cfRule>
  </conditionalFormatting>
  <conditionalFormatting sqref="F6:F9">
    <cfRule type="expression" dxfId="327" priority="540">
      <formula>$F$5="No"</formula>
    </cfRule>
  </conditionalFormatting>
  <conditionalFormatting sqref="F7">
    <cfRule type="expression" dxfId="326" priority="60">
      <formula>$U$7&lt;2</formula>
    </cfRule>
  </conditionalFormatting>
  <conditionalFormatting sqref="F8">
    <cfRule type="expression" dxfId="325" priority="59">
      <formula>$U$7&lt;3</formula>
    </cfRule>
  </conditionalFormatting>
  <conditionalFormatting sqref="F9">
    <cfRule type="expression" dxfId="324" priority="58">
      <formula>$U$7&lt;4</formula>
    </cfRule>
  </conditionalFormatting>
  <conditionalFormatting sqref="F10">
    <cfRule type="expression" dxfId="323" priority="53">
      <formula>$W$57&gt;0</formula>
    </cfRule>
  </conditionalFormatting>
  <conditionalFormatting sqref="F50 H50:L50">
    <cfRule type="cellIs" dxfId="322" priority="49" operator="greaterThan">
      <formula>0</formula>
    </cfRule>
  </conditionalFormatting>
  <conditionalFormatting sqref="F53 H53:L53">
    <cfRule type="cellIs" dxfId="321" priority="47" operator="greaterThan">
      <formula>0</formula>
    </cfRule>
  </conditionalFormatting>
  <conditionalFormatting sqref="G1">
    <cfRule type="expression" dxfId="320" priority="41">
      <formula>$W$71&gt;0</formula>
    </cfRule>
  </conditionalFormatting>
  <conditionalFormatting sqref="G5">
    <cfRule type="expression" dxfId="319" priority="92" stopIfTrue="1">
      <formula>AND(G5="Yes",B4&lt;100)</formula>
    </cfRule>
    <cfRule type="expression" dxfId="318" priority="93">
      <formula>B4&lt;100</formula>
    </cfRule>
  </conditionalFormatting>
  <conditionalFormatting sqref="G6">
    <cfRule type="expression" dxfId="317" priority="57">
      <formula>$U$8=0</formula>
    </cfRule>
  </conditionalFormatting>
  <conditionalFormatting sqref="G6:G9">
    <cfRule type="expression" dxfId="316" priority="544">
      <formula>$G$5="No"</formula>
    </cfRule>
  </conditionalFormatting>
  <conditionalFormatting sqref="G7">
    <cfRule type="expression" dxfId="315" priority="56">
      <formula>$U$8&lt;2</formula>
    </cfRule>
  </conditionalFormatting>
  <conditionalFormatting sqref="G8">
    <cfRule type="expression" dxfId="314" priority="55">
      <formula>$U$8&lt;3</formula>
    </cfRule>
  </conditionalFormatting>
  <conditionalFormatting sqref="G9">
    <cfRule type="expression" dxfId="313" priority="54">
      <formula>$U$8&lt;4</formula>
    </cfRule>
  </conditionalFormatting>
  <conditionalFormatting sqref="G46 G50 G53">
    <cfRule type="cellIs" dxfId="312" priority="43" operator="equal">
      <formula>$V$71</formula>
    </cfRule>
  </conditionalFormatting>
  <conditionalFormatting sqref="G46">
    <cfRule type="cellIs" dxfId="311" priority="50" operator="notEqual">
      <formula>$V$63</formula>
    </cfRule>
  </conditionalFormatting>
  <conditionalFormatting sqref="G50">
    <cfRule type="cellIs" dxfId="310" priority="48" operator="notEqual">
      <formula>$V$63</formula>
    </cfRule>
  </conditionalFormatting>
  <conditionalFormatting sqref="G53">
    <cfRule type="cellIs" dxfId="309" priority="46" operator="notEqual">
      <formula>$V$63</formula>
    </cfRule>
  </conditionalFormatting>
  <conditionalFormatting sqref="G55">
    <cfRule type="expression" dxfId="308" priority="42">
      <formula>$W$71&gt;0</formula>
    </cfRule>
  </conditionalFormatting>
  <conditionalFormatting sqref="G40:O40 F46 H46:L46">
    <cfRule type="cellIs" dxfId="307" priority="51" operator="greaterThan">
      <formula>0</formula>
    </cfRule>
  </conditionalFormatting>
  <conditionalFormatting sqref="H12:H31 H36">
    <cfRule type="cellIs" dxfId="306" priority="72" operator="greaterThan">
      <formula>3</formula>
    </cfRule>
  </conditionalFormatting>
  <conditionalFormatting sqref="I12:I31">
    <cfRule type="expression" dxfId="305" priority="14">
      <formula>Q12=0</formula>
    </cfRule>
  </conditionalFormatting>
  <conditionalFormatting sqref="I5:J8">
    <cfRule type="expression" dxfId="304" priority="52">
      <formula>$J$8&gt;$J$6</formula>
    </cfRule>
  </conditionalFormatting>
  <conditionalFormatting sqref="I12:J36">
    <cfRule type="cellIs" dxfId="303" priority="9" stopIfTrue="1" operator="equal">
      <formula>"Yes"</formula>
    </cfRule>
  </conditionalFormatting>
  <conditionalFormatting sqref="I36:J36">
    <cfRule type="expression" dxfId="302" priority="35">
      <formula>$D$36=0</formula>
    </cfRule>
  </conditionalFormatting>
  <conditionalFormatting sqref="J12">
    <cfRule type="expression" dxfId="301" priority="44">
      <formula>$N$12=0</formula>
    </cfRule>
  </conditionalFormatting>
  <conditionalFormatting sqref="J13">
    <cfRule type="expression" dxfId="300" priority="34">
      <formula>$N$13=0</formula>
    </cfRule>
  </conditionalFormatting>
  <conditionalFormatting sqref="J14">
    <cfRule type="expression" dxfId="299" priority="33">
      <formula>$N$14=0</formula>
    </cfRule>
  </conditionalFormatting>
  <conditionalFormatting sqref="J15">
    <cfRule type="expression" dxfId="298" priority="32">
      <formula>$N$15=0</formula>
    </cfRule>
  </conditionalFormatting>
  <conditionalFormatting sqref="J16">
    <cfRule type="expression" dxfId="297" priority="31">
      <formula>$N$16=0</formula>
    </cfRule>
  </conditionalFormatting>
  <conditionalFormatting sqref="J17">
    <cfRule type="expression" dxfId="296" priority="30">
      <formula>$N$17=0</formula>
    </cfRule>
  </conditionalFormatting>
  <conditionalFormatting sqref="J18">
    <cfRule type="expression" dxfId="295" priority="29">
      <formula>$N$18=0</formula>
    </cfRule>
  </conditionalFormatting>
  <conditionalFormatting sqref="J19">
    <cfRule type="expression" dxfId="294" priority="28">
      <formula>$N$19=0</formula>
    </cfRule>
  </conditionalFormatting>
  <conditionalFormatting sqref="J20">
    <cfRule type="expression" dxfId="293" priority="27">
      <formula>$N$20=0</formula>
    </cfRule>
  </conditionalFormatting>
  <conditionalFormatting sqref="J21">
    <cfRule type="expression" dxfId="292" priority="26">
      <formula>$N$21=0</formula>
    </cfRule>
  </conditionalFormatting>
  <conditionalFormatting sqref="J22">
    <cfRule type="expression" dxfId="291" priority="25">
      <formula>$N$22=0</formula>
    </cfRule>
  </conditionalFormatting>
  <conditionalFormatting sqref="J23">
    <cfRule type="expression" dxfId="290" priority="24">
      <formula>$N$23=0</formula>
    </cfRule>
  </conditionalFormatting>
  <conditionalFormatting sqref="J24">
    <cfRule type="expression" dxfId="289" priority="23">
      <formula>$N$24=0</formula>
    </cfRule>
  </conditionalFormatting>
  <conditionalFormatting sqref="J25">
    <cfRule type="expression" dxfId="288" priority="22">
      <formula>$N$25=0</formula>
    </cfRule>
  </conditionalFormatting>
  <conditionalFormatting sqref="J26">
    <cfRule type="expression" dxfId="287" priority="21">
      <formula>$N$26=0</formula>
    </cfRule>
  </conditionalFormatting>
  <conditionalFormatting sqref="J27">
    <cfRule type="expression" dxfId="286" priority="20">
      <formula>$N$27=0</formula>
    </cfRule>
  </conditionalFormatting>
  <conditionalFormatting sqref="J28">
    <cfRule type="expression" dxfId="285" priority="19">
      <formula>$N$28=0</formula>
    </cfRule>
  </conditionalFormatting>
  <conditionalFormatting sqref="J29">
    <cfRule type="expression" dxfId="284" priority="18">
      <formula>$N$29=0</formula>
    </cfRule>
  </conditionalFormatting>
  <conditionalFormatting sqref="J30">
    <cfRule type="expression" dxfId="283" priority="17">
      <formula>$N$30=0</formula>
    </cfRule>
  </conditionalFormatting>
  <conditionalFormatting sqref="J31">
    <cfRule type="expression" dxfId="282" priority="16">
      <formula>$N$31=0</formula>
    </cfRule>
  </conditionalFormatting>
  <conditionalFormatting sqref="J33">
    <cfRule type="expression" dxfId="281" priority="36">
      <formula>OR($D$33=0,$B$4&lt;50)</formula>
    </cfRule>
  </conditionalFormatting>
  <conditionalFormatting sqref="J33:J34">
    <cfRule type="cellIs" dxfId="280" priority="13" stopIfTrue="1" operator="equal">
      <formula>"Yes"</formula>
    </cfRule>
  </conditionalFormatting>
  <conditionalFormatting sqref="J34">
    <cfRule type="expression" dxfId="279" priority="15">
      <formula>OR($D$34=0,$B$4&lt;50)</formula>
    </cfRule>
  </conditionalFormatting>
  <conditionalFormatting sqref="K12:K31 K36">
    <cfRule type="cellIs" dxfId="278" priority="73" operator="greaterThan">
      <formula>TL</formula>
    </cfRule>
  </conditionalFormatting>
  <conditionalFormatting sqref="N6">
    <cfRule type="expression" dxfId="277" priority="104">
      <formula>$N$6&lt;0</formula>
    </cfRule>
  </conditionalFormatting>
  <conditionalFormatting sqref="Q6">
    <cfRule type="expression" dxfId="276"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C25" sqref="C25"/>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Survey and Exploration Ship</v>
      </c>
      <c r="F1" s="1" t="s">
        <v>1</v>
      </c>
      <c r="S1" t="s">
        <v>99</v>
      </c>
      <c r="T1">
        <v>1</v>
      </c>
    </row>
    <row r="2" spans="1:27">
      <c r="A2" s="3" t="s">
        <v>432</v>
      </c>
      <c r="B2" t="str">
        <f>'Ship Info'!B2</f>
        <v>Scout</v>
      </c>
      <c r="C2" s="3" t="s">
        <v>0</v>
      </c>
      <c r="D2" s="2">
        <f>'Ship Info'!F2</f>
        <v>14</v>
      </c>
      <c r="F2" s="10">
        <f>'Ship Info'!G2</f>
        <v>1536124666.6666665</v>
      </c>
      <c r="S2" t="s">
        <v>100</v>
      </c>
      <c r="T2">
        <v>1.5</v>
      </c>
    </row>
    <row r="3" spans="1:27">
      <c r="F3" s="10"/>
      <c r="G3" s="79"/>
      <c r="H3" s="505">
        <f>S40</f>
        <v>0</v>
      </c>
      <c r="I3" s="86"/>
      <c r="J3" s="79"/>
      <c r="K3" s="518">
        <f>S43</f>
        <v>0</v>
      </c>
      <c r="S3" t="s">
        <v>411</v>
      </c>
      <c r="T3">
        <v>15</v>
      </c>
      <c r="U3">
        <v>50</v>
      </c>
      <c r="V3">
        <v>30</v>
      </c>
      <c r="W3">
        <v>100000000</v>
      </c>
      <c r="X3">
        <f>50*(E40+'2-Drives'!H25+'2-Drives'!H28)</f>
        <v>3600</v>
      </c>
    </row>
    <row r="4" spans="1:27">
      <c r="F4" s="508" t="s">
        <v>45</v>
      </c>
      <c r="H4" s="786" t="s">
        <v>46</v>
      </c>
      <c r="I4" s="786"/>
      <c r="K4" s="786" t="s">
        <v>47</v>
      </c>
      <c r="L4" s="786"/>
      <c r="S4" t="s">
        <v>663</v>
      </c>
      <c r="T4">
        <v>20</v>
      </c>
      <c r="U4">
        <v>50</v>
      </c>
      <c r="V4">
        <v>100</v>
      </c>
      <c r="W4">
        <v>1000000000</v>
      </c>
    </row>
    <row r="5" spans="1:27">
      <c r="F5" s="506">
        <f>SUM(F8:F40)</f>
        <v>0</v>
      </c>
      <c r="H5" s="1" t="s">
        <v>403</v>
      </c>
      <c r="I5" s="1" t="s">
        <v>27</v>
      </c>
      <c r="K5" s="1" t="s">
        <v>403</v>
      </c>
      <c r="L5" s="1" t="s">
        <v>27</v>
      </c>
      <c r="S5">
        <f>B45</f>
        <v>0</v>
      </c>
      <c r="T5">
        <f>D45</f>
        <v>0</v>
      </c>
      <c r="U5">
        <f>H45</f>
        <v>0</v>
      </c>
      <c r="V5">
        <f>K45</f>
        <v>0</v>
      </c>
      <c r="W5" s="4">
        <f>F45</f>
        <v>0</v>
      </c>
    </row>
    <row r="6" spans="1:27">
      <c r="F6" s="4"/>
      <c r="H6" s="10">
        <f>'Ship Info'!I3</f>
        <v>6.25</v>
      </c>
      <c r="I6" s="270">
        <f>'1-Hull'!B4</f>
        <v>1000</v>
      </c>
      <c r="J6" s="2"/>
      <c r="K6" s="270">
        <f>'Ship Info'!L3</f>
        <v>6</v>
      </c>
      <c r="L6" s="270">
        <f>'3-Pwr Plant'!L6</f>
        <v>850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99</v>
      </c>
      <c r="B9" s="229" t="s">
        <v>413</v>
      </c>
      <c r="C9" s="198" t="s">
        <v>417</v>
      </c>
      <c r="D9" s="2">
        <f>INDEX($S$9:$W$13,MATCH(B9,$S$9:$S$13,0),2)+INDEX($S$15:$X$37,MATCH(C9,$S$15:$S$37,0),2)+INDEX($S$15:$X$37,MATCH(C10,$S$15:$S$37,0),2)+INDEX($S$15:$X$37,MATCH(C11,$S$15:$S$37,0),2)</f>
        <v>14</v>
      </c>
      <c r="E9" s="198">
        <v>0</v>
      </c>
      <c r="F9" s="4">
        <f>E9*INDEX($S$9:$W$13,MATCH(B9,$S$9:$S$13,0),5)*(1+IF(Z39=0,INDEX($V$39:$W$42,MATCH(B11,$V$39:$V$42,0),2),Z39))*INDEX($S$1:$T$2,MATCH(A9,$S$1:$S$2,0),2)+E9*(IF(A11="No",0,200000*0.1*H9/1.1))</f>
        <v>0</v>
      </c>
      <c r="H9" s="263">
        <f>E9*INDEX($S$9:$W$13,MATCH(B9,$S$9:$S$13,0),3)*(1+INDEX($S$15:$X$37,MATCH(C9,$S$15:$S$37,0),3)+INDEX($S$15:$X$37,MATCH(C10,$S$15:$S$37,0),3)+INDEX($S$15:$X$37,MATCH(C11,$S$15:$S$37,0),3))*IF(A11="No",1,1.1)</f>
        <v>0</v>
      </c>
      <c r="K9" s="263">
        <f>E9*INDEX($S$9:$W$13,MATCH(B9,$S$9:$S$13,0),4)*(1+INDEX($S$15:$X$37,MATCH(C9,$S$15:$S$37,0),4)+INDEX($S$15:$X$37,MATCH(C10,$S$15:$S$37,0),4)+INDEX($S$15:$X$37,MATCH(C11,$S$15:$S$37,0),4))</f>
        <v>0</v>
      </c>
      <c r="M9" t="str">
        <f>VLOOKUP(C9,$S$15:$X$37,6)</f>
        <v>Power -25%</v>
      </c>
      <c r="S9" t="str">
        <f>""</f>
        <v/>
      </c>
      <c r="T9">
        <v>0</v>
      </c>
      <c r="U9">
        <v>0</v>
      </c>
      <c r="V9">
        <v>0</v>
      </c>
      <c r="W9">
        <v>0</v>
      </c>
    </row>
    <row r="10" spans="1:27" ht="16" thickBot="1">
      <c r="A10" s="3" t="s">
        <v>1075</v>
      </c>
      <c r="B10" s="234" t="s">
        <v>1166</v>
      </c>
      <c r="C10" s="198" t="s">
        <v>414</v>
      </c>
      <c r="M10" t="str">
        <f>VLOOKUP(C10,$S$15:$X$37,6)</f>
        <v>DM +1 to Repair</v>
      </c>
      <c r="S10" t="s">
        <v>409</v>
      </c>
      <c r="T10">
        <v>10</v>
      </c>
      <c r="U10">
        <v>5</v>
      </c>
      <c r="V10">
        <v>10</v>
      </c>
      <c r="W10">
        <v>5000000</v>
      </c>
    </row>
    <row r="11" spans="1:27" ht="16" thickBot="1">
      <c r="A11" s="198" t="s">
        <v>99</v>
      </c>
      <c r="B11" s="2">
        <f>VLOOKUP(C9,$S$15:$Z$33,8)+VLOOKUP(C10,$S$15:$Z$33,8)+VLOOKUP(C11,$S$15:$Z$33,8)</f>
        <v>2</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99</v>
      </c>
      <c r="B14" s="229" t="s">
        <v>409</v>
      </c>
      <c r="C14" s="198" t="s">
        <v>417</v>
      </c>
      <c r="D14" s="2">
        <f>INDEX($S$9:$W$13,MATCH(B14,$S$9:$S$13,0),2)+INDEX($S$15:$X$37,MATCH(C14,$S$15:$S$37,0),2)+INDEX($S$15:$X$37,MATCH(C15,$S$15:$S$37,0),2)+INDEX($S$15:$X$37,MATCH(C16,$S$15:$S$37,0),2)</f>
        <v>13</v>
      </c>
      <c r="E14" s="198">
        <v>0</v>
      </c>
      <c r="F14" s="4">
        <f>E14*INDEX($S$9:$W$13,MATCH(B14,$S$9:$S$13,0),5)*(1+IF(Z40=0,INDEX($V$39:$W$42,MATCH(B16,$V$39:$V$42,0),2),Z40))*INDEX($S$1:$T$2,MATCH(A14,$S$1:$S$2,0),2)+E14*(IF(A16="No",0,200000*0.1*H14/1.1))</f>
        <v>0</v>
      </c>
      <c r="H14" s="263">
        <f>E14*INDEX($S$9:$W$13,MATCH(B14,$S$9:$S$13,0),3)*(1+INDEX($S$15:$X$37,MATCH(C14,$S$15:$S$37,0),3)+INDEX($S$15:$X$37,MATCH(C15,$S$15:$S$37,0),3)+INDEX($S$15:$X$37,MATCH(C16,$S$15:$S$37,0),3))*IF(A16="No",1,1.1)</f>
        <v>0</v>
      </c>
      <c r="K14" s="263">
        <f>E14*INDEX($S$9:$W$13,MATCH(B14,$S$9:$S$13,0),4)*(1+INDEX($S$15:$X$37,MATCH(C14,$S$15:$S$37,0),4)+INDEX($S$15:$X$37,MATCH(C15,$S$15:$S$37,0),4)+INDEX($S$15:$X$37,MATCH(C16,$S$15:$S$37,0),4))</f>
        <v>0</v>
      </c>
      <c r="M14" t="str">
        <f>VLOOKUP(C14,$S$15:$X$37,6)</f>
        <v>Power -25%</v>
      </c>
      <c r="T14" t="s">
        <v>26</v>
      </c>
      <c r="U14" t="s">
        <v>117</v>
      </c>
      <c r="V14" t="s">
        <v>322</v>
      </c>
      <c r="W14" t="s">
        <v>1</v>
      </c>
      <c r="X14" t="s">
        <v>171</v>
      </c>
      <c r="Y14" t="s">
        <v>701</v>
      </c>
      <c r="Z14" t="s">
        <v>1166</v>
      </c>
      <c r="AA14" t="s">
        <v>1265</v>
      </c>
    </row>
    <row r="15" spans="1:27" ht="16" thickBot="1">
      <c r="A15" s="3" t="s">
        <v>1075</v>
      </c>
      <c r="B15" s="234" t="s">
        <v>1166</v>
      </c>
      <c r="C15" s="198" t="s">
        <v>1285</v>
      </c>
      <c r="M15" t="str">
        <f>VLOOKUP(C15,$S$15:$X$37,6)</f>
        <v>Crit Severity -1</v>
      </c>
      <c r="S15" t="s">
        <v>395</v>
      </c>
      <c r="T15">
        <v>0</v>
      </c>
      <c r="U15">
        <v>0</v>
      </c>
      <c r="V15">
        <v>0</v>
      </c>
      <c r="W15">
        <v>0</v>
      </c>
      <c r="X15" t="s">
        <v>33</v>
      </c>
      <c r="Y15" t="str">
        <f>""</f>
        <v/>
      </c>
      <c r="Z15">
        <v>0</v>
      </c>
      <c r="AA15" t="s">
        <v>19</v>
      </c>
    </row>
    <row r="16" spans="1:27" ht="16" thickBot="1">
      <c r="A16" s="198" t="s">
        <v>99</v>
      </c>
      <c r="B16" s="2">
        <f>VLOOKUP(C14,$S$15:$Z$33,8)+VLOOKUP(C15,$S$15:$Z$33,8)+VLOOKUP(C16,$S$15:$Z$33,8)</f>
        <v>3</v>
      </c>
      <c r="C16" s="198" t="s">
        <v>414</v>
      </c>
      <c r="M16" t="str">
        <f>VLOOKUP(C16,$S$15:$X$37,6)</f>
        <v>DM +1 to Repair</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0</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5</v>
      </c>
      <c r="V45">
        <v>2</v>
      </c>
      <c r="W45">
        <f>U45*1000000</f>
        <v>5000000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Energy Efficient</v>
      </c>
      <c r="U54" t="str">
        <f>IF(T54="","",IF(AND(T55=T54,T56=T54),T54&amp;" x3",IF(OR(T55=T54,T56=T54),T54&amp;" x2",T54)))</f>
        <v>Energy Efficient</v>
      </c>
      <c r="V54" t="str">
        <f>IF(VLOOKUP(C14,$S$15:$AA$34,9)=$AA$15,"",VLOOKUP(C14,$S$15:$AA$34,9))</f>
        <v>Energy Efficient</v>
      </c>
      <c r="W54" t="str">
        <f>IF(V54="","",IF(AND(V55=V54,V56=V54),V54&amp;" x3",IF(OR(V55=V54,V56=V54),V54&amp;" x2",V54)))</f>
        <v>Energy Efficient</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Easy to Repair</v>
      </c>
      <c r="U55" t="str">
        <f>IF(OR(T55="",T55=T54),"",IF(T54="","",", ")&amp;IF(T55=T56,T55&amp;" x2",T55))</f>
        <v>, Easy to Repair</v>
      </c>
      <c r="V55" t="str">
        <f>IF(VLOOKUP(C15,$S$15:$AA$34,9)=$AA$15,"",VLOOKUP(C15,$S$15:$AA$34,9))</f>
        <v>Resilient</v>
      </c>
      <c r="W55" t="str">
        <f>IF(OR(V55="",V55=V54),"",IF(V54="","",", ")&amp;IF(V55=V56,V55&amp;" x2",V55))</f>
        <v>, Resilient</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Easy to Repair</v>
      </c>
      <c r="W56" t="str">
        <f>IF(OR(V56="",V56=V54,V56=V55),"",IF(AND(V54="",V55=""),"",", ")&amp;V56)</f>
        <v>, Easy to Repair</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Energy Efficient, Easy to Repair</v>
      </c>
      <c r="V58" s="232" t="str">
        <f>W54&amp;W55&amp;W56</f>
        <v>Energy Efficient, Resilient, Easy to Repair</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  </v>
      </c>
      <c r="V60" s="232" t="str">
        <f>VLOOKUP(C14,$S$15:$AA$34,7)&amp;" "&amp;VLOOKUP(C15,$S$15:$AA$34,7)&amp;" "&amp;VLOOKUP(C16,$S$15:$AA$34,7)</f>
        <v xml:space="preserve"> CS -1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5" priority="1387">
      <formula>$B$9=$S$9</formula>
    </cfRule>
  </conditionalFormatting>
  <conditionalFormatting sqref="A14 E14 C14:C16 A16">
    <cfRule type="expression" dxfId="274" priority="1391">
      <formula>$B$14=$S$9</formula>
    </cfRule>
  </conditionalFormatting>
  <conditionalFormatting sqref="A19 E19 C19:C21 A21">
    <cfRule type="expression" dxfId="273" priority="1395">
      <formula>$B$19=$S$9</formula>
    </cfRule>
  </conditionalFormatting>
  <conditionalFormatting sqref="A24 E24 C24:C26 A26">
    <cfRule type="expression" dxfId="272" priority="1405">
      <formula>$B$24=$S$9</formula>
    </cfRule>
  </conditionalFormatting>
  <conditionalFormatting sqref="A29 C29:C31 A31">
    <cfRule type="expression" dxfId="271" priority="16">
      <formula>$E$29=0</formula>
    </cfRule>
  </conditionalFormatting>
  <conditionalFormatting sqref="A34 C34:C36 A36">
    <cfRule type="expression" dxfId="270" priority="3">
      <formula>$D$34&lt;10</formula>
    </cfRule>
  </conditionalFormatting>
  <conditionalFormatting sqref="A39 E40 A41">
    <cfRule type="expression" dxfId="269" priority="1399">
      <formula>$C$39=$S$6</formula>
    </cfRule>
  </conditionalFormatting>
  <conditionalFormatting sqref="B11 B16 B21 B26 B31">
    <cfRule type="cellIs" dxfId="268" priority="10" operator="greaterThan">
      <formula>3</formula>
    </cfRule>
  </conditionalFormatting>
  <conditionalFormatting sqref="B36">
    <cfRule type="cellIs" dxfId="267" priority="2" operator="greaterThan">
      <formula>3</formula>
    </cfRule>
  </conditionalFormatting>
  <conditionalFormatting sqref="D9 D14 D19 D24 D29 D39">
    <cfRule type="cellIs" dxfId="266" priority="4" operator="greaterThan">
      <formula>$D$2</formula>
    </cfRule>
  </conditionalFormatting>
  <conditionalFormatting sqref="D34">
    <cfRule type="cellIs" dxfId="265" priority="1" operator="greaterThan">
      <formula>$D$2</formula>
    </cfRule>
  </conditionalFormatting>
  <conditionalFormatting sqref="E9">
    <cfRule type="expression" dxfId="264" priority="1402">
      <formula>AND(B9&lt;&gt;S9,E9=0)</formula>
    </cfRule>
  </conditionalFormatting>
  <conditionalFormatting sqref="E14">
    <cfRule type="expression" dxfId="263" priority="1403">
      <formula>AND(B14&lt;&gt;S9,E14=0)</formula>
    </cfRule>
  </conditionalFormatting>
  <conditionalFormatting sqref="E19">
    <cfRule type="expression" dxfId="262" priority="1404">
      <formula>AND(B19&lt;&gt;S9,E19=0)</formula>
    </cfRule>
  </conditionalFormatting>
  <conditionalFormatting sqref="E24">
    <cfRule type="expression" dxfId="261" priority="1409">
      <formula>AND($B$24&lt;&gt;$S$9,$E$24=0)</formula>
    </cfRule>
  </conditionalFormatting>
  <conditionalFormatting sqref="H6">
    <cfRule type="expression" dxfId="260" priority="26">
      <formula>$H$6&lt;0</formula>
    </cfRule>
  </conditionalFormatting>
  <conditionalFormatting sqref="K6">
    <cfRule type="expression" dxfId="259"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topLeftCell="A16" zoomScaleNormal="100" workbookViewId="0">
      <selection activeCell="C44" sqref="C44"/>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Survey and Exploration Ship</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Scout</v>
      </c>
      <c r="D2" s="3" t="s">
        <v>0</v>
      </c>
      <c r="E2" s="2">
        <f>'Ship Info'!F2</f>
        <v>14</v>
      </c>
      <c r="F2" s="10">
        <f>'Ship Info'!G2</f>
        <v>1536124666.6666665</v>
      </c>
      <c r="S2" t="s">
        <v>113</v>
      </c>
      <c r="T2" t="s">
        <v>99</v>
      </c>
      <c r="U2" t="s">
        <v>99</v>
      </c>
      <c r="Y2">
        <v>1</v>
      </c>
      <c r="AA2" t="str">
        <f>""</f>
        <v/>
      </c>
      <c r="AB2" s="4">
        <v>0</v>
      </c>
      <c r="AC2">
        <v>0</v>
      </c>
      <c r="AW2" s="202">
        <v>1</v>
      </c>
      <c r="AX2" s="202" t="str">
        <f>INDEX($Y$2:$AA$328,MATCH(AW2,$Y$2:$Y$328,0),3)</f>
        <v/>
      </c>
      <c r="AY2">
        <v>1</v>
      </c>
      <c r="AZ2" t="str">
        <f>IF(OR(M27="",P27=0),"",M27&amp;" x"&amp;P27&amp;" ("&amp;P27*O27&amp;" tons)")</f>
        <v>Zhodoni Insight Scout Sled x3 (22.5 tons)</v>
      </c>
      <c r="BA2" s="4">
        <f>Q27</f>
        <v>8550000</v>
      </c>
    </row>
    <row r="3" spans="1:53">
      <c r="F3" s="10"/>
      <c r="G3" s="79"/>
      <c r="H3" s="506">
        <f>S29</f>
        <v>78</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Zhodani Brechatsnech Belt Survey Vessel x1 (60 tons)</v>
      </c>
      <c r="BA3" s="4">
        <f t="shared" ref="BA3:BA31" si="4">Q28</f>
        <v>37070000</v>
      </c>
    </row>
    <row r="4" spans="1:53" ht="16">
      <c r="F4" s="508" t="s">
        <v>45</v>
      </c>
      <c r="H4" s="786" t="s">
        <v>46</v>
      </c>
      <c r="I4" s="786"/>
      <c r="K4" s="786" t="s">
        <v>47</v>
      </c>
      <c r="L4" s="786"/>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Zhodani Neishetsienz Gas Giant Survey Vessel x1 (60 tons)</v>
      </c>
      <c r="BA4" s="4">
        <f t="shared" si="4"/>
        <v>65550000</v>
      </c>
    </row>
    <row r="5" spans="1:53" ht="16">
      <c r="F5" s="506">
        <f>SUM(F10:F66)+IF(N58="No",0,SUM(Q27:Q46))</f>
        <v>186115000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Zhodani Drabr Chtor Terrestrial Survey Vessel x1 (80 tons)</v>
      </c>
      <c r="BA5" s="4">
        <f t="shared" si="4"/>
        <v>48995000</v>
      </c>
    </row>
    <row r="6" spans="1:53" ht="16">
      <c r="G6" s="2"/>
      <c r="H6" s="10">
        <f>'Ship Info'!I3</f>
        <v>6.25</v>
      </c>
      <c r="I6" s="270">
        <f>'Ship Info'!J3</f>
        <v>1000</v>
      </c>
      <c r="J6" s="2"/>
      <c r="K6" s="270">
        <f>'Ship Info'!L3</f>
        <v>6</v>
      </c>
      <c r="L6" s="270">
        <f>'Ship Info'!M3</f>
        <v>850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113</v>
      </c>
      <c r="C10" s="235">
        <v>10</v>
      </c>
      <c r="D10" s="2" t="str">
        <f>IF(H10&gt;0,C10*5 &amp;" Probes","0 Probes ")</f>
        <v>50 Probes</v>
      </c>
      <c r="E10" s="2">
        <f>IF(B10="Installed",9,0)</f>
        <v>9</v>
      </c>
      <c r="F10" s="4">
        <f>H10*500000</f>
        <v>5000000</v>
      </c>
      <c r="H10" s="270">
        <f>IF(B10=S2,C10,0)</f>
        <v>10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113</v>
      </c>
      <c r="C11" s="235">
        <v>10</v>
      </c>
      <c r="D11" s="2" t="str">
        <f>IF(H11&gt;0,C11*5 &amp;" Probes","0 Probes")</f>
        <v>50 Probes</v>
      </c>
      <c r="E11" s="2">
        <f>IF(B11="Installed",12,0)</f>
        <v>12</v>
      </c>
      <c r="F11" s="4">
        <f>H11*800000</f>
        <v>8000000</v>
      </c>
      <c r="H11" s="270">
        <f>IF(B11=S2,C11,0)</f>
        <v>10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1</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2000000</v>
      </c>
      <c r="H13" s="270">
        <f>IF(B13=S2,0.01*I6,0)</f>
        <v>10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1903</v>
      </c>
      <c r="N27" s="455">
        <f>INDEX($AA$2:$AC$482,MATCH(M27,$AA$2:$AA$482,0),2)</f>
        <v>2850000</v>
      </c>
      <c r="O27" s="456">
        <f>INDEX($AA$2:$AC$482,MATCH(M27,$AA$2:$AA$482,0),3)</f>
        <v>7.5</v>
      </c>
      <c r="P27" s="410">
        <v>3</v>
      </c>
      <c r="Q27" s="445">
        <f>P27*N27</f>
        <v>8550000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10</v>
      </c>
      <c r="D28" s="270">
        <v>2</v>
      </c>
      <c r="E28">
        <f>VLOOKUP(B28,S20:T25,2)</f>
        <v>0</v>
      </c>
      <c r="F28" s="4">
        <f>VLOOKUP(B28,S20:U25,3)*C28</f>
        <v>0</v>
      </c>
      <c r="H28" s="270">
        <v>0</v>
      </c>
      <c r="I28" s="844"/>
      <c r="J28" s="845"/>
      <c r="L28" s="451" t="s">
        <v>635</v>
      </c>
      <c r="M28" s="440" t="s">
        <v>2003</v>
      </c>
      <c r="N28" s="455">
        <f t="shared" ref="N28:N36" si="9">INDEX($AA$2:$AC$482,MATCH(M28,$AA$2:$AA$482,0),2)</f>
        <v>37070000</v>
      </c>
      <c r="O28" s="456">
        <f t="shared" ref="O28:O36" si="10">INDEX($AA$2:$AC$482,MATCH(M28,$AA$2:$AA$482,0),3)</f>
        <v>60</v>
      </c>
      <c r="P28" s="441">
        <v>1</v>
      </c>
      <c r="Q28" s="442">
        <f t="shared" ref="Q28:Q45" si="11">P28*N28</f>
        <v>37070000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2004</v>
      </c>
      <c r="N29" s="455">
        <f t="shared" si="9"/>
        <v>65550000</v>
      </c>
      <c r="O29" s="456">
        <f t="shared" si="10"/>
        <v>60</v>
      </c>
      <c r="P29" s="410">
        <v>1</v>
      </c>
      <c r="Q29" s="445">
        <f t="shared" si="11"/>
        <v>65550000</v>
      </c>
      <c r="S29">
        <f>SUM(H10:H64)</f>
        <v>78</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2005</v>
      </c>
      <c r="N30" s="455">
        <f t="shared" si="9"/>
        <v>48995000</v>
      </c>
      <c r="O30" s="456">
        <f t="shared" si="10"/>
        <v>80</v>
      </c>
      <c r="P30" s="441">
        <v>1</v>
      </c>
      <c r="Q30" s="442">
        <f t="shared" si="11"/>
        <v>48995000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10</v>
      </c>
      <c r="U33">
        <f>IF('1-Hull'!B4&lt;100,0,ROUNDUP('1-Hull'!B4/100,0))</f>
        <v>10</v>
      </c>
      <c r="V33">
        <f>IF('1-Hull'!B4&lt;100,0,ROUNDUP('1-Hull'!B4/500,0))</f>
        <v>2</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10x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113</v>
      </c>
      <c r="C35" s="235">
        <v>1</v>
      </c>
      <c r="D35" s="235">
        <v>24</v>
      </c>
      <c r="F35" s="4">
        <f>IF(H35&gt;0,H35*250000,0)*IF(A35=$S$55,1,2)</f>
        <v>6750000</v>
      </c>
      <c r="H35" s="270">
        <f>IF(B35=S21,ROUNDUP(C35*D35*1.1,0),0)</f>
        <v>27</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Probe Drones: 50 Probes, Advanced Probe Drones: 50 Probes,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3x Docking Clamp Type II</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25</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1x 24 ton Internal Docking Space</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3</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1x 3 ton cap Full Hangar Bay</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113</v>
      </c>
      <c r="C43" s="235">
        <v>3</v>
      </c>
      <c r="D43" s="53" t="s">
        <v>460</v>
      </c>
      <c r="F43" s="4">
        <f t="shared" ref="F43:F46" si="13">IF(H43=0,0,C43*W8)</f>
        <v>3000000</v>
      </c>
      <c r="H43" s="270">
        <f>IF(B43=S20,0,C43*V8)</f>
        <v>15</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113</v>
      </c>
      <c r="C48" s="235">
        <v>1</v>
      </c>
      <c r="D48" s="235">
        <v>3</v>
      </c>
      <c r="F48" s="4">
        <f>IF(H48&gt;0,H48*200000,0)*IF(A48=$S$57,1,2)</f>
        <v>1200000</v>
      </c>
      <c r="H48" s="270">
        <f>IF(B48="Installed",C48*D48*2,0)</f>
        <v>6</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222.5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58" priority="6">
      <formula>$B35=$S$53</formula>
    </cfRule>
  </conditionalFormatting>
  <conditionalFormatting sqref="A48:A52">
    <cfRule type="expression" dxfId="257" priority="5">
      <formula>$B48=$S$53</formula>
    </cfRule>
  </conditionalFormatting>
  <conditionalFormatting sqref="A10:B10">
    <cfRule type="expression" dxfId="256" priority="70">
      <formula>$E$10&gt;$E$2</formula>
    </cfRule>
  </conditionalFormatting>
  <conditionalFormatting sqref="A11:B11">
    <cfRule type="expression" dxfId="255" priority="69">
      <formula>12&gt;$E$2</formula>
    </cfRule>
  </conditionalFormatting>
  <conditionalFormatting sqref="A12:B12">
    <cfRule type="expression" dxfId="254" priority="68">
      <formula>$E$12&gt;$E$2</formula>
    </cfRule>
  </conditionalFormatting>
  <conditionalFormatting sqref="A13:B13">
    <cfRule type="expression" dxfId="253" priority="67">
      <formula>$E$13&gt;$E$2</formula>
    </cfRule>
  </conditionalFormatting>
  <conditionalFormatting sqref="A24:C24">
    <cfRule type="expression" dxfId="252" priority="1">
      <formula>$U$66=0</formula>
    </cfRule>
  </conditionalFormatting>
  <conditionalFormatting sqref="B17:B18 B10:B13 B20:B23 B28:B33 B35:B40 B42:B46 B48:B52 B54:B58 B60:B64">
    <cfRule type="cellIs" dxfId="251" priority="14" operator="equal">
      <formula>"Not Installed"</formula>
    </cfRule>
  </conditionalFormatting>
  <conditionalFormatting sqref="B18 B28:B33 B35:B40 B42:B46 B48:B52 B54:B58 B60:B64">
    <cfRule type="cellIs" dxfId="250" priority="13" operator="equal">
      <formula>" Not Installed"</formula>
    </cfRule>
  </conditionalFormatting>
  <conditionalFormatting sqref="B18">
    <cfRule type="cellIs" dxfId="249" priority="12" operator="equal">
      <formula>$S$14</formula>
    </cfRule>
  </conditionalFormatting>
  <conditionalFormatting sqref="B24">
    <cfRule type="expression" dxfId="248" priority="2">
      <formula>AND($B$24&lt;&gt;"",$U$66=0)</formula>
    </cfRule>
    <cfRule type="expression" dxfId="247" priority="4">
      <formula>$B$24="GP Mass Driver Added Capacity"</formula>
    </cfRule>
  </conditionalFormatting>
  <conditionalFormatting sqref="C10">
    <cfRule type="expression" dxfId="246" priority="75">
      <formula>$B$10=$S$3</formula>
    </cfRule>
  </conditionalFormatting>
  <conditionalFormatting sqref="C11">
    <cfRule type="expression" dxfId="245" priority="74">
      <formula>$B$11=$S$3</formula>
    </cfRule>
  </conditionalFormatting>
  <conditionalFormatting sqref="C12">
    <cfRule type="expression" dxfId="244" priority="73">
      <formula>$B$12=$S$3</formula>
    </cfRule>
  </conditionalFormatting>
  <conditionalFormatting sqref="C17">
    <cfRule type="expression" dxfId="243" priority="66">
      <formula>$B$17=$S$3</formula>
    </cfRule>
  </conditionalFormatting>
  <conditionalFormatting sqref="C18:C19">
    <cfRule type="expression" dxfId="242" priority="21">
      <formula>$B$18=$S$14</formula>
    </cfRule>
  </conditionalFormatting>
  <conditionalFormatting sqref="C20">
    <cfRule type="expression" dxfId="241" priority="63">
      <formula>$B$20=$S$3</formula>
    </cfRule>
  </conditionalFormatting>
  <conditionalFormatting sqref="C21">
    <cfRule type="expression" dxfId="240" priority="62">
      <formula>$B$21=$S$3</formula>
    </cfRule>
  </conditionalFormatting>
  <conditionalFormatting sqref="C22">
    <cfRule type="expression" dxfId="239" priority="61">
      <formula>$B$22=$S$3</formula>
    </cfRule>
  </conditionalFormatting>
  <conditionalFormatting sqref="C23">
    <cfRule type="expression" dxfId="238" priority="60">
      <formula>$B$23=$S$3</formula>
    </cfRule>
  </conditionalFormatting>
  <conditionalFormatting sqref="C24">
    <cfRule type="expression" dxfId="237" priority="3">
      <formula>$B$24=""</formula>
    </cfRule>
  </conditionalFormatting>
  <conditionalFormatting sqref="C42">
    <cfRule type="expression" dxfId="234" priority="28">
      <formula>$B$42=$S$20</formula>
    </cfRule>
  </conditionalFormatting>
  <conditionalFormatting sqref="C43">
    <cfRule type="expression" dxfId="233" priority="27">
      <formula>$B$43=$S$20</formula>
    </cfRule>
  </conditionalFormatting>
  <conditionalFormatting sqref="C44">
    <cfRule type="expression" dxfId="232" priority="26">
      <formula>$B$44=$S$20</formula>
    </cfRule>
  </conditionalFormatting>
  <conditionalFormatting sqref="C45">
    <cfRule type="expression" dxfId="231" priority="25">
      <formula>$B$45=$S$20</formula>
    </cfRule>
  </conditionalFormatting>
  <conditionalFormatting sqref="C46">
    <cfRule type="expression" dxfId="230" priority="24">
      <formula>$B$46=$S$20</formula>
    </cfRule>
  </conditionalFormatting>
  <conditionalFormatting sqref="C66">
    <cfRule type="expression" dxfId="229" priority="58">
      <formula>$S$60=0</formula>
    </cfRule>
  </conditionalFormatting>
  <conditionalFormatting sqref="C29:D29">
    <cfRule type="expression" dxfId="228" priority="57">
      <formula>$B$29=$S$20</formula>
    </cfRule>
  </conditionalFormatting>
  <conditionalFormatting sqref="C30:D30">
    <cfRule type="expression" dxfId="227" priority="56">
      <formula>$B$30=$S$20</formula>
    </cfRule>
  </conditionalFormatting>
  <conditionalFormatting sqref="C31:D31">
    <cfRule type="expression" dxfId="226" priority="55">
      <formula>$B$31=$S$20</formula>
    </cfRule>
  </conditionalFormatting>
  <conditionalFormatting sqref="C32:D32">
    <cfRule type="expression" dxfId="225" priority="54">
      <formula>$B$32=$S$20</formula>
    </cfRule>
  </conditionalFormatting>
  <conditionalFormatting sqref="C33:D33">
    <cfRule type="expression" dxfId="224" priority="53">
      <formula>$B$33=$S$20</formula>
    </cfRule>
  </conditionalFormatting>
  <conditionalFormatting sqref="C35:D35">
    <cfRule type="expression" dxfId="223" priority="52">
      <formula>$B$35=$S$20</formula>
    </cfRule>
  </conditionalFormatting>
  <conditionalFormatting sqref="C36:D36">
    <cfRule type="expression" dxfId="222" priority="51">
      <formula>$B$36=$S$20</formula>
    </cfRule>
  </conditionalFormatting>
  <conditionalFormatting sqref="C37:D37">
    <cfRule type="expression" dxfId="221" priority="50">
      <formula>$B$37=$S$20</formula>
    </cfRule>
  </conditionalFormatting>
  <conditionalFormatting sqref="C38:D38">
    <cfRule type="expression" dxfId="220" priority="49">
      <formula>$B$38=$S$20</formula>
    </cfRule>
  </conditionalFormatting>
  <conditionalFormatting sqref="C39:D39">
    <cfRule type="expression" dxfId="219" priority="48">
      <formula>$B$39=$S$20</formula>
    </cfRule>
  </conditionalFormatting>
  <conditionalFormatting sqref="C40:D40">
    <cfRule type="expression" dxfId="218" priority="47">
      <formula>$B$40=$S$20</formula>
    </cfRule>
  </conditionalFormatting>
  <conditionalFormatting sqref="C48:D48">
    <cfRule type="expression" dxfId="217" priority="46">
      <formula>$B$48=$S$20</formula>
    </cfRule>
  </conditionalFormatting>
  <conditionalFormatting sqref="C49:D49">
    <cfRule type="expression" dxfId="216" priority="45">
      <formula>$B$49=$S$20</formula>
    </cfRule>
  </conditionalFormatting>
  <conditionalFormatting sqref="C50:D50">
    <cfRule type="expression" dxfId="215" priority="44">
      <formula>$B$50=$S$20</formula>
    </cfRule>
  </conditionalFormatting>
  <conditionalFormatting sqref="C51:D51">
    <cfRule type="expression" dxfId="214" priority="43">
      <formula>$B$51=$S$20</formula>
    </cfRule>
  </conditionalFormatting>
  <conditionalFormatting sqref="C52:D52">
    <cfRule type="expression" dxfId="213" priority="42">
      <formula>$B$52=$S$20</formula>
    </cfRule>
  </conditionalFormatting>
  <conditionalFormatting sqref="C54:D54">
    <cfRule type="expression" dxfId="212" priority="40">
      <formula>$B$54=$S$20</formula>
    </cfRule>
  </conditionalFormatting>
  <conditionalFormatting sqref="C55:D55">
    <cfRule type="expression" dxfId="211" priority="39">
      <formula>$B$55=$S$20</formula>
    </cfRule>
  </conditionalFormatting>
  <conditionalFormatting sqref="C56:D56">
    <cfRule type="expression" dxfId="210" priority="38">
      <formula>$B$56=$S$20</formula>
    </cfRule>
  </conditionalFormatting>
  <conditionalFormatting sqref="C57:D57">
    <cfRule type="expression" dxfId="209" priority="37">
      <formula>$B$57=$S$20</formula>
    </cfRule>
  </conditionalFormatting>
  <conditionalFormatting sqref="C58:D58">
    <cfRule type="expression" dxfId="208" priority="36">
      <formula>$B$58=$S$20</formula>
    </cfRule>
  </conditionalFormatting>
  <conditionalFormatting sqref="C60:D60">
    <cfRule type="expression" dxfId="207" priority="35">
      <formula>$B$60=$S$20</formula>
    </cfRule>
  </conditionalFormatting>
  <conditionalFormatting sqref="C61:D61">
    <cfRule type="expression" dxfId="206" priority="34">
      <formula>$B$61=$S$20</formula>
    </cfRule>
  </conditionalFormatting>
  <conditionalFormatting sqref="C62:D62">
    <cfRule type="expression" dxfId="205" priority="33">
      <formula>$B$62=$S$20</formula>
    </cfRule>
  </conditionalFormatting>
  <conditionalFormatting sqref="C63:D63">
    <cfRule type="expression" dxfId="204" priority="32">
      <formula>$B$63=$S$20</formula>
    </cfRule>
  </conditionalFormatting>
  <conditionalFormatting sqref="C64:D64">
    <cfRule type="expression" dxfId="203" priority="31">
      <formula>$B$64=$S$20</formula>
    </cfRule>
  </conditionalFormatting>
  <conditionalFormatting sqref="E11">
    <cfRule type="expression" dxfId="202" priority="18">
      <formula>AND($B$11=$S$2,$E$11&gt;$E$2)</formula>
    </cfRule>
  </conditionalFormatting>
  <conditionalFormatting sqref="E12:E13">
    <cfRule type="expression" dxfId="201" priority="17">
      <formula>AND($B$12=$S$2,$E$12&gt;$E$2)</formula>
    </cfRule>
  </conditionalFormatting>
  <conditionalFormatting sqref="E18">
    <cfRule type="expression" dxfId="200" priority="20">
      <formula>$E$18&gt;$E$2</formula>
    </cfRule>
  </conditionalFormatting>
  <conditionalFormatting sqref="E18:E19">
    <cfRule type="expression" dxfId="199" priority="23">
      <formula>$E$19&gt;$E$2</formula>
    </cfRule>
  </conditionalFormatting>
  <conditionalFormatting sqref="E28:E33">
    <cfRule type="expression" dxfId="198" priority="19">
      <formula>MAX($E$28:$E$33)&gt;$E$2</formula>
    </cfRule>
  </conditionalFormatting>
  <conditionalFormatting sqref="H6">
    <cfRule type="expression" dxfId="197" priority="30">
      <formula>$H$6&lt;0</formula>
    </cfRule>
  </conditionalFormatting>
  <conditionalFormatting sqref="K6">
    <cfRule type="expression" dxfId="196" priority="29">
      <formula>$K$6&lt;0</formula>
    </cfRule>
  </conditionalFormatting>
  <conditionalFormatting sqref="N58 N61:N65">
    <cfRule type="expression" dxfId="195" priority="11">
      <formula>$N58="Yes"</formula>
    </cfRule>
  </conditionalFormatting>
  <conditionalFormatting sqref="N67:N79">
    <cfRule type="expression" dxfId="194"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C26" sqref="C26"/>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Survey and Exploration Ship</v>
      </c>
      <c r="F1" s="1" t="s">
        <v>1</v>
      </c>
    </row>
    <row r="2" spans="1:19">
      <c r="A2" s="3" t="s">
        <v>432</v>
      </c>
      <c r="B2" t="str">
        <f>'Ship Info'!B2</f>
        <v>Scout</v>
      </c>
      <c r="D2" s="3" t="s">
        <v>0</v>
      </c>
      <c r="E2" s="2">
        <f>'Ship Info'!F2</f>
        <v>14</v>
      </c>
      <c r="F2" s="10">
        <f>'Ship Info'!G2</f>
        <v>1536124666.6666665</v>
      </c>
    </row>
    <row r="3" spans="1:19">
      <c r="F3" s="10"/>
      <c r="G3" s="79"/>
      <c r="H3" s="506">
        <f>S10</f>
        <v>70</v>
      </c>
      <c r="I3" s="28"/>
      <c r="J3" s="79"/>
      <c r="K3" s="507">
        <f>S13</f>
        <v>2</v>
      </c>
      <c r="S3" t="s">
        <v>375</v>
      </c>
    </row>
    <row r="4" spans="1:19">
      <c r="F4" s="508" t="s">
        <v>45</v>
      </c>
      <c r="H4" s="786" t="s">
        <v>46</v>
      </c>
      <c r="I4" s="786"/>
      <c r="K4" s="786" t="s">
        <v>47</v>
      </c>
      <c r="L4" s="786"/>
      <c r="S4" t="s">
        <v>113</v>
      </c>
    </row>
    <row r="5" spans="1:19">
      <c r="F5" s="506">
        <f>SUM(F10:F119)</f>
        <v>25000000</v>
      </c>
      <c r="H5" s="1" t="s">
        <v>403</v>
      </c>
      <c r="I5" s="1" t="s">
        <v>27</v>
      </c>
      <c r="K5" s="1" t="s">
        <v>403</v>
      </c>
      <c r="L5" s="1" t="s">
        <v>27</v>
      </c>
    </row>
    <row r="6" spans="1:19">
      <c r="G6" s="2"/>
      <c r="H6" s="10">
        <f>'Ship Info'!I3</f>
        <v>6.25</v>
      </c>
      <c r="I6" s="270">
        <f>'Ship Info'!J3</f>
        <v>1000</v>
      </c>
      <c r="J6" s="2"/>
      <c r="K6" s="270">
        <f>'Ship Info'!L3</f>
        <v>6</v>
      </c>
      <c r="L6" s="270">
        <f>'Ship Info'!M3</f>
        <v>850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70</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2</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2</v>
      </c>
      <c r="D18" s="16" t="str">
        <f>IF(H18&gt;0,25*H18&amp;" Crew/"&amp;5*H18&amp;" Marines"," ")</f>
        <v>50 Crew/10 Marines</v>
      </c>
      <c r="F18" s="4">
        <f>250000*H18</f>
        <v>500000</v>
      </c>
      <c r="H18" s="263">
        <f>C18</f>
        <v>2</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2x Armory, 1x Briefing Room, 12x Laboratory, 2x Library, 2x Medical Bay</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12</v>
      </c>
      <c r="D23" s="16" t="s">
        <v>502</v>
      </c>
      <c r="F23" s="4">
        <f>250000*H23</f>
        <v>12000000</v>
      </c>
      <c r="H23" s="263">
        <f>4*C23</f>
        <v>48</v>
      </c>
      <c r="S23" t="s">
        <v>579</v>
      </c>
      <c r="T23">
        <v>0</v>
      </c>
    </row>
    <row r="24" spans="1:23" ht="16" thickBot="1">
      <c r="B24" t="s">
        <v>218</v>
      </c>
      <c r="C24" s="235">
        <v>2</v>
      </c>
      <c r="D24" s="2" t="str">
        <f>IF(H24&gt;0,"DM+1 EDU for training"," ")</f>
        <v>DM+1 EDU for training</v>
      </c>
      <c r="E24" s="2">
        <f>IF(H24&gt;0,8,0)</f>
        <v>8</v>
      </c>
      <c r="F24" s="4">
        <f>1000000*H24</f>
        <v>8000000</v>
      </c>
      <c r="H24" s="263">
        <f>4*C24</f>
        <v>8</v>
      </c>
    </row>
    <row r="25" spans="1:23" ht="16" thickBot="1">
      <c r="B25" t="s">
        <v>490</v>
      </c>
      <c r="C25" s="235">
        <v>2</v>
      </c>
      <c r="D25" s="16" t="str">
        <f>IF(H25&gt;0,"Cap: "&amp;C25*3&amp;"; DM+1 Medic"," ")</f>
        <v>Cap: 6; DM+1 Medic</v>
      </c>
      <c r="F25" s="4">
        <f>500000*H25</f>
        <v>4000000</v>
      </c>
      <c r="H25" s="263">
        <f>4*C25</f>
        <v>8</v>
      </c>
      <c r="K25" s="263">
        <f>IF(H25&gt;0,C25,0)</f>
        <v>2</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375</v>
      </c>
      <c r="D31" s="235">
        <v>0</v>
      </c>
      <c r="E31" s="2">
        <f>IF(C31=S3,0,INDEX(S31:T32,MATCH(B31,S31:S32,0),2))</f>
        <v>0</v>
      </c>
      <c r="F31" s="4">
        <f>IF(C31=S4,INDEX(S31:W32,MATCH(B31,S31:S32,0),4)+D31*INDEX(S31:W32,MATCH(B31,S31:S32,0),5),0)</f>
        <v>0</v>
      </c>
      <c r="H31" s="263">
        <f>IF(C31=S4,INDEX(S31:W32,MATCH(B31,S31:S32,0),3)+D31,0)</f>
        <v>0</v>
      </c>
      <c r="S31" t="s">
        <v>2306</v>
      </c>
      <c r="T31">
        <v>12</v>
      </c>
      <c r="U31">
        <v>4</v>
      </c>
      <c r="V31">
        <v>2000000</v>
      </c>
      <c r="W31">
        <v>100000</v>
      </c>
    </row>
    <row r="32" spans="1:23" ht="16" thickBot="1">
      <c r="B32" s="469" t="s">
        <v>2310</v>
      </c>
      <c r="C32" s="235">
        <v>0</v>
      </c>
      <c r="D32" s="2" t="str">
        <f>IF(C31=S3,"",MIN(2+D31,C32)*INDEX(S33:U34,MATCH(B32,S33:S34,0),3)&amp;" Heat Cap")</f>
        <v/>
      </c>
      <c r="E32" s="2">
        <f>IF(C32=0,0,INDEX(S33:T34,MATCH(B32,S33:S34,0),2))</f>
        <v>0</v>
      </c>
      <c r="F32" s="4">
        <f>C32*INDEX(S33:V34,MATCH(B32,S33:S34,0),4)</f>
        <v>0</v>
      </c>
      <c r="H32" s="263">
        <f>C32</f>
        <v>0</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136</v>
      </c>
    </row>
    <row r="92" spans="1:20" ht="16" thickBot="1">
      <c r="A92" t="str">
        <f>IF(SUM(H91:H94,T91)&gt;9999,"Class A",IF(SUM(H91:H94,T91)&gt;2499,"Class B",IF(SUM(H91:H94,T91)&gt;99,"Class C","Class D/E/X")))</f>
        <v>Class C</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3</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2" priority="60">
      <formula>$C$97&gt;0</formula>
    </cfRule>
  </conditionalFormatting>
  <conditionalFormatting sqref="A35:D63">
    <cfRule type="expression" dxfId="191" priority="8">
      <formula>$T$22=1</formula>
    </cfRule>
  </conditionalFormatting>
  <conditionalFormatting sqref="B10:B13 B66:B76 T74:T75 A75:A85">
    <cfRule type="expression" dxfId="190" priority="67">
      <formula>$C10&gt;0</formula>
    </cfRule>
  </conditionalFormatting>
  <conditionalFormatting sqref="B18 B20 B22:B30 A73 B85:B86 B91:B95 B101:B105 B108:B109 B111:B112">
    <cfRule type="expression" dxfId="189" priority="90">
      <formula>$C18&gt;0</formula>
    </cfRule>
  </conditionalFormatting>
  <conditionalFormatting sqref="B19 B21">
    <cfRule type="expression" dxfId="188" priority="66">
      <formula>$C19*$D19&gt;0</formula>
    </cfRule>
  </conditionalFormatting>
  <conditionalFormatting sqref="B31:B32">
    <cfRule type="expression" dxfId="187" priority="3">
      <formula>$E31&gt;0</formula>
    </cfRule>
  </conditionalFormatting>
  <conditionalFormatting sqref="B82:B84">
    <cfRule type="expression" dxfId="186" priority="961">
      <formula>AND($C82&gt;0,$B82="None")</formula>
    </cfRule>
  </conditionalFormatting>
  <conditionalFormatting sqref="B117:B118 B123:B126">
    <cfRule type="expression" dxfId="185" priority="68">
      <formula>$C117*$D117&gt;0</formula>
    </cfRule>
  </conditionalFormatting>
  <conditionalFormatting sqref="C10:C13">
    <cfRule type="expression" dxfId="184" priority="937">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2">
      <formula>AND($D$31&gt;0,$C$31=$S$3)</formula>
    </cfRule>
    <cfRule type="expression" dxfId="156" priority="4">
      <formula>$T$22=1</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K28" sqref="K28"/>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Survey and Exploration Ship</v>
      </c>
      <c r="G1" s="1" t="s">
        <v>1</v>
      </c>
      <c r="V1" t="s">
        <v>1381</v>
      </c>
    </row>
    <row r="2" spans="1:24">
      <c r="A2" s="3" t="s">
        <v>432</v>
      </c>
      <c r="B2" t="str">
        <f>'Ship Info'!B2</f>
        <v>Scout</v>
      </c>
      <c r="D2" s="3" t="s">
        <v>0</v>
      </c>
      <c r="E2" s="2">
        <f>'Ship Info'!F2</f>
        <v>14</v>
      </c>
      <c r="F2" s="2"/>
      <c r="G2" s="10">
        <f>'Ship Info'!G2</f>
        <v>1536124666.6666665</v>
      </c>
      <c r="V2" s="77" t="b">
        <f>IF(B7=V5,TRUE,FALSE)</f>
        <v>1</v>
      </c>
    </row>
    <row r="3" spans="1:24">
      <c r="B3" s="309" t="str">
        <f>'Ship Info'!G22&amp;": Crew x "&amp;'Ship Info'!H31</f>
        <v>High Automation: Crew x 0.6</v>
      </c>
      <c r="G3" s="10"/>
    </row>
    <row r="4" spans="1:24" ht="16" thickBot="1">
      <c r="B4" s="3" t="s">
        <v>1216</v>
      </c>
      <c r="E4" s="1" t="s">
        <v>525</v>
      </c>
      <c r="F4" s="1"/>
      <c r="G4" s="1"/>
      <c r="I4" s="786" t="s">
        <v>46</v>
      </c>
      <c r="J4" s="786"/>
      <c r="K4" s="6"/>
      <c r="L4" s="6"/>
      <c r="M4" s="6"/>
      <c r="O4" s="786" t="s">
        <v>47</v>
      </c>
      <c r="P4" s="786"/>
      <c r="V4" t="s">
        <v>99</v>
      </c>
    </row>
    <row r="5" spans="1:24" ht="16" thickBot="1">
      <c r="B5" s="197" t="s">
        <v>508</v>
      </c>
      <c r="E5" s="270">
        <f>SUM(F10:F19,F21:F28)</f>
        <v>54</v>
      </c>
      <c r="F5" s="2"/>
      <c r="I5" s="1" t="s">
        <v>403</v>
      </c>
      <c r="J5" s="1" t="s">
        <v>27</v>
      </c>
      <c r="K5" s="1"/>
      <c r="L5" s="1"/>
      <c r="M5" s="1"/>
      <c r="O5" s="1" t="s">
        <v>403</v>
      </c>
      <c r="P5" s="1" t="s">
        <v>27</v>
      </c>
      <c r="V5" t="s">
        <v>100</v>
      </c>
    </row>
    <row r="6" spans="1:24" ht="16" thickBot="1">
      <c r="E6" s="1" t="s">
        <v>526</v>
      </c>
      <c r="F6" s="1"/>
      <c r="H6" s="2"/>
      <c r="I6" s="10">
        <f>'Ship Info'!I3</f>
        <v>6.25</v>
      </c>
      <c r="J6" s="270">
        <f>'Ship Info'!J3</f>
        <v>1000</v>
      </c>
      <c r="K6" s="270"/>
      <c r="L6" s="270"/>
      <c r="M6" s="270"/>
      <c r="N6" s="2"/>
      <c r="O6" s="270">
        <f>'Ship Info'!L3</f>
        <v>6</v>
      </c>
      <c r="P6" s="270">
        <f>'Ship Info'!M3</f>
        <v>850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3</v>
      </c>
    </row>
    <row r="8" spans="1:24" ht="15" customHeight="1">
      <c r="C8" s="811" t="s">
        <v>1563</v>
      </c>
      <c r="D8" s="811"/>
      <c r="K8" s="1" t="s">
        <v>2155</v>
      </c>
      <c r="N8" s="1" t="s">
        <v>1513</v>
      </c>
      <c r="P8" s="886" t="s">
        <v>1705</v>
      </c>
      <c r="Q8" s="887"/>
      <c r="R8" s="888"/>
      <c r="W8">
        <f>'6-Comp'!Y19</f>
        <v>3</v>
      </c>
      <c r="X8" s="106">
        <f>IF(X7&lt;W8,X7,W8)*-1</f>
        <v>-3</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0</v>
      </c>
      <c r="G10" s="23">
        <f>F10*10000+IF(N10=0,0,(N10-1)*F10*10000/2)</f>
        <v>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7</v>
      </c>
      <c r="D11" s="270">
        <f>IF('Ship Info'!F7,0,IF('1-Hull'!B4&lt;100,1,3))+H11</f>
        <v>9</v>
      </c>
      <c r="E11" s="235">
        <v>0</v>
      </c>
      <c r="F11" s="355">
        <f>HLOOKUP(B5,V9:X26,3)+K11</f>
        <v>13</v>
      </c>
      <c r="G11" s="4">
        <f>F11*6000+IF(N11=0,0,(N11-1)*F11*6000/2)</f>
        <v>78000</v>
      </c>
      <c r="H11" s="289">
        <v>6</v>
      </c>
      <c r="I11" t="s">
        <v>1516</v>
      </c>
      <c r="K11" s="235">
        <v>6</v>
      </c>
      <c r="L11" t="s">
        <v>2145</v>
      </c>
      <c r="N11" s="197">
        <v>1</v>
      </c>
      <c r="P11" s="472" t="s">
        <v>1706</v>
      </c>
      <c r="R11" s="892"/>
      <c r="V11">
        <f t="shared" si="0"/>
        <v>7</v>
      </c>
      <c r="W11">
        <f t="shared" si="1"/>
        <v>0</v>
      </c>
      <c r="X11">
        <f t="shared" si="2"/>
        <v>9</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3</v>
      </c>
      <c r="D13" s="270">
        <f>IF('1-Hull'!B4&lt;100,0,ROUNDUP(R13*'Ship Info'!H31*SUM(H13,'3-Pwr Plant'!H11,'3-Pwr Plant'!H12,'2-Drives'!H11,'2-Drives'!H15,'2-Drives'!H25,'2-Drives'!H28,'2-Drives'!H33,'2-Drives'!H40)/35,0))</f>
        <v>3</v>
      </c>
      <c r="E13" s="235">
        <v>0</v>
      </c>
      <c r="F13" s="355">
        <f>HLOOKUP(B5,V9:X26,5)+K13</f>
        <v>4</v>
      </c>
      <c r="G13" s="4">
        <f>F13*4000+IF(N13=0,0,(N13-1)*F13*4000/2)</f>
        <v>16000</v>
      </c>
      <c r="H13" s="289">
        <v>12</v>
      </c>
      <c r="I13" t="s">
        <v>1517</v>
      </c>
      <c r="K13" s="235">
        <v>1</v>
      </c>
      <c r="L13" t="s">
        <v>2146</v>
      </c>
      <c r="N13" s="197">
        <v>1</v>
      </c>
      <c r="P13" s="197" t="s">
        <v>99</v>
      </c>
      <c r="Q13" s="473"/>
      <c r="R13" s="88">
        <f>IF(P13=$V$5,1,$W$33)</f>
        <v>1</v>
      </c>
      <c r="V13">
        <f t="shared" si="0"/>
        <v>3</v>
      </c>
      <c r="W13">
        <f t="shared" si="1"/>
        <v>0</v>
      </c>
      <c r="X13">
        <f t="shared" si="2"/>
        <v>3</v>
      </c>
    </row>
    <row r="14" spans="1:24" ht="16" thickBot="1">
      <c r="A14" s="22" t="s">
        <v>567</v>
      </c>
      <c r="B14" s="27" t="s">
        <v>512</v>
      </c>
      <c r="C14" s="324">
        <f>IF('1-Hull'!B4&lt;100,0,ROUNDUP(R14*'Ship Info'!H31*SUM('9a-Optional'!T39,'9a-Optional'!T41,J6)/1000,0))</f>
        <v>1</v>
      </c>
      <c r="D14" s="324">
        <f>IF('1-Hull'!B4&lt;100,0,ROUNDUP(R14*'Ship Info'!H31*SUM('9a-Optional'!T39,'9a-Optional'!T41,J6)/500,0))</f>
        <v>2</v>
      </c>
      <c r="E14" s="340">
        <v>0</v>
      </c>
      <c r="F14" s="354">
        <f>HLOOKUP(B5,V9:X26,6)+K14</f>
        <v>1</v>
      </c>
      <c r="G14" s="23">
        <f>F14*1000+IF(N14=0,0,(N14-1)*F14*1000/2)</f>
        <v>1000</v>
      </c>
      <c r="H14" s="22"/>
      <c r="I14" s="22"/>
      <c r="J14" s="22"/>
      <c r="K14" s="340">
        <v>0</v>
      </c>
      <c r="L14" s="22" t="s">
        <v>2148</v>
      </c>
      <c r="M14" s="22"/>
      <c r="N14" s="206">
        <v>1</v>
      </c>
      <c r="O14" s="22"/>
      <c r="P14" s="206" t="s">
        <v>99</v>
      </c>
      <c r="Q14" s="22"/>
      <c r="R14" s="474">
        <f>IF(P14=$V$5,1,$W$33)</f>
        <v>1</v>
      </c>
      <c r="V14">
        <f t="shared" si="0"/>
        <v>1</v>
      </c>
      <c r="W14">
        <f t="shared" si="1"/>
        <v>0</v>
      </c>
      <c r="X14">
        <f t="shared" si="2"/>
        <v>2</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2</v>
      </c>
      <c r="D16" s="324">
        <f>IF('1-Hull'!B4&lt;100,0,ROUNDUP(R16*'Ship Info'!H31*SUM('8a-Weapons'!AH15,'8a-Weapons'!D37,'8a-Weapons'!V75,'8b-Screens'!E9:E39,'8b-Screens'!E9:E39,X8),0))</f>
        <v>5</v>
      </c>
      <c r="E16" s="340">
        <v>0</v>
      </c>
      <c r="F16" s="354">
        <f>HLOOKUP(B5,V9:X26,8)+K16</f>
        <v>2</v>
      </c>
      <c r="G16" s="23">
        <f>F16*2000+IF(N16=0,0,(N16-1)*F16*2000/2)</f>
        <v>4000</v>
      </c>
      <c r="H16" s="22"/>
      <c r="I16" s="22"/>
      <c r="J16" s="22"/>
      <c r="K16" s="340">
        <v>0</v>
      </c>
      <c r="L16" s="22" t="s">
        <v>2150</v>
      </c>
      <c r="M16" s="22"/>
      <c r="N16" s="206">
        <v>1</v>
      </c>
      <c r="O16" s="22"/>
      <c r="P16" s="206" t="s">
        <v>99</v>
      </c>
      <c r="Q16" s="22"/>
      <c r="R16" s="474">
        <f t="shared" ref="R16:R17" si="3">IF(P16=$V$5,1,$W$33)</f>
        <v>1</v>
      </c>
      <c r="V16">
        <f t="shared" si="0"/>
        <v>2</v>
      </c>
      <c r="W16">
        <f t="shared" si="1"/>
        <v>0</v>
      </c>
      <c r="X16">
        <f t="shared" si="2"/>
        <v>5</v>
      </c>
    </row>
    <row r="17" spans="1:24" ht="16" thickBot="1">
      <c r="A17" t="s">
        <v>1375</v>
      </c>
      <c r="B17" s="2" t="s">
        <v>1376</v>
      </c>
      <c r="C17" s="350">
        <f>IF(SUM('7-Sensors'!C8,'7-Sensors'!C11:C12,'7-Sensors'!B16:B31)=0,0,IF(V2,IF(Tonnage&lt;100,0,MAX(ROUNDUP('7-Sensors'!C12+R17*'Ship Info'!H31*ROUNDUP(Tonnage/7500,0),0),'7-Sensors'!C12+1+'5-Bridge'!C13+'5-Bridge'!C17)),0))</f>
        <v>1</v>
      </c>
      <c r="D17" s="356">
        <f>3*C17</f>
        <v>3</v>
      </c>
      <c r="E17" s="353">
        <v>0</v>
      </c>
      <c r="F17" s="355">
        <f>HLOOKUP(B5,V9:X26,9)+K17</f>
        <v>1</v>
      </c>
      <c r="G17" s="248">
        <f>F17*4000+IF(N17=0,0,(N17-1)*F17*4000/2)</f>
        <v>4000</v>
      </c>
      <c r="K17" s="235">
        <v>0</v>
      </c>
      <c r="L17" t="s">
        <v>2151</v>
      </c>
      <c r="N17" s="197">
        <v>1</v>
      </c>
      <c r="P17" s="197" t="s">
        <v>99</v>
      </c>
      <c r="R17" s="88">
        <f t="shared" si="3"/>
        <v>1</v>
      </c>
      <c r="V17">
        <f t="shared" si="0"/>
        <v>1</v>
      </c>
      <c r="W17">
        <f t="shared" si="1"/>
        <v>0</v>
      </c>
      <c r="X17">
        <f t="shared" si="2"/>
        <v>3</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0</v>
      </c>
      <c r="D19" s="356">
        <f>ROUNDUP(R19*ROUNDDOWN(J6*'Ship Info'!H31/1000,0),0)</f>
        <v>0</v>
      </c>
      <c r="E19" s="488">
        <v>0</v>
      </c>
      <c r="F19" s="355">
        <f>HLOOKUP(B5,V9:X26,11)+K19</f>
        <v>0</v>
      </c>
      <c r="G19" s="248">
        <f>F19*1500+IF(N19=0,0,(N19-1)*F19*1500/2)</f>
        <v>0</v>
      </c>
      <c r="K19" s="235">
        <v>0</v>
      </c>
      <c r="L19" t="s">
        <v>2152</v>
      </c>
      <c r="N19" s="197">
        <v>1</v>
      </c>
      <c r="P19" s="475" t="s">
        <v>99</v>
      </c>
      <c r="R19" s="88">
        <f>IF(P19=$V$5,1,$W$33)</f>
        <v>1</v>
      </c>
      <c r="V19">
        <f t="shared" si="0"/>
        <v>0</v>
      </c>
      <c r="W19">
        <f t="shared" si="1"/>
        <v>0</v>
      </c>
      <c r="X19">
        <f t="shared" si="2"/>
        <v>0</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2</v>
      </c>
      <c r="E26" s="489">
        <v>0</v>
      </c>
      <c r="F26" s="354">
        <f>HLOOKUP(B5,V9:X28,18)+K26</f>
        <v>1</v>
      </c>
      <c r="G26" s="23">
        <f>F26*5000+IF(N26=0,0,(N26-1)*F26*5000/2)</f>
        <v>5000</v>
      </c>
      <c r="H26" s="22"/>
      <c r="I26" s="22"/>
      <c r="J26" s="22"/>
      <c r="K26" s="340">
        <v>1</v>
      </c>
      <c r="L26" s="22" t="s">
        <v>2153</v>
      </c>
      <c r="M26" s="22"/>
      <c r="N26" s="206">
        <v>1</v>
      </c>
      <c r="P26" s="78"/>
      <c r="Q26" s="46"/>
      <c r="V26">
        <f t="shared" si="0"/>
        <v>0</v>
      </c>
      <c r="W26">
        <f t="shared" si="1"/>
        <v>0</v>
      </c>
      <c r="X26">
        <f t="shared" si="2"/>
        <v>2</v>
      </c>
    </row>
    <row r="27" spans="1:24" ht="16" thickBot="1">
      <c r="A27" s="145" t="s">
        <v>1514</v>
      </c>
      <c r="B27" s="2" t="s">
        <v>1521</v>
      </c>
      <c r="C27" s="270">
        <f>('9b-Optional'!A103+'9b-Optional'!A111+'9b-Optional'!A120+'9b-Optional'!A125)</f>
        <v>0</v>
      </c>
      <c r="D27" s="270">
        <f>C27</f>
        <v>0</v>
      </c>
      <c r="E27" s="353">
        <v>0</v>
      </c>
      <c r="F27" s="355">
        <f>MAX(0,HLOOKUP(B5,V9:X28,19)+K27-V41)</f>
        <v>18</v>
      </c>
      <c r="G27" s="4">
        <f>F27*1000+IF(N27=0,0,(N27-1)*F27*1000/2)</f>
        <v>18000</v>
      </c>
      <c r="K27" s="235">
        <v>18</v>
      </c>
      <c r="L27" t="s">
        <v>2154</v>
      </c>
      <c r="N27" s="197">
        <v>1</v>
      </c>
      <c r="O27" s="478"/>
      <c r="P27" s="28"/>
      <c r="Q27" s="79"/>
      <c r="V27" s="263">
        <f>C27</f>
        <v>0</v>
      </c>
      <c r="W27" s="263">
        <f>E27</f>
        <v>0</v>
      </c>
      <c r="X27" s="263">
        <f>V27</f>
        <v>0</v>
      </c>
    </row>
    <row r="28" spans="1:24" ht="16" thickBot="1">
      <c r="A28" s="22" t="s">
        <v>1515</v>
      </c>
      <c r="B28" s="27" t="s">
        <v>1520</v>
      </c>
      <c r="C28" s="324">
        <f>(K28+'9b-Optional'!B87)</f>
        <v>12</v>
      </c>
      <c r="D28" s="324">
        <f>C28</f>
        <v>12</v>
      </c>
      <c r="E28" s="340">
        <v>0</v>
      </c>
      <c r="F28" s="354">
        <f>HLOOKUP(B5,V9:X28,20)</f>
        <v>12</v>
      </c>
      <c r="G28" s="23">
        <f>F28*IF(H28=0,4000,H28)+IF(N28=0,0,(N28-1)*F28*IF(H28=0,4000,H28)/2)</f>
        <v>48000</v>
      </c>
      <c r="H28" s="386">
        <v>0</v>
      </c>
      <c r="I28" s="22" t="s">
        <v>1518</v>
      </c>
      <c r="J28" s="22"/>
      <c r="K28" s="340">
        <v>12</v>
      </c>
      <c r="L28" s="22" t="s">
        <v>1519</v>
      </c>
      <c r="M28" s="22"/>
      <c r="N28" s="206">
        <v>1</v>
      </c>
      <c r="V28" s="263">
        <f t="shared" ref="V28" si="11">C28</f>
        <v>12</v>
      </c>
      <c r="W28" s="263">
        <f>E28</f>
        <v>0</v>
      </c>
      <c r="X28" s="263">
        <f>V28</f>
        <v>12</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PILOT x13, ASTROGATOR x1, ENGINEER x4, MAINTENANCE x1, MEDIC x1, GUNNER x2, SENSOP x1, OFFICERS x1, GENERAL CREW x18, SCIENTISTS x12</v>
      </c>
    </row>
    <row r="32" spans="1:24">
      <c r="A32" t="s">
        <v>516</v>
      </c>
      <c r="G32" s="26">
        <f>SUM(G10:G30)</f>
        <v>183000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11"/>
      <c r="K35" s="885"/>
      <c r="L35" s="3"/>
      <c r="M35" s="3"/>
      <c r="N35" s="3"/>
      <c r="V35">
        <v>20000</v>
      </c>
      <c r="W35">
        <v>0.75</v>
      </c>
    </row>
    <row r="36" spans="1:23" ht="16" thickBot="1">
      <c r="B36" s="3" t="s">
        <v>519</v>
      </c>
      <c r="C36" s="1" t="s">
        <v>308</v>
      </c>
      <c r="I36" s="86"/>
      <c r="J36" s="321">
        <f>IF('6-Comp'!B38="",0,'6-Comp'!B39)</f>
        <v>5</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tabSelected="1" workbookViewId="0">
      <selection activeCell="C69" sqref="C69"/>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Survey and Exploration Ship</v>
      </c>
      <c r="F1" s="1" t="s">
        <v>1</v>
      </c>
    </row>
    <row r="2" spans="1:25" ht="16" thickBot="1">
      <c r="A2" s="3" t="s">
        <v>432</v>
      </c>
      <c r="B2" t="str">
        <f>'Ship Info'!B2</f>
        <v>Scout</v>
      </c>
      <c r="D2" s="3" t="s">
        <v>0</v>
      </c>
      <c r="E2" s="2">
        <f>'Ship Info'!F2</f>
        <v>14</v>
      </c>
      <c r="F2" s="10">
        <f>'Ship Info'!G2</f>
        <v>1536124666.6666665</v>
      </c>
      <c r="S2" t="s">
        <v>99</v>
      </c>
    </row>
    <row r="3" spans="1:25" ht="16" thickBot="1">
      <c r="B3" s="9" t="s">
        <v>2415</v>
      </c>
      <c r="C3" s="198" t="s">
        <v>99</v>
      </c>
      <c r="F3" s="10"/>
      <c r="G3" s="79"/>
      <c r="H3" s="506">
        <f>S26</f>
        <v>162.25</v>
      </c>
      <c r="I3" s="28"/>
      <c r="J3" s="79"/>
      <c r="K3" s="507">
        <f>S30</f>
        <v>0</v>
      </c>
      <c r="S3" t="s">
        <v>100</v>
      </c>
    </row>
    <row r="4" spans="1:25" ht="16" thickBot="1">
      <c r="B4" s="9" t="s">
        <v>1524</v>
      </c>
      <c r="C4" s="198" t="s">
        <v>99</v>
      </c>
      <c r="F4" s="508" t="s">
        <v>45</v>
      </c>
      <c r="H4" s="786" t="s">
        <v>46</v>
      </c>
      <c r="I4" s="786"/>
      <c r="K4" s="786" t="s">
        <v>47</v>
      </c>
      <c r="L4" s="786"/>
      <c r="T4" s="2" t="s">
        <v>541</v>
      </c>
      <c r="U4" s="2" t="s">
        <v>545</v>
      </c>
      <c r="V4" s="2" t="s">
        <v>542</v>
      </c>
      <c r="W4" s="2" t="s">
        <v>543</v>
      </c>
      <c r="X4" s="2" t="s">
        <v>544</v>
      </c>
      <c r="Y4" s="2" t="s">
        <v>562</v>
      </c>
    </row>
    <row r="5" spans="1:25">
      <c r="B5" s="1" t="s">
        <v>2416</v>
      </c>
      <c r="C5" s="1" t="s">
        <v>546</v>
      </c>
      <c r="F5" s="506">
        <f>SUM(F15:F73)</f>
        <v>21837000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54</v>
      </c>
      <c r="C6" s="520">
        <f>IF(C4=S2,SUM(D21:D29),SUM('9b-Optional'!C91:C94,D21:D29))+IF(C3="No",0,SUM(D21:D29,C7,C10))</f>
        <v>54</v>
      </c>
      <c r="G6" s="2"/>
      <c r="H6" s="10">
        <f>'Ship Info'!I3</f>
        <v>6.25</v>
      </c>
      <c r="I6" s="270">
        <f>'Ship Info'!J3</f>
        <v>1000</v>
      </c>
      <c r="J6" s="2"/>
      <c r="K6" s="270">
        <f>'Ship Info'!L3</f>
        <v>6</v>
      </c>
      <c r="L6" s="270">
        <f>'Ship Info'!M3</f>
        <v>850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88000</v>
      </c>
      <c r="S7" t="s">
        <v>532</v>
      </c>
      <c r="T7">
        <v>1</v>
      </c>
      <c r="U7">
        <v>50000</v>
      </c>
      <c r="V7">
        <v>1.5</v>
      </c>
      <c r="X7">
        <v>250</v>
      </c>
      <c r="Y7">
        <f t="shared" si="0"/>
        <v>0</v>
      </c>
    </row>
    <row r="8" spans="1:25">
      <c r="A8" t="s">
        <v>527</v>
      </c>
      <c r="B8" s="270">
        <f>'10-Crew'!C37</f>
        <v>0</v>
      </c>
      <c r="C8" s="270">
        <f>D18</f>
        <v>0</v>
      </c>
      <c r="D8" s="56" t="s">
        <v>560</v>
      </c>
      <c r="E8" s="57"/>
      <c r="F8" s="58">
        <f>SUM(Y5:Y7,Y9,Y11:Y23)</f>
        <v>34000</v>
      </c>
      <c r="S8" t="s">
        <v>533</v>
      </c>
      <c r="T8">
        <v>1</v>
      </c>
      <c r="U8">
        <v>50000</v>
      </c>
      <c r="V8">
        <v>0.5</v>
      </c>
      <c r="W8">
        <v>0.1</v>
      </c>
      <c r="X8">
        <v>100</v>
      </c>
      <c r="Y8">
        <f t="shared" si="0"/>
        <v>0</v>
      </c>
    </row>
    <row r="9" spans="1:25">
      <c r="B9" s="2"/>
      <c r="C9" s="2"/>
      <c r="D9" s="56" t="s">
        <v>559</v>
      </c>
      <c r="E9" s="57"/>
      <c r="F9" s="58">
        <f>Y28*1000+Y8:Y9</f>
        <v>54000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14000</v>
      </c>
    </row>
    <row r="17" spans="1:25" ht="16" thickBot="1">
      <c r="A17" t="s">
        <v>532</v>
      </c>
      <c r="B17" s="2" t="s">
        <v>552</v>
      </c>
      <c r="C17" s="235">
        <v>0</v>
      </c>
      <c r="D17" s="270">
        <f>C17</f>
        <v>0</v>
      </c>
      <c r="F17" s="4">
        <f>H17*U7</f>
        <v>0</v>
      </c>
      <c r="H17" s="263">
        <f t="shared" si="1"/>
        <v>0</v>
      </c>
      <c r="S17" t="s">
        <v>535</v>
      </c>
      <c r="T17">
        <v>2</v>
      </c>
      <c r="U17">
        <v>500000</v>
      </c>
      <c r="V17">
        <v>4</v>
      </c>
      <c r="X17">
        <v>250</v>
      </c>
      <c r="Y17">
        <f>H23*X17</f>
        <v>20000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34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14</v>
      </c>
      <c r="D22" s="270">
        <f>C22</f>
        <v>14</v>
      </c>
      <c r="F22" s="4">
        <f t="shared" ref="F22:F27" si="3">C22*U16</f>
        <v>7000000</v>
      </c>
      <c r="H22" s="263">
        <f t="shared" ref="H22:H27" si="4">C22*V16</f>
        <v>56</v>
      </c>
      <c r="S22" t="s">
        <v>584</v>
      </c>
      <c r="T22">
        <v>20</v>
      </c>
      <c r="U22">
        <v>25000</v>
      </c>
      <c r="V22">
        <v>10</v>
      </c>
      <c r="X22">
        <v>250</v>
      </c>
      <c r="Y22">
        <f>H33*X22</f>
        <v>0</v>
      </c>
    </row>
    <row r="23" spans="1:25" ht="16" thickBot="1">
      <c r="A23" t="s">
        <v>535</v>
      </c>
      <c r="B23" s="2"/>
      <c r="C23" s="235">
        <v>20</v>
      </c>
      <c r="D23" s="270">
        <f>C23*2</f>
        <v>40</v>
      </c>
      <c r="F23" s="4">
        <f t="shared" si="3"/>
        <v>10000000</v>
      </c>
      <c r="H23" s="263">
        <f t="shared" si="4"/>
        <v>80</v>
      </c>
      <c r="S23" t="s">
        <v>547</v>
      </c>
      <c r="T23">
        <v>6</v>
      </c>
      <c r="U23">
        <v>250000</v>
      </c>
      <c r="V23">
        <v>4</v>
      </c>
      <c r="X23">
        <v>250</v>
      </c>
      <c r="Y23">
        <f>H30*X23</f>
        <v>0</v>
      </c>
    </row>
    <row r="24" spans="1:25" ht="16" thickBot="1">
      <c r="A24" t="s">
        <v>549</v>
      </c>
      <c r="B24" s="2"/>
      <c r="C24" s="235">
        <v>0</v>
      </c>
      <c r="D24" s="270">
        <f>C24</f>
        <v>0</v>
      </c>
      <c r="F24" s="4">
        <f t="shared" si="3"/>
        <v>0</v>
      </c>
      <c r="H24" s="263">
        <f t="shared" si="4"/>
        <v>0</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162.25</v>
      </c>
      <c r="Y26">
        <f>SUM(D21:D28,B9:B11,C33*T22,C32*6,SUM('9b-Optional'!C91:C94))</f>
        <v>54</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54</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54</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54, 34x Standard Staterooms, Luxury Advanced Entertainment System, Gourmet Kitchen, cap: 24, Hot Tub for 9</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34</v>
      </c>
      <c r="T35">
        <f>'9b-Optional'!C92</f>
        <v>0</v>
      </c>
      <c r="U35" t="s">
        <v>328</v>
      </c>
    </row>
    <row r="36" spans="1:22" ht="16" thickBot="1">
      <c r="A36" s="3" t="s">
        <v>2434</v>
      </c>
      <c r="C36" s="2">
        <f>C34-C37-C38-C39-C40*4-C41*6-C42*10-C43*4-C44*10-C45-C46-C48-C49-C50-C51-C52-C53-C54-C55-C56</f>
        <v>0</v>
      </c>
      <c r="S36">
        <f>SUM(C24:C25)</f>
        <v>0</v>
      </c>
      <c r="T36">
        <f>'9b-Optional'!C93</f>
        <v>0</v>
      </c>
      <c r="U36" t="s">
        <v>521</v>
      </c>
    </row>
    <row r="37" spans="1:22" ht="16" thickBot="1">
      <c r="A37" t="str">
        <f>"Available: "&amp;'12-Cargo'!$D$54</f>
        <v>Available: 75</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54</v>
      </c>
      <c r="V39">
        <f>SUM(C6:C11)+IF(OR('2-Drives'!B25='2-Drives'!S5,B10&gt;0),C6,0)</f>
        <v>54</v>
      </c>
    </row>
    <row r="40" spans="1:22" ht="16" thickBot="1">
      <c r="A40" s="22" t="str">
        <f>"Available: "&amp;SUM(C22:C23)</f>
        <v>Available: 34</v>
      </c>
      <c r="B40" s="22" t="s">
        <v>2431</v>
      </c>
      <c r="C40" s="340">
        <v>0</v>
      </c>
    </row>
    <row r="41" spans="1:22" ht="16" thickBot="1">
      <c r="A41" t="str">
        <f>"Available: "&amp;SUM(C24:C25)</f>
        <v>Available: 0</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141</v>
      </c>
      <c r="B45" t="s">
        <v>2441</v>
      </c>
      <c r="C45" s="198">
        <v>0</v>
      </c>
      <c r="S45" t="s">
        <v>129</v>
      </c>
      <c r="T45">
        <v>3</v>
      </c>
    </row>
    <row r="46" spans="1:22" ht="16" thickBot="1">
      <c r="A46" s="22" t="str">
        <f t="shared" si="5"/>
        <v>Available: 20</v>
      </c>
      <c r="B46" s="22" t="s">
        <v>2442</v>
      </c>
      <c r="C46" s="205">
        <v>0</v>
      </c>
      <c r="S46" t="s">
        <v>84</v>
      </c>
      <c r="T46">
        <v>2</v>
      </c>
    </row>
    <row r="47" spans="1:22" ht="16" thickBot="1">
      <c r="A47" t="str">
        <f t="shared" si="5"/>
        <v>Available: 60</v>
      </c>
      <c r="B47" t="s">
        <v>2450</v>
      </c>
      <c r="C47" s="198">
        <v>0</v>
      </c>
      <c r="S47" t="s">
        <v>85</v>
      </c>
      <c r="T47">
        <v>2</v>
      </c>
    </row>
    <row r="48" spans="1:22" ht="16" thickBot="1">
      <c r="A48" s="22" t="str">
        <f t="shared" si="5"/>
        <v>Available: 5</v>
      </c>
      <c r="B48" s="22" t="s">
        <v>2443</v>
      </c>
      <c r="C48" s="205">
        <v>0</v>
      </c>
      <c r="S48" t="s">
        <v>79</v>
      </c>
      <c r="T48">
        <v>3</v>
      </c>
    </row>
    <row r="49" spans="1:21" ht="16" thickBot="1">
      <c r="A49" t="str">
        <f t="shared" si="5"/>
        <v>Available: 0</v>
      </c>
      <c r="B49" t="s">
        <v>2445</v>
      </c>
      <c r="C49" s="198">
        <v>0</v>
      </c>
    </row>
    <row r="50" spans="1:21" ht="16" thickBot="1">
      <c r="A50" s="22" t="str">
        <f t="shared" si="5"/>
        <v>Available: 78</v>
      </c>
      <c r="B50" s="22" t="s">
        <v>2444</v>
      </c>
      <c r="C50" s="205">
        <v>0</v>
      </c>
      <c r="S50" t="s">
        <v>1223</v>
      </c>
      <c r="T50">
        <f>'10-Crew'!E5+'10-Crew'!E7-IF('1-Hull'!B4&lt;100,T42,0)</f>
        <v>54</v>
      </c>
    </row>
    <row r="51" spans="1:21" ht="16" thickBot="1">
      <c r="A51" t="str">
        <f t="shared" si="5"/>
        <v>Available: 70</v>
      </c>
      <c r="B51" t="s">
        <v>2449</v>
      </c>
      <c r="C51" s="198">
        <v>0</v>
      </c>
      <c r="S51" t="s">
        <v>1213</v>
      </c>
      <c r="T51" s="3">
        <f>IF(T50&lt;0,0,T50)</f>
        <v>54</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1397</v>
      </c>
      <c r="D62" t="str">
        <f>"Attracts SOC: "&amp;INDEX(S54:U60,MATCH(C62,S54:S60,0),3)&amp;"*"</f>
        <v>Attracts SOC: 11+*</v>
      </c>
      <c r="F62" s="4">
        <f>INDEX(S54:T60,MATCH(C62,S54:S60,0),2)</f>
        <v>10000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24</v>
      </c>
      <c r="D64" t="str">
        <f>C64&amp;" diner capacity"</f>
        <v>24 diner capacity</v>
      </c>
      <c r="F64" s="4">
        <f>H64*200000</f>
        <v>4800000</v>
      </c>
      <c r="H64" s="263">
        <f>C64</f>
        <v>24</v>
      </c>
      <c r="S64" t="s">
        <v>2068</v>
      </c>
      <c r="T64">
        <f>IF(OR(B6&gt;C6+C7,B8&gt;C8,B10&gt;(C10+C7+C6-B6)),1,0)</f>
        <v>0</v>
      </c>
    </row>
    <row r="65" spans="2:21" ht="16" thickBot="1">
      <c r="B65" s="2" t="s">
        <v>1404</v>
      </c>
      <c r="C65" s="235">
        <v>9</v>
      </c>
      <c r="D65" t="str">
        <f>"Seating for "&amp;C65</f>
        <v>Seating for 9</v>
      </c>
      <c r="F65" s="4">
        <f>H65*12000</f>
        <v>27000</v>
      </c>
      <c r="H65" s="263">
        <f>C65*0.25</f>
        <v>2.25</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0</v>
      </c>
      <c r="D68" t="s">
        <v>1408</v>
      </c>
      <c r="F68" s="4">
        <f>H68*100000</f>
        <v>0</v>
      </c>
      <c r="H68" s="263">
        <f>IF(AND(C68&gt;0,C68&lt;8),8,C68)</f>
        <v>0</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141</v>
      </c>
    </row>
    <row r="75" spans="2:21">
      <c r="S75" t="s">
        <v>78</v>
      </c>
      <c r="T75">
        <f t="shared" ref="T75:T80" si="6">IF(C46&gt;U75,1,0)</f>
        <v>0</v>
      </c>
      <c r="U75">
        <f>ROUNDUP('5-Bridge'!S17,0)</f>
        <v>20</v>
      </c>
    </row>
    <row r="76" spans="2:21">
      <c r="S76" t="s">
        <v>609</v>
      </c>
      <c r="T76">
        <f t="shared" si="6"/>
        <v>0</v>
      </c>
      <c r="U76">
        <f>ROUNDUP('7-Sensors'!S14,0)</f>
        <v>60</v>
      </c>
    </row>
    <row r="77" spans="2:21">
      <c r="S77" t="s">
        <v>307</v>
      </c>
      <c r="T77">
        <f t="shared" si="6"/>
        <v>0</v>
      </c>
      <c r="U77" s="4">
        <f>ROUNDUP('8a-Weapons'!N9,0)</f>
        <v>5</v>
      </c>
    </row>
    <row r="78" spans="2:21">
      <c r="S78" t="s">
        <v>408</v>
      </c>
      <c r="T78">
        <f t="shared" si="6"/>
        <v>0</v>
      </c>
      <c r="U78" s="263">
        <f>ROUNDUP('8b-Screens'!S40,0)</f>
        <v>0</v>
      </c>
    </row>
    <row r="79" spans="2:21">
      <c r="S79" t="s">
        <v>2448</v>
      </c>
      <c r="T79">
        <f t="shared" si="6"/>
        <v>0</v>
      </c>
      <c r="U79">
        <f>ROUNDUP('9a-Optional'!S29,0)</f>
        <v>78</v>
      </c>
    </row>
    <row r="80" spans="2:21">
      <c r="S80" t="s">
        <v>2446</v>
      </c>
      <c r="T80">
        <f t="shared" si="6"/>
        <v>0</v>
      </c>
      <c r="U80">
        <f>ROUNDUP('9b-Optional'!S10,0)</f>
        <v>70</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D30" sqref="D3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Survey and Exploration Ship</v>
      </c>
      <c r="F1" s="1" t="s">
        <v>1</v>
      </c>
    </row>
    <row r="2" spans="1:21">
      <c r="A2" s="3" t="s">
        <v>432</v>
      </c>
      <c r="B2" t="str">
        <f>'Ship Info'!B2</f>
        <v>Scout</v>
      </c>
      <c r="D2" s="3" t="s">
        <v>0</v>
      </c>
      <c r="E2" s="2">
        <f>'Ship Info'!F2</f>
        <v>14</v>
      </c>
      <c r="F2" s="10">
        <f>'Ship Info'!G2</f>
        <v>1536124666.6666665</v>
      </c>
    </row>
    <row r="3" spans="1:21">
      <c r="F3" s="10"/>
      <c r="G3" s="79"/>
      <c r="H3" s="506">
        <f>S19</f>
        <v>79.5</v>
      </c>
      <c r="I3" s="28"/>
      <c r="J3" s="79"/>
      <c r="K3" s="507">
        <f>S22</f>
        <v>2</v>
      </c>
      <c r="S3" t="s">
        <v>113</v>
      </c>
      <c r="T3" t="s">
        <v>99</v>
      </c>
    </row>
    <row r="4" spans="1:21">
      <c r="F4" s="508" t="s">
        <v>45</v>
      </c>
      <c r="H4" s="786" t="s">
        <v>46</v>
      </c>
      <c r="I4" s="786"/>
      <c r="K4" s="786" t="s">
        <v>47</v>
      </c>
      <c r="L4" s="786"/>
      <c r="S4" t="s">
        <v>283</v>
      </c>
      <c r="T4" t="s">
        <v>100</v>
      </c>
    </row>
    <row r="5" spans="1:21">
      <c r="F5" s="506">
        <f>SUM(F9:F50)</f>
        <v>506000</v>
      </c>
      <c r="H5" s="1" t="s">
        <v>403</v>
      </c>
      <c r="I5" s="1" t="s">
        <v>27</v>
      </c>
      <c r="K5" s="1" t="s">
        <v>403</v>
      </c>
      <c r="L5" s="1" t="s">
        <v>27</v>
      </c>
    </row>
    <row r="6" spans="1:21">
      <c r="C6" s="7" t="s">
        <v>598</v>
      </c>
      <c r="D6" s="270">
        <f>SUM(D15,D54)</f>
        <v>75</v>
      </c>
      <c r="G6" s="2"/>
      <c r="H6" s="10">
        <f>'Ship Info'!I3</f>
        <v>6.25</v>
      </c>
      <c r="I6" s="270">
        <f>'Ship Info'!J3</f>
        <v>1000</v>
      </c>
      <c r="J6" s="2"/>
      <c r="K6" s="270">
        <f>'Ship Info'!L3</f>
        <v>6</v>
      </c>
      <c r="L6" s="270">
        <f>'Ship Info'!M3</f>
        <v>850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25</v>
      </c>
      <c r="T14" t="str">
        <f>IF(H18=0,"",IF(B19=S4," N/"," C/")&amp;IF(B20=S7,"N/",IF(B20=S8,"L/","AL/"))&amp;IF(B21=S4,"N","AB"))</f>
        <v xml:space="preserve"> N/L/N</v>
      </c>
      <c r="U14" t="str">
        <f>IF(AND(S15="",S16=""),"",", ")</f>
        <v xml:space="preserve">, </v>
      </c>
    </row>
    <row r="15" spans="1:21">
      <c r="B15" s="2"/>
      <c r="C15" s="7" t="s">
        <v>589</v>
      </c>
      <c r="D15">
        <f>SUM(T11:T13)</f>
        <v>0</v>
      </c>
      <c r="F15" s="4"/>
      <c r="S15" t="str">
        <f>IF(H22=0,"",C22&amp;" @ "&amp;D22)</f>
        <v>1 @ 25</v>
      </c>
      <c r="T15" t="str">
        <f>IF(H22=0,"",IF(B23=S4," N/"," C/")&amp;IF(B24=S7,"N/",IF(B24=S8,"L/","AL/"))&amp;IF(B25=S4,"N","AB"))</f>
        <v xml:space="preserve"> N/L/N</v>
      </c>
      <c r="U15" t="str">
        <f>IF(S15="","",IF(S16="","",", "))</f>
        <v xml:space="preserve">, </v>
      </c>
    </row>
    <row r="16" spans="1:21">
      <c r="A16" s="22"/>
      <c r="B16" s="27"/>
      <c r="C16" s="22"/>
      <c r="D16" s="22"/>
      <c r="E16" s="22"/>
      <c r="F16" s="23"/>
      <c r="G16" s="22"/>
      <c r="H16" s="22"/>
      <c r="I16" s="22"/>
      <c r="J16" s="22"/>
      <c r="K16" s="22"/>
      <c r="L16" s="22"/>
      <c r="S16" t="str">
        <f>IF(H26=0,"",C26&amp;" @ "&amp;D26)</f>
        <v>1 @ 25</v>
      </c>
      <c r="T16" t="str">
        <f>IF(H26=0,"",IF(B27=S4," N/"," C/")&amp;IF(B28=S7,"N/",IF(B28=S8,"L/","AL/"))&amp;IF(B29=S4,"N","AB"))</f>
        <v xml:space="preserve"> N/L/AB</v>
      </c>
      <c r="U16" t="str">
        <f>IF(SUM(D18:D26)=0,"",")")</f>
        <v>)</v>
      </c>
    </row>
    <row r="17" spans="1:21" ht="16" thickBot="1">
      <c r="A17" s="3" t="s">
        <v>590</v>
      </c>
      <c r="B17" s="2"/>
      <c r="C17" s="1" t="s">
        <v>308</v>
      </c>
      <c r="D17" s="7" t="s">
        <v>588</v>
      </c>
      <c r="F17" s="4"/>
    </row>
    <row r="18" spans="1:21" ht="16" thickBot="1">
      <c r="A18" s="251" t="s">
        <v>591</v>
      </c>
      <c r="B18" s="525" t="s">
        <v>2457</v>
      </c>
      <c r="C18" s="235">
        <v>1</v>
      </c>
      <c r="D18" s="221">
        <v>25</v>
      </c>
      <c r="F18" s="4"/>
      <c r="H18" s="4">
        <f>D18*C18</f>
        <v>25</v>
      </c>
      <c r="S18" t="s">
        <v>603</v>
      </c>
    </row>
    <row r="19" spans="1:21" ht="16" thickBot="1">
      <c r="A19" s="257" t="s">
        <v>592</v>
      </c>
      <c r="B19" s="198" t="s">
        <v>283</v>
      </c>
      <c r="C19" s="2"/>
      <c r="F19" s="4">
        <f>1000000*H19</f>
        <v>0</v>
      </c>
      <c r="H19" s="4">
        <f>IF(B19="Installed",(2.5+0.5*ROUNDUP((D18/150),0))*C18,0)</f>
        <v>0</v>
      </c>
      <c r="S19">
        <f>SUM(H9:H48,H50)</f>
        <v>79.5</v>
      </c>
    </row>
    <row r="20" spans="1:21" ht="16" thickBot="1">
      <c r="A20" s="257" t="s">
        <v>593</v>
      </c>
      <c r="B20" s="198" t="s">
        <v>596</v>
      </c>
      <c r="C20" s="235">
        <v>1</v>
      </c>
      <c r="D20" t="s">
        <v>33</v>
      </c>
      <c r="E20">
        <f>VLOOKUP(B20,S7:T9,2)</f>
        <v>7</v>
      </c>
      <c r="F20" s="4">
        <f>VLOOKUP(B20,S7:U9,3)*C18*C20</f>
        <v>3000</v>
      </c>
      <c r="H20" s="4">
        <f>IF(B20=S7,0,C18)*C20</f>
        <v>1</v>
      </c>
      <c r="K20" s="263">
        <f>IF(H20&gt;0,H20,0)</f>
        <v>1</v>
      </c>
    </row>
    <row r="21" spans="1:21" ht="16" thickBot="1">
      <c r="A21" s="9" t="s">
        <v>431</v>
      </c>
      <c r="B21" s="523" t="s">
        <v>283</v>
      </c>
      <c r="C21" s="2"/>
      <c r="F21" s="4">
        <f>200000*H21</f>
        <v>0</v>
      </c>
      <c r="H21" s="4">
        <f>IF(B21=$S$3,0.1*SUM(H18:H20),0)</f>
        <v>0</v>
      </c>
      <c r="S21" t="s">
        <v>400</v>
      </c>
    </row>
    <row r="22" spans="1:21" ht="16" thickBot="1">
      <c r="A22" s="251" t="s">
        <v>591</v>
      </c>
      <c r="B22" s="525" t="s">
        <v>2458</v>
      </c>
      <c r="C22" s="340">
        <v>1</v>
      </c>
      <c r="D22" s="386">
        <v>25</v>
      </c>
      <c r="E22" s="22"/>
      <c r="F22" s="23"/>
      <c r="G22" s="22"/>
      <c r="H22" s="23">
        <f>D22*C22</f>
        <v>25</v>
      </c>
      <c r="I22" s="22"/>
      <c r="J22" s="22"/>
      <c r="K22" s="22"/>
      <c r="S22">
        <f>SUM(K20:K28)</f>
        <v>2</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596</v>
      </c>
      <c r="C24" s="340">
        <v>1</v>
      </c>
      <c r="D24" s="22"/>
      <c r="E24" s="22">
        <f>VLOOKUP(B24,S7:T9,2)</f>
        <v>7</v>
      </c>
      <c r="F24" s="23">
        <f>VLOOKUP(B24,S7:U9,3)*C22*C24</f>
        <v>3000</v>
      </c>
      <c r="G24" s="22"/>
      <c r="H24" s="23">
        <f>IF(B24=S7,0,C22)*C24</f>
        <v>1</v>
      </c>
      <c r="I24" s="22"/>
      <c r="J24" s="22"/>
      <c r="K24" s="335">
        <f>IF(H24&gt;0,H24,0)</f>
        <v>1</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75 tons, Bay(s): 75 tons, Loading Belt (1 @ 25 N/L/N, 1 @ 25 N/L/N, 1 @ 25 N/L/AB)</v>
      </c>
    </row>
    <row r="26" spans="1:21" ht="16" thickBot="1">
      <c r="A26" s="251" t="s">
        <v>591</v>
      </c>
      <c r="B26" s="525" t="s">
        <v>2461</v>
      </c>
      <c r="C26" s="235">
        <v>1</v>
      </c>
      <c r="D26" s="221">
        <v>25</v>
      </c>
      <c r="F26" s="4"/>
      <c r="H26" s="4">
        <f>D26*C26</f>
        <v>25</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596</v>
      </c>
      <c r="C28" s="235">
        <v>0</v>
      </c>
      <c r="E28">
        <f>VLOOKUP(B28,S7:T9,2)</f>
        <v>7</v>
      </c>
      <c r="F28" s="4">
        <f>VLOOKUP(B28,S7:U9,3)*C26*C28</f>
        <v>0</v>
      </c>
      <c r="H28" s="4">
        <f>IF(B28=S7,0,C26)*C28</f>
        <v>0</v>
      </c>
      <c r="K28" s="263">
        <f>IF(H28&gt;0,H28,0)</f>
        <v>0</v>
      </c>
      <c r="S28" t="s">
        <v>612</v>
      </c>
      <c r="T28">
        <f>IF(E20=7,1,IF(E24=7,1,IF(E28=7,1,0)))</f>
        <v>1</v>
      </c>
      <c r="U28">
        <f>IF(E20=12,1,IF(E24=12,1,IF(E28=12,1,0)))</f>
        <v>0</v>
      </c>
    </row>
    <row r="29" spans="1:21" ht="16" thickBot="1">
      <c r="A29" s="9" t="s">
        <v>431</v>
      </c>
      <c r="B29" s="198" t="s">
        <v>113</v>
      </c>
      <c r="C29" s="2"/>
      <c r="F29" s="4">
        <f>200000*H29</f>
        <v>500000</v>
      </c>
      <c r="H29" s="4">
        <f>IF(B29=$S$3,0.1*SUM(H26:H28),0)</f>
        <v>2.5</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0</v>
      </c>
      <c r="E34" t="str">
        <f>"  ("&amp;ROUND(D34*100/(Tonnage/100),2)&amp;" Days)"</f>
        <v xml:space="preserve">  (0 Days)</v>
      </c>
      <c r="H34" s="360">
        <f>D34</f>
        <v>0</v>
      </c>
      <c r="S34">
        <f>Tonnage/100</f>
        <v>10</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10</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75</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95"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Scout</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Survey and Exploration Ship</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c r="A2" s="761" t="str">
        <f>"Armor: "&amp;'1-Hull'!$D$9&amp;""&amp;IF('1-Hull'!$AB$34=TRUE,"/"&amp;'1-Hull'!$D$9+3&amp;" vs. Lasers","")</f>
        <v>Armor: 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
      </c>
      <c r="AQ2" s="761"/>
      <c r="AR2" s="761"/>
      <c r="AS2" s="761"/>
      <c r="AT2" s="761"/>
      <c r="AU2" s="761"/>
      <c r="AV2" s="761"/>
      <c r="AW2" s="761"/>
      <c r="AX2" s="761"/>
      <c r="AY2" s="761"/>
      <c r="AZ2" s="761"/>
      <c r="BA2" s="761"/>
      <c r="BB2" s="761"/>
      <c r="BC2" s="761"/>
      <c r="BD2" s="761"/>
      <c r="BE2" s="761"/>
      <c r="BF2" s="19"/>
      <c r="BG2" s="19" t="str">
        <f>'5-Bridge'!$S$22</f>
        <v>Bridge: No Modifiers</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2</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6" thickBot="1">
      <c r="A3" s="759" t="str">
        <f>"Hull Points: "&amp;'1-Hull'!$D$7</f>
        <v>Hull Points: 400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1000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Needle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Streamlined/Atm+2</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54</v>
      </c>
      <c r="DJ3" s="762"/>
      <c r="DK3" s="762"/>
      <c r="DL3" s="762"/>
      <c r="DM3" s="762"/>
      <c r="DN3" s="762"/>
      <c r="DO3" s="762"/>
      <c r="DP3" s="762"/>
      <c r="DQ3" s="762"/>
      <c r="DR3" s="762"/>
      <c r="DS3" s="762"/>
      <c r="DT3" s="762"/>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1026">
        <v>0</v>
      </c>
      <c r="DS5" s="1027"/>
      <c r="DT5" s="1027"/>
      <c r="DU5" s="1028"/>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01"/>
      <c r="DS6" s="902"/>
      <c r="DT6" s="902"/>
      <c r="DU6" s="903"/>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01"/>
      <c r="DS7" s="902"/>
      <c r="DT7" s="902"/>
      <c r="DU7" s="903"/>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01">
        <v>1</v>
      </c>
      <c r="DS8" s="902"/>
      <c r="DT8" s="902"/>
      <c r="DU8" s="903"/>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01"/>
      <c r="DS9" s="902"/>
      <c r="DT9" s="902"/>
      <c r="DU9" s="903"/>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01"/>
      <c r="DS10" s="902"/>
      <c r="DT10" s="902"/>
      <c r="DU10" s="903"/>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01">
        <v>2</v>
      </c>
      <c r="DS11" s="902"/>
      <c r="DT11" s="902"/>
      <c r="DU11" s="903"/>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01"/>
      <c r="DS12" s="902"/>
      <c r="DT12" s="902"/>
      <c r="DU12" s="903"/>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01"/>
      <c r="DS13" s="902"/>
      <c r="DT13" s="902"/>
      <c r="DU13" s="903"/>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01">
        <v>3</v>
      </c>
      <c r="DS14" s="902"/>
      <c r="DT14" s="902"/>
      <c r="DU14" s="903"/>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01"/>
      <c r="DS15" s="902"/>
      <c r="DT15" s="902"/>
      <c r="DU15" s="903"/>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01"/>
      <c r="DS16" s="902"/>
      <c r="DT16" s="902"/>
      <c r="DU16" s="903"/>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01">
        <v>4</v>
      </c>
      <c r="DS17" s="902"/>
      <c r="DT17" s="902"/>
      <c r="DU17" s="903"/>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01"/>
      <c r="DS18" s="902"/>
      <c r="DT18" s="902"/>
      <c r="DU18" s="903"/>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01"/>
      <c r="DS19" s="902"/>
      <c r="DT19" s="902"/>
      <c r="DU19" s="903"/>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01">
        <v>5</v>
      </c>
      <c r="DS20" s="902"/>
      <c r="DT20" s="902"/>
      <c r="DU20" s="903"/>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01"/>
      <c r="DS21" s="902"/>
      <c r="DT21" s="902"/>
      <c r="DU21" s="903"/>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01"/>
      <c r="DS22" s="902"/>
      <c r="DT22" s="902"/>
      <c r="DU22" s="903"/>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01">
        <v>6</v>
      </c>
      <c r="DS23" s="902"/>
      <c r="DT23" s="902"/>
      <c r="DU23" s="903"/>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01"/>
      <c r="DS24" s="902"/>
      <c r="DT24" s="902"/>
      <c r="DU24" s="903"/>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01"/>
      <c r="DS25" s="902"/>
      <c r="DT25" s="902"/>
      <c r="DU25" s="903"/>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01">
        <v>7</v>
      </c>
      <c r="DS26" s="902"/>
      <c r="DT26" s="902"/>
      <c r="DU26" s="903"/>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01"/>
      <c r="DS27" s="902"/>
      <c r="DT27" s="902"/>
      <c r="DU27" s="903"/>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01"/>
      <c r="DS28" s="902"/>
      <c r="DT28" s="902"/>
      <c r="DU28" s="903"/>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01">
        <v>8</v>
      </c>
      <c r="DS29" s="902"/>
      <c r="DT29" s="902"/>
      <c r="DU29" s="903"/>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01"/>
      <c r="DS30" s="902"/>
      <c r="DT30" s="902"/>
      <c r="DU30" s="903"/>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01"/>
      <c r="DS31" s="902"/>
      <c r="DT31" s="902"/>
      <c r="DU31" s="903"/>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01">
        <v>9</v>
      </c>
      <c r="DS32" s="902"/>
      <c r="DT32" s="902"/>
      <c r="DU32" s="903"/>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01"/>
      <c r="DS33" s="902"/>
      <c r="DT33" s="902"/>
      <c r="DU33" s="903"/>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1023"/>
      <c r="DS34" s="1024"/>
      <c r="DT34" s="1024"/>
      <c r="DU34" s="1025"/>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1026">
        <v>0</v>
      </c>
      <c r="DS36" s="1027"/>
      <c r="DT36" s="1027"/>
      <c r="DU36" s="1028"/>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01"/>
      <c r="DS37" s="902"/>
      <c r="DT37" s="902"/>
      <c r="DU37" s="903"/>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01"/>
      <c r="DS38" s="902"/>
      <c r="DT38" s="902"/>
      <c r="DU38" s="903"/>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01">
        <v>10</v>
      </c>
      <c r="DS39" s="902"/>
      <c r="DT39" s="902"/>
      <c r="DU39" s="903"/>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01"/>
      <c r="DS40" s="902"/>
      <c r="DT40" s="902"/>
      <c r="DU40" s="903"/>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01"/>
      <c r="DS41" s="902"/>
      <c r="DT41" s="902"/>
      <c r="DU41" s="903"/>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01">
        <v>20</v>
      </c>
      <c r="DS42" s="902"/>
      <c r="DT42" s="902"/>
      <c r="DU42" s="903"/>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01"/>
      <c r="DS43" s="902"/>
      <c r="DT43" s="902"/>
      <c r="DU43" s="903"/>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01"/>
      <c r="DS44" s="902"/>
      <c r="DT44" s="902"/>
      <c r="DU44" s="903"/>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01">
        <v>30</v>
      </c>
      <c r="DS45" s="902"/>
      <c r="DT45" s="902"/>
      <c r="DU45" s="903"/>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01"/>
      <c r="DS46" s="902"/>
      <c r="DT46" s="902"/>
      <c r="DU46" s="903"/>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01"/>
      <c r="DS47" s="902"/>
      <c r="DT47" s="902"/>
      <c r="DU47" s="903"/>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01">
        <v>40</v>
      </c>
      <c r="DS48" s="902"/>
      <c r="DT48" s="902"/>
      <c r="DU48" s="903"/>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01"/>
      <c r="DS49" s="902"/>
      <c r="DT49" s="902"/>
      <c r="DU49" s="903"/>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01"/>
      <c r="DS50" s="902"/>
      <c r="DT50" s="902"/>
      <c r="DU50" s="903"/>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01">
        <v>50</v>
      </c>
      <c r="DS51" s="902"/>
      <c r="DT51" s="902"/>
      <c r="DU51" s="903"/>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01"/>
      <c r="DS52" s="902"/>
      <c r="DT52" s="902"/>
      <c r="DU52" s="903"/>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01"/>
      <c r="DS53" s="902"/>
      <c r="DT53" s="902"/>
      <c r="DU53" s="903"/>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01">
        <v>60</v>
      </c>
      <c r="DS54" s="902"/>
      <c r="DT54" s="902"/>
      <c r="DU54" s="903"/>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01"/>
      <c r="DS55" s="902"/>
      <c r="DT55" s="902"/>
      <c r="DU55" s="903"/>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01"/>
      <c r="DS56" s="902"/>
      <c r="DT56" s="902"/>
      <c r="DU56" s="903"/>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01">
        <v>70</v>
      </c>
      <c r="DS57" s="902"/>
      <c r="DT57" s="902"/>
      <c r="DU57" s="903"/>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01"/>
      <c r="DS58" s="902"/>
      <c r="DT58" s="902"/>
      <c r="DU58" s="903"/>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01"/>
      <c r="DS59" s="902"/>
      <c r="DT59" s="902"/>
      <c r="DU59" s="903"/>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1029">
        <v>80</v>
      </c>
      <c r="DS60" s="1030"/>
      <c r="DT60" s="1030"/>
      <c r="DU60" s="1031"/>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1029"/>
      <c r="DS61" s="1030"/>
      <c r="DT61" s="1030"/>
      <c r="DU61" s="1031"/>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1029"/>
      <c r="DS62" s="1030"/>
      <c r="DT62" s="1030"/>
      <c r="DU62" s="1031"/>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01">
        <v>90</v>
      </c>
      <c r="DS63" s="902"/>
      <c r="DT63" s="902"/>
      <c r="DU63" s="903"/>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01"/>
      <c r="DS64" s="902"/>
      <c r="DT64" s="902"/>
      <c r="DU64" s="903"/>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1023"/>
      <c r="DS65" s="1024"/>
      <c r="DT65" s="1024"/>
      <c r="DU65" s="1025"/>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1032">
        <v>0</v>
      </c>
      <c r="DS67" s="1033"/>
      <c r="DT67" s="1033"/>
      <c r="DU67" s="1034"/>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1017"/>
      <c r="DS68" s="1018"/>
      <c r="DT68" s="1018"/>
      <c r="DU68" s="1019"/>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1017"/>
      <c r="DS69" s="1018"/>
      <c r="DT69" s="1018"/>
      <c r="DU69" s="1019"/>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1017">
        <v>100</v>
      </c>
      <c r="DS70" s="1018"/>
      <c r="DT70" s="1018"/>
      <c r="DU70" s="1019"/>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1017"/>
      <c r="DS71" s="1018"/>
      <c r="DT71" s="1018"/>
      <c r="DU71" s="1019"/>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1017"/>
      <c r="DS72" s="1018"/>
      <c r="DT72" s="1018"/>
      <c r="DU72" s="1019"/>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1017">
        <v>200</v>
      </c>
      <c r="DS73" s="1018"/>
      <c r="DT73" s="1018"/>
      <c r="DU73" s="1019"/>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1017"/>
      <c r="DS74" s="1018"/>
      <c r="DT74" s="1018"/>
      <c r="DU74" s="1019"/>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1017"/>
      <c r="DS75" s="1018"/>
      <c r="DT75" s="1018"/>
      <c r="DU75" s="1019"/>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1017">
        <v>300</v>
      </c>
      <c r="DS76" s="1018"/>
      <c r="DT76" s="1018"/>
      <c r="DU76" s="1019"/>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1017"/>
      <c r="DS77" s="1018"/>
      <c r="DT77" s="1018"/>
      <c r="DU77" s="1019"/>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1017"/>
      <c r="DS78" s="1018"/>
      <c r="DT78" s="1018"/>
      <c r="DU78" s="1019"/>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1017">
        <v>400</v>
      </c>
      <c r="DS79" s="1018"/>
      <c r="DT79" s="1018"/>
      <c r="DU79" s="1019"/>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1017"/>
      <c r="DS80" s="1018"/>
      <c r="DT80" s="1018"/>
      <c r="DU80" s="1019"/>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1017"/>
      <c r="DS81" s="1018"/>
      <c r="DT81" s="1018"/>
      <c r="DU81" s="1019"/>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1017">
        <v>500</v>
      </c>
      <c r="DS82" s="1018"/>
      <c r="DT82" s="1018"/>
      <c r="DU82" s="1019"/>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1017"/>
      <c r="DS83" s="1018"/>
      <c r="DT83" s="1018"/>
      <c r="DU83" s="1019"/>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1017"/>
      <c r="DS84" s="1018"/>
      <c r="DT84" s="1018"/>
      <c r="DU84" s="1019"/>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1017">
        <v>600</v>
      </c>
      <c r="DS85" s="1018"/>
      <c r="DT85" s="1018"/>
      <c r="DU85" s="1019"/>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1017"/>
      <c r="DS86" s="1018"/>
      <c r="DT86" s="1018"/>
      <c r="DU86" s="1019"/>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1017"/>
      <c r="DS87" s="1018"/>
      <c r="DT87" s="1018"/>
      <c r="DU87" s="1019"/>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1017">
        <v>700</v>
      </c>
      <c r="DS88" s="1018"/>
      <c r="DT88" s="1018"/>
      <c r="DU88" s="1019"/>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1017"/>
      <c r="DS89" s="1018"/>
      <c r="DT89" s="1018"/>
      <c r="DU89" s="1019"/>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1017"/>
      <c r="DS90" s="1018"/>
      <c r="DT90" s="1018"/>
      <c r="DU90" s="1019"/>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1017">
        <v>800</v>
      </c>
      <c r="DS91" s="1018"/>
      <c r="DT91" s="1018"/>
      <c r="DU91" s="1019"/>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1017"/>
      <c r="DS92" s="1018"/>
      <c r="DT92" s="1018"/>
      <c r="DU92" s="1019"/>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1017"/>
      <c r="DS93" s="1018"/>
      <c r="DT93" s="1018"/>
      <c r="DU93" s="1019"/>
    </row>
    <row r="94" spans="1:125" ht="17" thickBot="1">
      <c r="AV94" s="900" t="str">
        <f>IF('1-Hull'!D7&lt;10560,"",IF('1-Hull'!D7&lt;105600,"SCALE: 1 Box = 10 Damage",IF('1-Hull'!D7&lt;1056000,"SCALE: 1 Box = 100 Damage","SCALE: 1 Box = 1000 Damage")))</f>
        <v/>
      </c>
      <c r="AW94" s="900"/>
      <c r="AX94" s="900"/>
      <c r="AY94" s="900"/>
      <c r="AZ94" s="900"/>
      <c r="BA94" s="900"/>
      <c r="BB94" s="900"/>
      <c r="BC94" s="900"/>
      <c r="BD94" s="900"/>
      <c r="BE94" s="900"/>
      <c r="BF94" s="900"/>
      <c r="BG94" s="900"/>
      <c r="BH94" s="900"/>
      <c r="BI94" s="900"/>
      <c r="BJ94" s="900"/>
      <c r="BK94" s="900"/>
      <c r="BL94" s="900"/>
      <c r="BM94" s="900"/>
      <c r="BN94" s="900"/>
      <c r="BO94" s="900"/>
      <c r="BP94" s="900"/>
      <c r="BQ94" s="900"/>
      <c r="BR94" s="900"/>
      <c r="BS94" s="900"/>
      <c r="BT94" s="900"/>
      <c r="BU94" s="900"/>
      <c r="BV94" s="900"/>
      <c r="DR94" s="1020">
        <v>900</v>
      </c>
      <c r="DS94" s="1021"/>
      <c r="DT94" s="1021"/>
      <c r="DU94" s="1022"/>
    </row>
    <row r="95" spans="1:125" ht="19">
      <c r="A95" s="757" t="str">
        <f>IF('Ship Info'!$B$4=0,"",'Ship Info'!$B$4)</f>
        <v/>
      </c>
      <c r="B95" s="757"/>
      <c r="C95" s="757"/>
      <c r="D95" s="757"/>
      <c r="E95" s="757"/>
      <c r="F95" s="757"/>
      <c r="G95" s="757"/>
      <c r="H95" s="757"/>
      <c r="I95" s="757"/>
      <c r="J95" s="757"/>
      <c r="K95" s="757"/>
      <c r="L95" s="757"/>
      <c r="M95" s="757"/>
      <c r="N95" s="757"/>
      <c r="O95" s="757"/>
      <c r="P95" s="757"/>
      <c r="Q95" s="757"/>
      <c r="R95" s="757"/>
      <c r="S95" s="757"/>
      <c r="T95" s="757"/>
      <c r="U95" s="757"/>
      <c r="V95" s="757"/>
      <c r="W95" s="757"/>
      <c r="X95" s="757"/>
      <c r="Y95" s="757"/>
      <c r="Z95" s="757"/>
      <c r="AA95" s="757"/>
      <c r="AB95" s="757"/>
      <c r="AC95" s="757"/>
      <c r="AD95" s="757"/>
      <c r="AE95" s="19"/>
      <c r="AF95" s="19"/>
      <c r="AG95" s="758" t="str">
        <f>IF('Ship Info'!$B$2=0,"",'Ship Info'!$B$2)</f>
        <v>Scout</v>
      </c>
      <c r="AH95" s="758"/>
      <c r="AI95" s="758"/>
      <c r="AJ95" s="758"/>
      <c r="AK95" s="758"/>
      <c r="AL95" s="758"/>
      <c r="AM95" s="758"/>
      <c r="AN95" s="758"/>
      <c r="AO95" s="758"/>
      <c r="AP95" s="758"/>
      <c r="AQ95" s="758"/>
      <c r="AR95" s="758"/>
      <c r="AS95" s="758"/>
      <c r="AT95" s="758"/>
      <c r="AU95" s="758"/>
      <c r="AV95" s="758"/>
      <c r="AW95" s="758"/>
      <c r="AX95" s="758"/>
      <c r="AY95" s="758"/>
      <c r="AZ95" s="758"/>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19"/>
      <c r="CB95" s="19"/>
      <c r="CC95" s="758" t="str">
        <f>IF('Ship Info'!$B$1=0,"",'Ship Info'!$B$1)</f>
        <v>Survey and Exploration Ship</v>
      </c>
      <c r="CD95" s="758"/>
      <c r="CE95" s="758"/>
      <c r="CF95" s="758"/>
      <c r="CG95" s="758"/>
      <c r="CH95" s="758"/>
      <c r="CI95" s="758"/>
      <c r="CJ95" s="758"/>
      <c r="CK95" s="758"/>
      <c r="CL95" s="758"/>
      <c r="CM95" s="758"/>
      <c r="CN95" s="758"/>
      <c r="CO95" s="758"/>
      <c r="CP95" s="758"/>
      <c r="CQ95" s="758"/>
      <c r="CR95" s="758"/>
      <c r="CS95" s="758"/>
      <c r="CT95" s="758"/>
      <c r="CU95" s="758"/>
      <c r="CV95" s="758"/>
      <c r="CW95" s="758"/>
      <c r="CX95" s="758"/>
      <c r="CY95" s="758"/>
      <c r="CZ95" s="758"/>
      <c r="DA95" s="758"/>
      <c r="DB95" s="758"/>
      <c r="DC95" s="758"/>
      <c r="DD95" s="758"/>
      <c r="DE95" s="758"/>
      <c r="DF95" s="758"/>
      <c r="DG95" s="758"/>
      <c r="DH95" s="758"/>
      <c r="DI95" s="758"/>
      <c r="DJ95" s="758"/>
      <c r="DK95" s="758"/>
      <c r="DL95" s="758"/>
      <c r="DM95" s="758"/>
      <c r="DN95" s="758"/>
      <c r="DO95" s="758"/>
      <c r="DP95" s="758"/>
      <c r="DQ95" s="758"/>
      <c r="DR95" s="758"/>
      <c r="DS95" s="758"/>
      <c r="DT95" s="758"/>
      <c r="DU95" s="758"/>
    </row>
    <row r="96" spans="1:125">
      <c r="A96" s="761" t="str">
        <f>"Armor: "&amp;'1-Hull'!$D$9&amp;""&amp;IF('1-Hull'!$AB$34=TRUE,"/"&amp;'1-Hull'!$D$9+3&amp;" vs. Lasers","")</f>
        <v>Armor: 0</v>
      </c>
      <c r="B96" s="761"/>
      <c r="C96" s="761"/>
      <c r="D96" s="761"/>
      <c r="E96" s="761"/>
      <c r="F96" s="761"/>
      <c r="G96" s="761"/>
      <c r="H96" s="761"/>
      <c r="I96" s="761"/>
      <c r="J96" s="761"/>
      <c r="K96" s="761"/>
      <c r="L96" s="761"/>
      <c r="M96" s="761"/>
      <c r="N96" s="761"/>
      <c r="O96" s="761"/>
      <c r="P96" s="761"/>
      <c r="Q96" s="761"/>
      <c r="R96" s="761"/>
      <c r="S96" s="761"/>
      <c r="T96" s="761"/>
      <c r="U96" s="19"/>
      <c r="V96" s="762" t="str">
        <f>IF('1-Hull'!$AB$46=TRUE,"Rad Shields: Rads - 1000","")</f>
        <v>Rad Shields: Rads - 1000</v>
      </c>
      <c r="W96" s="762"/>
      <c r="X96" s="762"/>
      <c r="Y96" s="762"/>
      <c r="Z96" s="762"/>
      <c r="AA96" s="762"/>
      <c r="AB96" s="762"/>
      <c r="AC96" s="762"/>
      <c r="AD96" s="762"/>
      <c r="AE96" s="762"/>
      <c r="AF96" s="762"/>
      <c r="AG96" s="762"/>
      <c r="AH96" s="762"/>
      <c r="AI96" s="762"/>
      <c r="AJ96" s="762"/>
      <c r="AK96" s="762"/>
      <c r="AL96" s="762"/>
      <c r="AM96" s="762"/>
      <c r="AN96" s="762"/>
      <c r="AO96" s="19"/>
      <c r="AP96" s="761" t="str">
        <f>IF('1-Hull'!$AB$33=TRUE,"Stealth: Sensors-2",IF('1-Hull'!$AB$34=TRUE,"Stealth: Sensors-2",IF('1-Hull'!$AB$35=TRUE,"Stealth: Sensors-4",IF('1-Hull'!$AB$36=TRUE,"Stealth: Sensors-6",""))))</f>
        <v/>
      </c>
      <c r="AQ96" s="761"/>
      <c r="AR96" s="761"/>
      <c r="AS96" s="761"/>
      <c r="AT96" s="761"/>
      <c r="AU96" s="761"/>
      <c r="AV96" s="761"/>
      <c r="AW96" s="761"/>
      <c r="AX96" s="761"/>
      <c r="AY96" s="761"/>
      <c r="AZ96" s="761"/>
      <c r="BA96" s="761"/>
      <c r="BB96" s="761"/>
      <c r="BC96" s="761"/>
      <c r="BD96" s="761"/>
      <c r="BE96" s="761"/>
      <c r="BF96" s="19"/>
      <c r="BG96" s="19" t="str">
        <f>'5-Bridge'!$S$22</f>
        <v>Bridge: No Modifiers</v>
      </c>
      <c r="BH96" s="19"/>
      <c r="BI96" s="19"/>
      <c r="BJ96" s="19"/>
      <c r="BK96" s="19"/>
      <c r="BL96" s="19"/>
      <c r="BM96" s="19"/>
      <c r="BN96" s="19"/>
      <c r="BO96" s="19"/>
      <c r="BP96" s="19"/>
      <c r="BQ96" s="19"/>
      <c r="BR96" s="19"/>
      <c r="BS96" s="19"/>
      <c r="BT96" s="19"/>
      <c r="BU96" s="19"/>
      <c r="BV96" s="19"/>
      <c r="BW96" s="19"/>
      <c r="BX96" s="19"/>
      <c r="BY96" s="19"/>
      <c r="BZ96" s="762" t="str">
        <f>"TL: "&amp;Tech_Level</f>
        <v>TL: 14</v>
      </c>
      <c r="CA96" s="762"/>
      <c r="CB96" s="762"/>
      <c r="CC96" s="762"/>
      <c r="CD96" s="762"/>
      <c r="CE96" s="762"/>
      <c r="CF96" s="762"/>
      <c r="CG96" s="762"/>
      <c r="CH96" s="762"/>
      <c r="CI96" s="19"/>
      <c r="CJ96" s="19"/>
      <c r="CK96" s="19"/>
      <c r="CL96" s="761" t="str">
        <f>"Thrust: "&amp;'2-Drives'!$D$11&amp;IF('2-Drives'!$B$11='2-Drives'!$S$4,", "&amp;'4-Fuel'!$D$8&amp;" Thrust Points","")</f>
        <v>Thrust: 2</v>
      </c>
      <c r="CM96" s="761"/>
      <c r="CN96" s="761"/>
      <c r="CO96" s="761"/>
      <c r="CP96" s="761"/>
      <c r="CQ96" s="761"/>
      <c r="CR96" s="761"/>
      <c r="CS96" s="761"/>
      <c r="CT96" s="761"/>
      <c r="CU96" s="761"/>
      <c r="CV96" s="761"/>
      <c r="CW96" s="761"/>
      <c r="CX96" s="761"/>
      <c r="CY96" s="761"/>
      <c r="CZ96" s="761"/>
      <c r="DA96" s="761"/>
      <c r="DB96" s="761"/>
      <c r="DC96" s="761"/>
      <c r="DD96" s="761"/>
      <c r="DE96" s="761"/>
      <c r="DF96" s="761"/>
      <c r="DG96" s="761"/>
      <c r="DH96" s="761"/>
      <c r="DI96" s="761"/>
      <c r="DJ96" s="761"/>
      <c r="DK96" s="19"/>
      <c r="DL96" s="19" t="str">
        <f>"Jump?"&amp;IF('2-Drives'!$D$25&gt;0," Y"," N")</f>
        <v>Jump? Y</v>
      </c>
      <c r="DM96" s="19"/>
      <c r="DN96" s="19"/>
      <c r="DO96" s="19"/>
      <c r="DP96" s="19"/>
      <c r="DQ96" s="19"/>
      <c r="DR96" s="19"/>
      <c r="DS96" s="19"/>
      <c r="DT96" s="19"/>
      <c r="DU96" s="19"/>
    </row>
    <row r="97" spans="1:126" ht="16" thickBot="1">
      <c r="A97" s="759" t="str">
        <f>"Hull Points: "&amp;'1-Hull'!$D$7</f>
        <v>Hull Points: 400</v>
      </c>
      <c r="B97" s="759"/>
      <c r="C97" s="759"/>
      <c r="D97" s="759"/>
      <c r="E97" s="759"/>
      <c r="F97" s="759"/>
      <c r="G97" s="759"/>
      <c r="H97" s="759"/>
      <c r="I97" s="759"/>
      <c r="J97" s="759"/>
      <c r="K97" s="759"/>
      <c r="L97" s="759"/>
      <c r="M97" s="759"/>
      <c r="N97" s="759"/>
      <c r="O97" s="759"/>
      <c r="P97" s="759"/>
      <c r="Q97" s="759"/>
      <c r="R97" s="759"/>
      <c r="S97" s="759"/>
      <c r="T97" s="759"/>
      <c r="U97" s="362"/>
      <c r="V97" s="362"/>
      <c r="W97" s="362"/>
      <c r="X97" s="760" t="str">
        <f>"Hull Size: "&amp;'1-Hull'!$B$4&amp;" tons"</f>
        <v>Hull Size: 1000 tons</v>
      </c>
      <c r="Y97" s="760"/>
      <c r="Z97" s="760"/>
      <c r="AA97" s="760"/>
      <c r="AB97" s="760"/>
      <c r="AC97" s="760"/>
      <c r="AD97" s="760"/>
      <c r="AE97" s="760"/>
      <c r="AF97" s="760"/>
      <c r="AG97" s="760"/>
      <c r="AH97" s="760"/>
      <c r="AI97" s="760"/>
      <c r="AJ97" s="760"/>
      <c r="AK97" s="760"/>
      <c r="AL97" s="760"/>
      <c r="AM97" s="760"/>
      <c r="AN97" s="760"/>
      <c r="AO97" s="760"/>
      <c r="AP97" s="760"/>
      <c r="AQ97" s="760"/>
      <c r="AR97" s="760"/>
      <c r="AS97" s="760"/>
      <c r="AT97" s="760"/>
      <c r="AU97" s="760"/>
      <c r="AV97" s="760"/>
      <c r="AW97" s="760"/>
      <c r="AX97" s="760"/>
      <c r="AY97" s="362"/>
      <c r="AZ97" s="760" t="str">
        <f>"Configuration: "&amp;'1-Hull'!$B$6</f>
        <v>Configuration: Needle</v>
      </c>
      <c r="BA97" s="760"/>
      <c r="BB97" s="760"/>
      <c r="BC97" s="760"/>
      <c r="BD97" s="760"/>
      <c r="BE97" s="760"/>
      <c r="BF97" s="760"/>
      <c r="BG97" s="760"/>
      <c r="BH97" s="760"/>
      <c r="BI97" s="760"/>
      <c r="BJ97" s="760"/>
      <c r="BK97" s="760"/>
      <c r="BL97" s="760"/>
      <c r="BM97" s="760"/>
      <c r="BN97" s="760"/>
      <c r="BO97" s="760"/>
      <c r="BP97" s="760"/>
      <c r="BQ97" s="760"/>
      <c r="BR97" s="760"/>
      <c r="BS97" s="760"/>
      <c r="BT97" s="760"/>
      <c r="BU97" s="760"/>
      <c r="BV97" s="760"/>
      <c r="BW97" s="760"/>
      <c r="BX97" s="362"/>
      <c r="BY97" s="760" t="str">
        <f>"Streamlining: "&amp;'1-Hull'!$B$7&amp;'1-Hull'!$T$64</f>
        <v>Streamlining: Streamlined/Atm+2</v>
      </c>
      <c r="BZ97" s="760"/>
      <c r="CA97" s="760"/>
      <c r="CB97" s="760"/>
      <c r="CC97" s="760"/>
      <c r="CD97" s="760"/>
      <c r="CE97" s="760"/>
      <c r="CF97" s="760"/>
      <c r="CG97" s="760"/>
      <c r="CH97" s="760"/>
      <c r="CI97" s="760"/>
      <c r="CJ97" s="760"/>
      <c r="CK97" s="760"/>
      <c r="CL97" s="760"/>
      <c r="CM97" s="760"/>
      <c r="CN97" s="760"/>
      <c r="CO97" s="760"/>
      <c r="CP97" s="760"/>
      <c r="CQ97" s="760"/>
      <c r="CR97" s="760"/>
      <c r="CS97" s="760"/>
      <c r="CT97" s="760"/>
      <c r="CU97" s="760"/>
      <c r="CV97" s="760"/>
      <c r="CW97" s="760"/>
      <c r="CX97" s="760"/>
      <c r="CY97" s="760"/>
      <c r="CZ97" s="760"/>
      <c r="DA97" s="760"/>
      <c r="DB97" s="362"/>
      <c r="DC97" s="763" t="s">
        <v>667</v>
      </c>
      <c r="DD97" s="763"/>
      <c r="DE97" s="763"/>
      <c r="DF97" s="763"/>
      <c r="DG97" s="763"/>
      <c r="DH97" s="763"/>
      <c r="DI97" s="763" t="str">
        <f>'10-Crew'!$E$5&amp;""&amp;IF('10-Crew'!$E$7=0,"","/"&amp;'10-Crew'!$E$7)</f>
        <v>54</v>
      </c>
      <c r="DJ97" s="763"/>
      <c r="DK97" s="763"/>
      <c r="DL97" s="763"/>
      <c r="DM97" s="763"/>
      <c r="DN97" s="763"/>
      <c r="DO97" s="763"/>
      <c r="DP97" s="763"/>
      <c r="DQ97" s="763"/>
      <c r="DR97" s="763"/>
      <c r="DS97" s="763"/>
      <c r="DT97" s="763"/>
      <c r="DU97" s="362"/>
      <c r="DV97" s="304"/>
    </row>
    <row r="98" spans="1:126" ht="18" customHeight="1" thickBot="1">
      <c r="A98" s="1042" t="s">
        <v>1699</v>
      </c>
      <c r="B98" s="1042"/>
      <c r="C98" s="1042"/>
      <c r="D98" s="1042"/>
      <c r="E98" s="1042"/>
      <c r="F98" s="1042"/>
      <c r="G98" s="1042"/>
      <c r="H98" s="1042"/>
      <c r="I98" s="1042"/>
      <c r="J98" s="1042"/>
      <c r="K98" s="1042"/>
      <c r="L98" s="1042"/>
      <c r="M98" s="1042"/>
      <c r="N98" s="1042"/>
      <c r="O98" s="1042"/>
      <c r="P98" s="1042"/>
      <c r="Q98" s="1042"/>
      <c r="R98" s="1042"/>
      <c r="S98" s="1042"/>
      <c r="T98" s="1042"/>
      <c r="U98" s="1042"/>
      <c r="V98" s="1042"/>
      <c r="W98" s="1042"/>
      <c r="X98" s="1042"/>
      <c r="Y98" s="1042"/>
      <c r="Z98" s="1042"/>
      <c r="AA98" s="1042"/>
      <c r="AB98" s="1042"/>
      <c r="AC98" s="1042"/>
      <c r="AD98" s="1042"/>
      <c r="AE98" s="1042"/>
      <c r="AF98" s="1042"/>
      <c r="AG98" s="1042"/>
      <c r="AH98" s="1042"/>
      <c r="AI98" s="1042"/>
      <c r="AJ98" s="1042"/>
      <c r="AK98" s="1042"/>
      <c r="AL98" s="1042"/>
      <c r="AM98" s="1042"/>
      <c r="AN98" s="1042"/>
      <c r="AO98" s="1042"/>
      <c r="AP98" s="1042"/>
      <c r="AQ98" s="1042"/>
      <c r="AR98" s="1042"/>
      <c r="AS98" s="1042"/>
      <c r="AT98" s="1042"/>
      <c r="AU98" s="1042"/>
      <c r="AV98" s="1042"/>
      <c r="AW98" s="1042"/>
      <c r="AX98" s="1042"/>
      <c r="AY98" s="1042"/>
      <c r="AZ98" s="1042"/>
      <c r="BA98" s="1042"/>
      <c r="BB98" s="1042"/>
      <c r="BC98" s="1042"/>
      <c r="BD98" s="1042"/>
      <c r="BE98" s="1042"/>
      <c r="BF98" s="1042"/>
      <c r="BG98" s="1042"/>
      <c r="BH98" s="1042"/>
      <c r="BI98" s="1042"/>
      <c r="BJ98" s="1042"/>
      <c r="BK98" s="1042"/>
      <c r="BL98" s="1042"/>
      <c r="BM98" s="1042"/>
      <c r="BN98" s="1042"/>
      <c r="BO98" s="1042"/>
      <c r="BP98" s="1042"/>
      <c r="BQ98" s="1042"/>
      <c r="BR98" s="1042"/>
      <c r="BS98" s="1042"/>
      <c r="BT98" s="1042"/>
      <c r="BU98" s="1042"/>
      <c r="BV98" s="1042"/>
      <c r="BW98" s="1042"/>
      <c r="BX98" s="1042"/>
      <c r="BY98" s="1042"/>
      <c r="BZ98" s="1042"/>
      <c r="CA98" s="1042"/>
      <c r="CB98" s="1042"/>
      <c r="CC98" s="1042"/>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row>
    <row r="99" spans="1:126" s="363" customFormat="1" ht="17" thickBot="1">
      <c r="A99" s="1043" t="s">
        <v>307</v>
      </c>
      <c r="B99" s="1043"/>
      <c r="C99" s="1043"/>
      <c r="D99" s="1043"/>
      <c r="E99" s="1043"/>
      <c r="F99" s="1043"/>
      <c r="G99" s="1043"/>
      <c r="H99" s="1043"/>
      <c r="I99" s="1043"/>
      <c r="J99" s="1043"/>
      <c r="K99" s="1043"/>
      <c r="L99" s="1043"/>
      <c r="M99" s="1043"/>
      <c r="N99" s="1043"/>
      <c r="O99" s="1043"/>
      <c r="P99" s="1043"/>
      <c r="Q99" s="1043"/>
      <c r="R99" s="1043"/>
      <c r="S99" s="1043"/>
      <c r="T99" s="1043"/>
      <c r="U99" s="1043"/>
      <c r="V99" s="1043"/>
      <c r="W99" s="1043"/>
      <c r="X99" s="1043"/>
      <c r="Y99" s="1043"/>
      <c r="Z99" s="1043"/>
      <c r="AA99" s="1043"/>
      <c r="AB99" s="1043"/>
      <c r="AC99" s="1043"/>
      <c r="AD99" s="1043"/>
      <c r="AE99" s="1043"/>
      <c r="AF99" s="1043"/>
      <c r="AG99" s="1043"/>
      <c r="AH99" s="1043"/>
      <c r="AI99" s="1043"/>
      <c r="AJ99" s="1043"/>
      <c r="AK99" s="1043"/>
      <c r="AL99" s="1043"/>
      <c r="AM99" s="1043"/>
      <c r="AN99" s="1043"/>
      <c r="AO99" s="1043"/>
      <c r="AP99" s="1043"/>
      <c r="AQ99" s="1043"/>
      <c r="AR99" s="1043"/>
      <c r="AS99" s="1043"/>
      <c r="AT99" s="1043"/>
      <c r="AU99" s="1043"/>
      <c r="AV99" s="1035" t="s">
        <v>326</v>
      </c>
      <c r="AW99" s="1035"/>
      <c r="AX99" s="1035"/>
      <c r="AY99" s="1035"/>
      <c r="AZ99" s="1035"/>
      <c r="BA99" s="1035"/>
      <c r="BB99" s="1035"/>
      <c r="BC99" s="1035"/>
      <c r="BD99" s="1035"/>
      <c r="BE99" s="1035"/>
      <c r="BF99" s="1035"/>
      <c r="BG99" s="1035"/>
      <c r="BH99" s="1035" t="s">
        <v>391</v>
      </c>
      <c r="BI99" s="1035"/>
      <c r="BJ99" s="1035"/>
      <c r="BK99" s="1035"/>
      <c r="BL99" s="1035"/>
      <c r="BM99" s="1035"/>
      <c r="BN99" s="1035"/>
      <c r="BO99" s="1035"/>
      <c r="BP99" s="1035"/>
      <c r="BQ99" s="1035"/>
      <c r="BR99" s="1035"/>
      <c r="BS99" s="1035" t="s">
        <v>713</v>
      </c>
      <c r="BT99" s="1035"/>
      <c r="BU99" s="1035"/>
      <c r="BV99" s="1035"/>
      <c r="BW99" s="1035"/>
      <c r="BX99" s="1035"/>
      <c r="BY99" s="1035"/>
      <c r="BZ99" s="1035"/>
      <c r="CA99" s="1035"/>
      <c r="CB99" s="1035"/>
      <c r="CC99" s="1035"/>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row>
    <row r="100" spans="1:126" ht="23" customHeight="1">
      <c r="A100" s="1044" t="str">
        <f>'8a-Weapons'!AS113</f>
        <v>5x Triple Turret: Particle Beam</v>
      </c>
      <c r="B100" s="1044"/>
      <c r="C100" s="1044"/>
      <c r="D100" s="1044"/>
      <c r="E100" s="1044"/>
      <c r="F100" s="1044"/>
      <c r="G100" s="1044"/>
      <c r="H100" s="1044"/>
      <c r="I100" s="1044"/>
      <c r="J100" s="1044"/>
      <c r="K100" s="1044"/>
      <c r="L100" s="1044"/>
      <c r="M100" s="1044"/>
      <c r="N100" s="1044"/>
      <c r="O100" s="1044"/>
      <c r="P100" s="1044"/>
      <c r="Q100" s="1044"/>
      <c r="R100" s="1044"/>
      <c r="S100" s="1044"/>
      <c r="T100" s="1044"/>
      <c r="U100" s="1044"/>
      <c r="V100" s="1044"/>
      <c r="W100" s="1044"/>
      <c r="X100" s="1044"/>
      <c r="Y100" s="1044"/>
      <c r="Z100" s="1044"/>
      <c r="AA100" s="1044"/>
      <c r="AB100" s="1044"/>
      <c r="AC100" s="1044"/>
      <c r="AD100" s="1044"/>
      <c r="AE100" s="1044"/>
      <c r="AF100" s="1044"/>
      <c r="AG100" s="1044"/>
      <c r="AH100" s="1044"/>
      <c r="AI100" s="1044"/>
      <c r="AJ100" s="1044"/>
      <c r="AK100" s="1044"/>
      <c r="AL100" s="1044"/>
      <c r="AM100" s="1044"/>
      <c r="AN100" s="1044"/>
      <c r="AO100" s="1044"/>
      <c r="AP100" s="1044"/>
      <c r="AQ100" s="1044"/>
      <c r="AR100" s="1044"/>
      <c r="AS100" s="1044"/>
      <c r="AT100" s="1044"/>
      <c r="AU100" s="1044"/>
      <c r="AV100" s="1041" t="str">
        <f>'8a-Weapons'!AQ28</f>
        <v>Very Long</v>
      </c>
      <c r="AW100" s="1041"/>
      <c r="AX100" s="1041"/>
      <c r="AY100" s="1041"/>
      <c r="AZ100" s="1041"/>
      <c r="BA100" s="1041"/>
      <c r="BB100" s="1041"/>
      <c r="BC100" s="1041"/>
      <c r="BD100" s="1041"/>
      <c r="BE100" s="1041"/>
      <c r="BF100" s="1041"/>
      <c r="BG100" s="1041"/>
      <c r="BH100" s="1037" t="str">
        <f>'8a-Weapons'!AR28</f>
        <v>3D+6</v>
      </c>
      <c r="BI100" s="1037"/>
      <c r="BJ100" s="1037"/>
      <c r="BK100" s="1037"/>
      <c r="BL100" s="1037"/>
      <c r="BM100" s="1037"/>
      <c r="BN100" s="1037"/>
      <c r="BO100" s="1037"/>
      <c r="BP100" s="1037"/>
      <c r="BQ100" s="1037"/>
      <c r="BR100" s="1037"/>
      <c r="BS100" s="1036" t="str">
        <f>'8a-Weapons'!AU113</f>
        <v/>
      </c>
      <c r="BT100" s="1036"/>
      <c r="BU100" s="1036"/>
      <c r="BV100" s="1036"/>
      <c r="BW100" s="1036"/>
      <c r="BX100" s="1036"/>
      <c r="BY100" s="1036"/>
      <c r="BZ100" s="1036"/>
      <c r="CA100" s="1036"/>
      <c r="CB100" s="1036"/>
      <c r="CC100" s="1036"/>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row>
    <row r="101" spans="1:126" ht="23" customHeight="1">
      <c r="A101" s="980" t="str">
        <f>'8a-Weapons'!AS114</f>
        <v/>
      </c>
      <c r="B101" s="980"/>
      <c r="C101" s="980"/>
      <c r="D101" s="980"/>
      <c r="E101" s="980"/>
      <c r="F101" s="980"/>
      <c r="G101" s="980"/>
      <c r="H101" s="980"/>
      <c r="I101" s="980"/>
      <c r="J101" s="980"/>
      <c r="K101" s="980"/>
      <c r="L101" s="980"/>
      <c r="M101" s="980"/>
      <c r="N101" s="980"/>
      <c r="O101" s="980"/>
      <c r="P101" s="980"/>
      <c r="Q101" s="980"/>
      <c r="R101" s="980"/>
      <c r="S101" s="980"/>
      <c r="T101" s="980"/>
      <c r="U101" s="980"/>
      <c r="V101" s="980"/>
      <c r="W101" s="980"/>
      <c r="X101" s="980"/>
      <c r="Y101" s="980"/>
      <c r="Z101" s="980"/>
      <c r="AA101" s="980"/>
      <c r="AB101" s="980"/>
      <c r="AC101" s="980"/>
      <c r="AD101" s="980"/>
      <c r="AE101" s="980"/>
      <c r="AF101" s="980"/>
      <c r="AG101" s="980"/>
      <c r="AH101" s="980"/>
      <c r="AI101" s="980"/>
      <c r="AJ101" s="980"/>
      <c r="AK101" s="980"/>
      <c r="AL101" s="980"/>
      <c r="AM101" s="980"/>
      <c r="AN101" s="980"/>
      <c r="AO101" s="980"/>
      <c r="AP101" s="980"/>
      <c r="AQ101" s="980"/>
      <c r="AR101" s="980"/>
      <c r="AS101" s="980"/>
      <c r="AT101" s="980"/>
      <c r="AU101" s="980"/>
      <c r="AV101" s="904" t="str">
        <f>'8a-Weapons'!AQ29</f>
        <v/>
      </c>
      <c r="AW101" s="904"/>
      <c r="AX101" s="904"/>
      <c r="AY101" s="904"/>
      <c r="AZ101" s="904"/>
      <c r="BA101" s="904"/>
      <c r="BB101" s="904"/>
      <c r="BC101" s="904"/>
      <c r="BD101" s="904"/>
      <c r="BE101" s="904"/>
      <c r="BF101" s="904"/>
      <c r="BG101" s="904"/>
      <c r="BH101" s="1038" t="str">
        <f>'8a-Weapons'!AR29</f>
        <v/>
      </c>
      <c r="BI101" s="1039"/>
      <c r="BJ101" s="1039"/>
      <c r="BK101" s="1039"/>
      <c r="BL101" s="1039"/>
      <c r="BM101" s="1039"/>
      <c r="BN101" s="1039"/>
      <c r="BO101" s="1039"/>
      <c r="BP101" s="1039"/>
      <c r="BQ101" s="1039"/>
      <c r="BR101" s="1040"/>
      <c r="BS101" s="897" t="str">
        <f>'8a-Weapons'!AU114</f>
        <v/>
      </c>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c r="CU101" s="897"/>
      <c r="CV101" s="897"/>
      <c r="CW101" s="897"/>
      <c r="CX101" s="897"/>
      <c r="CY101" s="897"/>
      <c r="CZ101" s="897"/>
      <c r="DA101" s="897"/>
      <c r="DB101" s="897"/>
      <c r="DC101" s="897"/>
      <c r="DD101" s="897"/>
      <c r="DE101" s="897"/>
      <c r="DF101" s="897"/>
      <c r="DG101" s="897"/>
      <c r="DH101" s="897"/>
      <c r="DI101" s="897"/>
      <c r="DJ101" s="897"/>
      <c r="DK101" s="897"/>
      <c r="DL101" s="897"/>
      <c r="DM101" s="897"/>
      <c r="DN101" s="897"/>
      <c r="DO101" s="897"/>
      <c r="DP101" s="897"/>
      <c r="DQ101" s="897"/>
      <c r="DR101" s="897"/>
      <c r="DS101" s="897"/>
      <c r="DT101" s="897"/>
      <c r="DU101" s="897"/>
    </row>
    <row r="102" spans="1:126" ht="23" customHeight="1">
      <c r="A102" s="1010" t="str">
        <f>'8a-Weapons'!AS115</f>
        <v/>
      </c>
      <c r="B102" s="1010"/>
      <c r="C102" s="1010"/>
      <c r="D102" s="1010"/>
      <c r="E102" s="1010"/>
      <c r="F102" s="1010"/>
      <c r="G102" s="1010"/>
      <c r="H102" s="1010"/>
      <c r="I102" s="1010"/>
      <c r="J102" s="1010"/>
      <c r="K102" s="1010"/>
      <c r="L102" s="1010"/>
      <c r="M102" s="1010"/>
      <c r="N102" s="1010"/>
      <c r="O102" s="1010"/>
      <c r="P102" s="1010"/>
      <c r="Q102" s="1010"/>
      <c r="R102" s="1010"/>
      <c r="S102" s="1010"/>
      <c r="T102" s="1010"/>
      <c r="U102" s="1010"/>
      <c r="V102" s="1010"/>
      <c r="W102" s="1010"/>
      <c r="X102" s="1010"/>
      <c r="Y102" s="1010"/>
      <c r="Z102" s="1010"/>
      <c r="AA102" s="1010"/>
      <c r="AB102" s="1010"/>
      <c r="AC102" s="1010"/>
      <c r="AD102" s="1010"/>
      <c r="AE102" s="1010"/>
      <c r="AF102" s="1010"/>
      <c r="AG102" s="1010"/>
      <c r="AH102" s="1010"/>
      <c r="AI102" s="1010"/>
      <c r="AJ102" s="1010"/>
      <c r="AK102" s="1010"/>
      <c r="AL102" s="1010"/>
      <c r="AM102" s="1010"/>
      <c r="AN102" s="1010"/>
      <c r="AO102" s="1010"/>
      <c r="AP102" s="1010"/>
      <c r="AQ102" s="1010"/>
      <c r="AR102" s="1010"/>
      <c r="AS102" s="1010"/>
      <c r="AT102" s="1010"/>
      <c r="AU102" s="1010"/>
      <c r="AV102" s="905" t="str">
        <f>'8a-Weapons'!AQ30</f>
        <v/>
      </c>
      <c r="AW102" s="905"/>
      <c r="AX102" s="905"/>
      <c r="AY102" s="905"/>
      <c r="AZ102" s="905"/>
      <c r="BA102" s="905"/>
      <c r="BB102" s="905"/>
      <c r="BC102" s="905"/>
      <c r="BD102" s="905"/>
      <c r="BE102" s="905"/>
      <c r="BF102" s="905"/>
      <c r="BG102" s="905"/>
      <c r="BH102" s="899" t="str">
        <f>'8a-Weapons'!AR30</f>
        <v/>
      </c>
      <c r="BI102" s="899"/>
      <c r="BJ102" s="899"/>
      <c r="BK102" s="899"/>
      <c r="BL102" s="899"/>
      <c r="BM102" s="899"/>
      <c r="BN102" s="899"/>
      <c r="BO102" s="899"/>
      <c r="BP102" s="899"/>
      <c r="BQ102" s="899"/>
      <c r="BR102" s="899"/>
      <c r="BS102" s="1012" t="str">
        <f>'8a-Weapons'!AU115</f>
        <v/>
      </c>
      <c r="BT102" s="1012"/>
      <c r="BU102" s="1012"/>
      <c r="BV102" s="1012"/>
      <c r="BW102" s="1012"/>
      <c r="BX102" s="1012"/>
      <c r="BY102" s="1012"/>
      <c r="BZ102" s="1012"/>
      <c r="CA102" s="1012"/>
      <c r="CB102" s="1012"/>
      <c r="CC102" s="1012"/>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row>
    <row r="103" spans="1:126" ht="23" customHeight="1">
      <c r="A103" s="980" t="str">
        <f>'8a-Weapons'!AS116</f>
        <v/>
      </c>
      <c r="B103" s="980"/>
      <c r="C103" s="980"/>
      <c r="D103" s="980"/>
      <c r="E103" s="980"/>
      <c r="F103" s="980"/>
      <c r="G103" s="980"/>
      <c r="H103" s="980"/>
      <c r="I103" s="980"/>
      <c r="J103" s="980"/>
      <c r="K103" s="980"/>
      <c r="L103" s="980"/>
      <c r="M103" s="980"/>
      <c r="N103" s="980"/>
      <c r="O103" s="980"/>
      <c r="P103" s="980"/>
      <c r="Q103" s="980"/>
      <c r="R103" s="980"/>
      <c r="S103" s="980"/>
      <c r="T103" s="980"/>
      <c r="U103" s="980"/>
      <c r="V103" s="980"/>
      <c r="W103" s="980"/>
      <c r="X103" s="980"/>
      <c r="Y103" s="980"/>
      <c r="Z103" s="980"/>
      <c r="AA103" s="980"/>
      <c r="AB103" s="980"/>
      <c r="AC103" s="980"/>
      <c r="AD103" s="980"/>
      <c r="AE103" s="980"/>
      <c r="AF103" s="980"/>
      <c r="AG103" s="980"/>
      <c r="AH103" s="980"/>
      <c r="AI103" s="980"/>
      <c r="AJ103" s="980"/>
      <c r="AK103" s="980"/>
      <c r="AL103" s="980"/>
      <c r="AM103" s="980"/>
      <c r="AN103" s="980"/>
      <c r="AO103" s="980"/>
      <c r="AP103" s="980"/>
      <c r="AQ103" s="980"/>
      <c r="AR103" s="980"/>
      <c r="AS103" s="980"/>
      <c r="AT103" s="980"/>
      <c r="AU103" s="980"/>
      <c r="AV103" s="904" t="str">
        <f>'8a-Weapons'!AQ31</f>
        <v/>
      </c>
      <c r="AW103" s="904"/>
      <c r="AX103" s="904"/>
      <c r="AY103" s="904"/>
      <c r="AZ103" s="904"/>
      <c r="BA103" s="904"/>
      <c r="BB103" s="904"/>
      <c r="BC103" s="904"/>
      <c r="BD103" s="904"/>
      <c r="BE103" s="904"/>
      <c r="BF103" s="904"/>
      <c r="BG103" s="904"/>
      <c r="BH103" s="898" t="str">
        <f>'8a-Weapons'!AR31</f>
        <v/>
      </c>
      <c r="BI103" s="898"/>
      <c r="BJ103" s="898"/>
      <c r="BK103" s="898"/>
      <c r="BL103" s="898"/>
      <c r="BM103" s="898"/>
      <c r="BN103" s="898"/>
      <c r="BO103" s="898"/>
      <c r="BP103" s="898"/>
      <c r="BQ103" s="898"/>
      <c r="BR103" s="898"/>
      <c r="BS103" s="897" t="str">
        <f>'8a-Weapons'!AU116</f>
        <v/>
      </c>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c r="CU103" s="897"/>
      <c r="CV103" s="897"/>
      <c r="CW103" s="897"/>
      <c r="CX103" s="897"/>
      <c r="CY103" s="897"/>
      <c r="CZ103" s="897"/>
      <c r="DA103" s="897"/>
      <c r="DB103" s="897"/>
      <c r="DC103" s="897"/>
      <c r="DD103" s="897"/>
      <c r="DE103" s="897"/>
      <c r="DF103" s="897"/>
      <c r="DG103" s="897"/>
      <c r="DH103" s="897"/>
      <c r="DI103" s="897"/>
      <c r="DJ103" s="897"/>
      <c r="DK103" s="897"/>
      <c r="DL103" s="897"/>
      <c r="DM103" s="897"/>
      <c r="DN103" s="897"/>
      <c r="DO103" s="897"/>
      <c r="DP103" s="897"/>
      <c r="DQ103" s="897"/>
      <c r="DR103" s="897"/>
      <c r="DS103" s="897"/>
      <c r="DT103" s="897"/>
      <c r="DU103" s="897"/>
    </row>
    <row r="104" spans="1:126" ht="23" customHeight="1">
      <c r="A104" s="1010" t="str">
        <f>'8a-Weapons'!AS117</f>
        <v/>
      </c>
      <c r="B104" s="1010"/>
      <c r="C104" s="1010"/>
      <c r="D104" s="1010"/>
      <c r="E104" s="1010"/>
      <c r="F104" s="1010"/>
      <c r="G104" s="1010"/>
      <c r="H104" s="1010"/>
      <c r="I104" s="1010"/>
      <c r="J104" s="1010"/>
      <c r="K104" s="1010"/>
      <c r="L104" s="1010"/>
      <c r="M104" s="1010"/>
      <c r="N104" s="1010"/>
      <c r="O104" s="1010"/>
      <c r="P104" s="1010"/>
      <c r="Q104" s="1010"/>
      <c r="R104" s="1010"/>
      <c r="S104" s="1010"/>
      <c r="T104" s="1010"/>
      <c r="U104" s="1010"/>
      <c r="V104" s="1010"/>
      <c r="W104" s="1010"/>
      <c r="X104" s="1010"/>
      <c r="Y104" s="1010"/>
      <c r="Z104" s="1010"/>
      <c r="AA104" s="1010"/>
      <c r="AB104" s="1010"/>
      <c r="AC104" s="1010"/>
      <c r="AD104" s="1010"/>
      <c r="AE104" s="1010"/>
      <c r="AF104" s="1010"/>
      <c r="AG104" s="1010"/>
      <c r="AH104" s="1010"/>
      <c r="AI104" s="1010"/>
      <c r="AJ104" s="1010"/>
      <c r="AK104" s="1010"/>
      <c r="AL104" s="1010"/>
      <c r="AM104" s="1010"/>
      <c r="AN104" s="1010"/>
      <c r="AO104" s="1010"/>
      <c r="AP104" s="1010"/>
      <c r="AQ104" s="1010"/>
      <c r="AR104" s="1010"/>
      <c r="AS104" s="1010"/>
      <c r="AT104" s="1010"/>
      <c r="AU104" s="1010"/>
      <c r="AV104" s="905" t="str">
        <f>'8a-Weapons'!AQ32</f>
        <v/>
      </c>
      <c r="AW104" s="905"/>
      <c r="AX104" s="905"/>
      <c r="AY104" s="905"/>
      <c r="AZ104" s="905"/>
      <c r="BA104" s="905"/>
      <c r="BB104" s="905"/>
      <c r="BC104" s="905"/>
      <c r="BD104" s="905"/>
      <c r="BE104" s="905"/>
      <c r="BF104" s="905"/>
      <c r="BG104" s="905"/>
      <c r="BH104" s="899" t="str">
        <f>'8a-Weapons'!AR32</f>
        <v/>
      </c>
      <c r="BI104" s="899"/>
      <c r="BJ104" s="899"/>
      <c r="BK104" s="899"/>
      <c r="BL104" s="899"/>
      <c r="BM104" s="899"/>
      <c r="BN104" s="899"/>
      <c r="BO104" s="899"/>
      <c r="BP104" s="899"/>
      <c r="BQ104" s="899"/>
      <c r="BR104" s="899"/>
      <c r="BS104" s="1012" t="str">
        <f>'8a-Weapons'!AU117</f>
        <v/>
      </c>
      <c r="BT104" s="1012"/>
      <c r="BU104" s="1012"/>
      <c r="BV104" s="1012"/>
      <c r="BW104" s="1012"/>
      <c r="BX104" s="1012"/>
      <c r="BY104" s="1012"/>
      <c r="BZ104" s="1012"/>
      <c r="CA104" s="1012"/>
      <c r="CB104" s="1012"/>
      <c r="CC104" s="1012"/>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row>
    <row r="105" spans="1:126" ht="23" customHeight="1">
      <c r="A105" s="980" t="str">
        <f>'8a-Weapons'!AS118</f>
        <v/>
      </c>
      <c r="B105" s="980"/>
      <c r="C105" s="980"/>
      <c r="D105" s="980"/>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0"/>
      <c r="AB105" s="980"/>
      <c r="AC105" s="980"/>
      <c r="AD105" s="980"/>
      <c r="AE105" s="980"/>
      <c r="AF105" s="980"/>
      <c r="AG105" s="980"/>
      <c r="AH105" s="980"/>
      <c r="AI105" s="980"/>
      <c r="AJ105" s="980"/>
      <c r="AK105" s="980"/>
      <c r="AL105" s="980"/>
      <c r="AM105" s="980"/>
      <c r="AN105" s="980"/>
      <c r="AO105" s="980"/>
      <c r="AP105" s="980"/>
      <c r="AQ105" s="980"/>
      <c r="AR105" s="980"/>
      <c r="AS105" s="980"/>
      <c r="AT105" s="980"/>
      <c r="AU105" s="980"/>
      <c r="AV105" s="904" t="str">
        <f>'8a-Weapons'!AQ33</f>
        <v/>
      </c>
      <c r="AW105" s="904"/>
      <c r="AX105" s="904"/>
      <c r="AY105" s="904"/>
      <c r="AZ105" s="904"/>
      <c r="BA105" s="904"/>
      <c r="BB105" s="904"/>
      <c r="BC105" s="904"/>
      <c r="BD105" s="904"/>
      <c r="BE105" s="904"/>
      <c r="BF105" s="904"/>
      <c r="BG105" s="904"/>
      <c r="BH105" s="898" t="str">
        <f>'8a-Weapons'!AR33</f>
        <v/>
      </c>
      <c r="BI105" s="898"/>
      <c r="BJ105" s="898"/>
      <c r="BK105" s="898"/>
      <c r="BL105" s="898"/>
      <c r="BM105" s="898"/>
      <c r="BN105" s="898"/>
      <c r="BO105" s="898"/>
      <c r="BP105" s="898"/>
      <c r="BQ105" s="898"/>
      <c r="BR105" s="898"/>
      <c r="BS105" s="897" t="str">
        <f>'8a-Weapons'!AU118</f>
        <v/>
      </c>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c r="CU105" s="897"/>
      <c r="CV105" s="897"/>
      <c r="CW105" s="897"/>
      <c r="CX105" s="897"/>
      <c r="CY105" s="897"/>
      <c r="CZ105" s="897"/>
      <c r="DA105" s="897"/>
      <c r="DB105" s="897"/>
      <c r="DC105" s="897"/>
      <c r="DD105" s="897"/>
      <c r="DE105" s="897"/>
      <c r="DF105" s="897"/>
      <c r="DG105" s="897"/>
      <c r="DH105" s="897"/>
      <c r="DI105" s="897"/>
      <c r="DJ105" s="897"/>
      <c r="DK105" s="897"/>
      <c r="DL105" s="897"/>
      <c r="DM105" s="897"/>
      <c r="DN105" s="897"/>
      <c r="DO105" s="897"/>
      <c r="DP105" s="897"/>
      <c r="DQ105" s="897"/>
      <c r="DR105" s="897"/>
      <c r="DS105" s="897"/>
      <c r="DT105" s="897"/>
      <c r="DU105" s="897"/>
    </row>
    <row r="106" spans="1:126" ht="23" customHeight="1">
      <c r="A106" s="1010" t="str">
        <f>'8a-Weapons'!AS119</f>
        <v/>
      </c>
      <c r="B106" s="1010"/>
      <c r="C106" s="1010"/>
      <c r="D106" s="1010"/>
      <c r="E106" s="1010"/>
      <c r="F106" s="1010"/>
      <c r="G106" s="1010"/>
      <c r="H106" s="1010"/>
      <c r="I106" s="1010"/>
      <c r="J106" s="1010"/>
      <c r="K106" s="1010"/>
      <c r="L106" s="1010"/>
      <c r="M106" s="1010"/>
      <c r="N106" s="1010"/>
      <c r="O106" s="1010"/>
      <c r="P106" s="1010"/>
      <c r="Q106" s="1010"/>
      <c r="R106" s="1010"/>
      <c r="S106" s="1010"/>
      <c r="T106" s="1010"/>
      <c r="U106" s="1010"/>
      <c r="V106" s="1010"/>
      <c r="W106" s="1010"/>
      <c r="X106" s="1010"/>
      <c r="Y106" s="1010"/>
      <c r="Z106" s="1010"/>
      <c r="AA106" s="1010"/>
      <c r="AB106" s="1010"/>
      <c r="AC106" s="1010"/>
      <c r="AD106" s="1010"/>
      <c r="AE106" s="1010"/>
      <c r="AF106" s="1010"/>
      <c r="AG106" s="1010"/>
      <c r="AH106" s="1010"/>
      <c r="AI106" s="1010"/>
      <c r="AJ106" s="1010"/>
      <c r="AK106" s="1010"/>
      <c r="AL106" s="1010"/>
      <c r="AM106" s="1010"/>
      <c r="AN106" s="1010"/>
      <c r="AO106" s="1010"/>
      <c r="AP106" s="1010"/>
      <c r="AQ106" s="1010"/>
      <c r="AR106" s="1010"/>
      <c r="AS106" s="1010"/>
      <c r="AT106" s="1010"/>
      <c r="AU106" s="1010"/>
      <c r="AV106" s="905" t="str">
        <f>'8a-Weapons'!AQ34</f>
        <v/>
      </c>
      <c r="AW106" s="905"/>
      <c r="AX106" s="905"/>
      <c r="AY106" s="905"/>
      <c r="AZ106" s="905"/>
      <c r="BA106" s="905"/>
      <c r="BB106" s="905"/>
      <c r="BC106" s="905"/>
      <c r="BD106" s="905"/>
      <c r="BE106" s="905"/>
      <c r="BF106" s="905"/>
      <c r="BG106" s="905"/>
      <c r="BH106" s="899" t="str">
        <f>'8a-Weapons'!AR34</f>
        <v/>
      </c>
      <c r="BI106" s="899"/>
      <c r="BJ106" s="899"/>
      <c r="BK106" s="899"/>
      <c r="BL106" s="899"/>
      <c r="BM106" s="899"/>
      <c r="BN106" s="899"/>
      <c r="BO106" s="899"/>
      <c r="BP106" s="899"/>
      <c r="BQ106" s="899"/>
      <c r="BR106" s="899"/>
      <c r="BS106" s="1012" t="str">
        <f>'8a-Weapons'!AU119</f>
        <v/>
      </c>
      <c r="BT106" s="1012"/>
      <c r="BU106" s="1012"/>
      <c r="BV106" s="1012"/>
      <c r="BW106" s="1012"/>
      <c r="BX106" s="1012"/>
      <c r="BY106" s="1012"/>
      <c r="BZ106" s="1012"/>
      <c r="CA106" s="1012"/>
      <c r="CB106" s="1012"/>
      <c r="CC106" s="1012"/>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row>
    <row r="107" spans="1:126" ht="23" customHeight="1">
      <c r="A107" s="980" t="str">
        <f>'8a-Weapons'!AS120</f>
        <v/>
      </c>
      <c r="B107" s="980"/>
      <c r="C107" s="980"/>
      <c r="D107" s="980"/>
      <c r="E107" s="980"/>
      <c r="F107" s="980"/>
      <c r="G107" s="980"/>
      <c r="H107" s="980"/>
      <c r="I107" s="980"/>
      <c r="J107" s="980"/>
      <c r="K107" s="980"/>
      <c r="L107" s="980"/>
      <c r="M107" s="980"/>
      <c r="N107" s="980"/>
      <c r="O107" s="980"/>
      <c r="P107" s="980"/>
      <c r="Q107" s="980"/>
      <c r="R107" s="980"/>
      <c r="S107" s="980"/>
      <c r="T107" s="980"/>
      <c r="U107" s="980"/>
      <c r="V107" s="980"/>
      <c r="W107" s="980"/>
      <c r="X107" s="980"/>
      <c r="Y107" s="980"/>
      <c r="Z107" s="980"/>
      <c r="AA107" s="980"/>
      <c r="AB107" s="980"/>
      <c r="AC107" s="980"/>
      <c r="AD107" s="980"/>
      <c r="AE107" s="980"/>
      <c r="AF107" s="980"/>
      <c r="AG107" s="980"/>
      <c r="AH107" s="980"/>
      <c r="AI107" s="980"/>
      <c r="AJ107" s="980"/>
      <c r="AK107" s="980"/>
      <c r="AL107" s="980"/>
      <c r="AM107" s="980"/>
      <c r="AN107" s="980"/>
      <c r="AO107" s="980"/>
      <c r="AP107" s="980"/>
      <c r="AQ107" s="980"/>
      <c r="AR107" s="980"/>
      <c r="AS107" s="980"/>
      <c r="AT107" s="980"/>
      <c r="AU107" s="980"/>
      <c r="AV107" s="904" t="str">
        <f>'8a-Weapons'!AQ35</f>
        <v/>
      </c>
      <c r="AW107" s="904"/>
      <c r="AX107" s="904"/>
      <c r="AY107" s="904"/>
      <c r="AZ107" s="904"/>
      <c r="BA107" s="904"/>
      <c r="BB107" s="904"/>
      <c r="BC107" s="904"/>
      <c r="BD107" s="904"/>
      <c r="BE107" s="904"/>
      <c r="BF107" s="904"/>
      <c r="BG107" s="904"/>
      <c r="BH107" s="898" t="str">
        <f>'8a-Weapons'!AR35</f>
        <v/>
      </c>
      <c r="BI107" s="898"/>
      <c r="BJ107" s="898"/>
      <c r="BK107" s="898"/>
      <c r="BL107" s="898"/>
      <c r="BM107" s="898"/>
      <c r="BN107" s="898"/>
      <c r="BO107" s="898"/>
      <c r="BP107" s="898"/>
      <c r="BQ107" s="898"/>
      <c r="BR107" s="898"/>
      <c r="BS107" s="897" t="str">
        <f>'8a-Weapons'!AU120</f>
        <v/>
      </c>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c r="CU107" s="897"/>
      <c r="CV107" s="897"/>
      <c r="CW107" s="897"/>
      <c r="CX107" s="897"/>
      <c r="CY107" s="897"/>
      <c r="CZ107" s="897"/>
      <c r="DA107" s="897"/>
      <c r="DB107" s="897"/>
      <c r="DC107" s="897"/>
      <c r="DD107" s="897"/>
      <c r="DE107" s="897"/>
      <c r="DF107" s="897"/>
      <c r="DG107" s="897"/>
      <c r="DH107" s="897"/>
      <c r="DI107" s="897"/>
      <c r="DJ107" s="897"/>
      <c r="DK107" s="897"/>
      <c r="DL107" s="897"/>
      <c r="DM107" s="897"/>
      <c r="DN107" s="897"/>
      <c r="DO107" s="897"/>
      <c r="DP107" s="897"/>
      <c r="DQ107" s="897"/>
      <c r="DR107" s="897"/>
      <c r="DS107" s="897"/>
      <c r="DT107" s="897"/>
      <c r="DU107" s="897"/>
    </row>
    <row r="108" spans="1:126" ht="23" customHeight="1">
      <c r="A108" s="1010" t="str">
        <f>'8a-Weapons'!AS121</f>
        <v/>
      </c>
      <c r="B108" s="1010"/>
      <c r="C108" s="1010"/>
      <c r="D108" s="1010"/>
      <c r="E108" s="1010"/>
      <c r="F108" s="1010"/>
      <c r="G108" s="1010"/>
      <c r="H108" s="1010"/>
      <c r="I108" s="1010"/>
      <c r="J108" s="1010"/>
      <c r="K108" s="1010"/>
      <c r="L108" s="1010"/>
      <c r="M108" s="1010"/>
      <c r="N108" s="1010"/>
      <c r="O108" s="1010"/>
      <c r="P108" s="1010"/>
      <c r="Q108" s="1010"/>
      <c r="R108" s="1010"/>
      <c r="S108" s="1010"/>
      <c r="T108" s="1010"/>
      <c r="U108" s="1010"/>
      <c r="V108" s="1010"/>
      <c r="W108" s="1010"/>
      <c r="X108" s="1010"/>
      <c r="Y108" s="1010"/>
      <c r="Z108" s="1010"/>
      <c r="AA108" s="1010"/>
      <c r="AB108" s="1010"/>
      <c r="AC108" s="1010"/>
      <c r="AD108" s="1010"/>
      <c r="AE108" s="1010"/>
      <c r="AF108" s="1010"/>
      <c r="AG108" s="1010"/>
      <c r="AH108" s="1010"/>
      <c r="AI108" s="1010"/>
      <c r="AJ108" s="1010"/>
      <c r="AK108" s="1010"/>
      <c r="AL108" s="1010"/>
      <c r="AM108" s="1010"/>
      <c r="AN108" s="1010"/>
      <c r="AO108" s="1010"/>
      <c r="AP108" s="1010"/>
      <c r="AQ108" s="1010"/>
      <c r="AR108" s="1010"/>
      <c r="AS108" s="1010"/>
      <c r="AT108" s="1010"/>
      <c r="AU108" s="1010"/>
      <c r="AV108" s="905" t="str">
        <f>'8a-Weapons'!AQ36</f>
        <v/>
      </c>
      <c r="AW108" s="905"/>
      <c r="AX108" s="905"/>
      <c r="AY108" s="905"/>
      <c r="AZ108" s="905"/>
      <c r="BA108" s="905"/>
      <c r="BB108" s="905"/>
      <c r="BC108" s="905"/>
      <c r="BD108" s="905"/>
      <c r="BE108" s="905"/>
      <c r="BF108" s="905"/>
      <c r="BG108" s="905"/>
      <c r="BH108" s="899" t="str">
        <f>'8a-Weapons'!AR36</f>
        <v/>
      </c>
      <c r="BI108" s="899"/>
      <c r="BJ108" s="899"/>
      <c r="BK108" s="899"/>
      <c r="BL108" s="899"/>
      <c r="BM108" s="899"/>
      <c r="BN108" s="899"/>
      <c r="BO108" s="899"/>
      <c r="BP108" s="899"/>
      <c r="BQ108" s="899"/>
      <c r="BR108" s="899"/>
      <c r="BS108" s="1012" t="str">
        <f>'8a-Weapons'!AU121</f>
        <v/>
      </c>
      <c r="BT108" s="1012"/>
      <c r="BU108" s="1012"/>
      <c r="BV108" s="1012"/>
      <c r="BW108" s="1012"/>
      <c r="BX108" s="1012"/>
      <c r="BY108" s="1012"/>
      <c r="BZ108" s="1012"/>
      <c r="CA108" s="1012"/>
      <c r="CB108" s="1012"/>
      <c r="CC108" s="1012"/>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row>
    <row r="109" spans="1:126" ht="23" customHeight="1">
      <c r="A109" s="980" t="str">
        <f>'8a-Weapons'!AS122</f>
        <v/>
      </c>
      <c r="B109" s="980"/>
      <c r="C109" s="980"/>
      <c r="D109" s="980"/>
      <c r="E109" s="980"/>
      <c r="F109" s="980"/>
      <c r="G109" s="980"/>
      <c r="H109" s="980"/>
      <c r="I109" s="980"/>
      <c r="J109" s="980"/>
      <c r="K109" s="980"/>
      <c r="L109" s="980"/>
      <c r="M109" s="980"/>
      <c r="N109" s="980"/>
      <c r="O109" s="980"/>
      <c r="P109" s="980"/>
      <c r="Q109" s="980"/>
      <c r="R109" s="980"/>
      <c r="S109" s="980"/>
      <c r="T109" s="980"/>
      <c r="U109" s="980"/>
      <c r="V109" s="980"/>
      <c r="W109" s="980"/>
      <c r="X109" s="980"/>
      <c r="Y109" s="980"/>
      <c r="Z109" s="980"/>
      <c r="AA109" s="980"/>
      <c r="AB109" s="980"/>
      <c r="AC109" s="980"/>
      <c r="AD109" s="980"/>
      <c r="AE109" s="980"/>
      <c r="AF109" s="980"/>
      <c r="AG109" s="980"/>
      <c r="AH109" s="980"/>
      <c r="AI109" s="980"/>
      <c r="AJ109" s="980"/>
      <c r="AK109" s="980"/>
      <c r="AL109" s="980"/>
      <c r="AM109" s="980"/>
      <c r="AN109" s="980"/>
      <c r="AO109" s="980"/>
      <c r="AP109" s="980"/>
      <c r="AQ109" s="980"/>
      <c r="AR109" s="980"/>
      <c r="AS109" s="980"/>
      <c r="AT109" s="980"/>
      <c r="AU109" s="980"/>
      <c r="AV109" s="904" t="str">
        <f>'8a-Weapons'!AQ37</f>
        <v/>
      </c>
      <c r="AW109" s="904"/>
      <c r="AX109" s="904"/>
      <c r="AY109" s="904"/>
      <c r="AZ109" s="904"/>
      <c r="BA109" s="904"/>
      <c r="BB109" s="904"/>
      <c r="BC109" s="904"/>
      <c r="BD109" s="904"/>
      <c r="BE109" s="904"/>
      <c r="BF109" s="904"/>
      <c r="BG109" s="904"/>
      <c r="BH109" s="898" t="str">
        <f>'8a-Weapons'!AR37</f>
        <v/>
      </c>
      <c r="BI109" s="898"/>
      <c r="BJ109" s="898"/>
      <c r="BK109" s="898"/>
      <c r="BL109" s="898"/>
      <c r="BM109" s="898"/>
      <c r="BN109" s="898"/>
      <c r="BO109" s="898"/>
      <c r="BP109" s="898"/>
      <c r="BQ109" s="898"/>
      <c r="BR109" s="898"/>
      <c r="BS109" s="897" t="str">
        <f>'8a-Weapons'!AU122</f>
        <v/>
      </c>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c r="CU109" s="897"/>
      <c r="CV109" s="897"/>
      <c r="CW109" s="897"/>
      <c r="CX109" s="897"/>
      <c r="CY109" s="897"/>
      <c r="CZ109" s="897"/>
      <c r="DA109" s="897"/>
      <c r="DB109" s="897"/>
      <c r="DC109" s="897"/>
      <c r="DD109" s="897"/>
      <c r="DE109" s="897"/>
      <c r="DF109" s="897"/>
      <c r="DG109" s="897"/>
      <c r="DH109" s="897"/>
      <c r="DI109" s="897"/>
      <c r="DJ109" s="897"/>
      <c r="DK109" s="897"/>
      <c r="DL109" s="897"/>
      <c r="DM109" s="897"/>
      <c r="DN109" s="897"/>
      <c r="DO109" s="897"/>
      <c r="DP109" s="897"/>
      <c r="DQ109" s="897"/>
      <c r="DR109" s="897"/>
      <c r="DS109" s="897"/>
      <c r="DT109" s="897"/>
      <c r="DU109" s="897"/>
    </row>
    <row r="110" spans="1:126" ht="23" customHeight="1">
      <c r="A110" s="1010" t="str">
        <f>'8a-Weapons'!AS123</f>
        <v/>
      </c>
      <c r="B110" s="1010"/>
      <c r="C110" s="1010"/>
      <c r="D110" s="1010"/>
      <c r="E110" s="1010"/>
      <c r="F110" s="1010"/>
      <c r="G110" s="1010"/>
      <c r="H110" s="1010"/>
      <c r="I110" s="1010"/>
      <c r="J110" s="1010"/>
      <c r="K110" s="1010"/>
      <c r="L110" s="1010"/>
      <c r="M110" s="1010"/>
      <c r="N110" s="1010"/>
      <c r="O110" s="1010"/>
      <c r="P110" s="1010"/>
      <c r="Q110" s="1010"/>
      <c r="R110" s="1010"/>
      <c r="S110" s="1010"/>
      <c r="T110" s="1010"/>
      <c r="U110" s="1010"/>
      <c r="V110" s="1010"/>
      <c r="W110" s="1010"/>
      <c r="X110" s="1010"/>
      <c r="Y110" s="1010"/>
      <c r="Z110" s="1010"/>
      <c r="AA110" s="1010"/>
      <c r="AB110" s="1010"/>
      <c r="AC110" s="1010"/>
      <c r="AD110" s="1010"/>
      <c r="AE110" s="1010"/>
      <c r="AF110" s="1010"/>
      <c r="AG110" s="1010"/>
      <c r="AH110" s="1010"/>
      <c r="AI110" s="1010"/>
      <c r="AJ110" s="1010"/>
      <c r="AK110" s="1010"/>
      <c r="AL110" s="1010"/>
      <c r="AM110" s="1010"/>
      <c r="AN110" s="1010"/>
      <c r="AO110" s="1010"/>
      <c r="AP110" s="1010"/>
      <c r="AQ110" s="1010"/>
      <c r="AR110" s="1010"/>
      <c r="AS110" s="1010"/>
      <c r="AT110" s="1010"/>
      <c r="AU110" s="1010"/>
      <c r="AV110" s="905" t="str">
        <f>'8a-Weapons'!AQ38</f>
        <v/>
      </c>
      <c r="AW110" s="905"/>
      <c r="AX110" s="905"/>
      <c r="AY110" s="905"/>
      <c r="AZ110" s="905"/>
      <c r="BA110" s="905"/>
      <c r="BB110" s="905"/>
      <c r="BC110" s="905"/>
      <c r="BD110" s="905"/>
      <c r="BE110" s="905"/>
      <c r="BF110" s="905"/>
      <c r="BG110" s="905"/>
      <c r="BH110" s="899" t="str">
        <f>'8a-Weapons'!AR38</f>
        <v/>
      </c>
      <c r="BI110" s="899"/>
      <c r="BJ110" s="899"/>
      <c r="BK110" s="899"/>
      <c r="BL110" s="899"/>
      <c r="BM110" s="899"/>
      <c r="BN110" s="899"/>
      <c r="BO110" s="899"/>
      <c r="BP110" s="899"/>
      <c r="BQ110" s="899"/>
      <c r="BR110" s="899"/>
      <c r="BS110" s="1012" t="str">
        <f>'8a-Weapons'!AU123</f>
        <v/>
      </c>
      <c r="BT110" s="1012"/>
      <c r="BU110" s="1012"/>
      <c r="BV110" s="1012"/>
      <c r="BW110" s="1012"/>
      <c r="BX110" s="1012"/>
      <c r="BY110" s="1012"/>
      <c r="BZ110" s="1012"/>
      <c r="CA110" s="1012"/>
      <c r="CB110" s="1012"/>
      <c r="CC110" s="1012"/>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row>
    <row r="111" spans="1:126" ht="23" customHeight="1">
      <c r="A111" s="980" t="str">
        <f>'8a-Weapons'!AS124</f>
        <v/>
      </c>
      <c r="B111" s="980"/>
      <c r="C111" s="980"/>
      <c r="D111" s="980"/>
      <c r="E111" s="980"/>
      <c r="F111" s="980"/>
      <c r="G111" s="980"/>
      <c r="H111" s="980"/>
      <c r="I111" s="980"/>
      <c r="J111" s="980"/>
      <c r="K111" s="980"/>
      <c r="L111" s="980"/>
      <c r="M111" s="980"/>
      <c r="N111" s="980"/>
      <c r="O111" s="980"/>
      <c r="P111" s="980"/>
      <c r="Q111" s="980"/>
      <c r="R111" s="980"/>
      <c r="S111" s="980"/>
      <c r="T111" s="980"/>
      <c r="U111" s="980"/>
      <c r="V111" s="980"/>
      <c r="W111" s="980"/>
      <c r="X111" s="980"/>
      <c r="Y111" s="980"/>
      <c r="Z111" s="980"/>
      <c r="AA111" s="980"/>
      <c r="AB111" s="980"/>
      <c r="AC111" s="980"/>
      <c r="AD111" s="980"/>
      <c r="AE111" s="980"/>
      <c r="AF111" s="980"/>
      <c r="AG111" s="980"/>
      <c r="AH111" s="980"/>
      <c r="AI111" s="980"/>
      <c r="AJ111" s="980"/>
      <c r="AK111" s="980"/>
      <c r="AL111" s="980"/>
      <c r="AM111" s="980"/>
      <c r="AN111" s="980"/>
      <c r="AO111" s="980"/>
      <c r="AP111" s="980"/>
      <c r="AQ111" s="980"/>
      <c r="AR111" s="980"/>
      <c r="AS111" s="980"/>
      <c r="AT111" s="980"/>
      <c r="AU111" s="980"/>
      <c r="AV111" s="904" t="str">
        <f>'8a-Weapons'!AQ39</f>
        <v/>
      </c>
      <c r="AW111" s="904"/>
      <c r="AX111" s="904"/>
      <c r="AY111" s="904"/>
      <c r="AZ111" s="904"/>
      <c r="BA111" s="904"/>
      <c r="BB111" s="904"/>
      <c r="BC111" s="904"/>
      <c r="BD111" s="904"/>
      <c r="BE111" s="904"/>
      <c r="BF111" s="904"/>
      <c r="BG111" s="904"/>
      <c r="BH111" s="898" t="str">
        <f>'8a-Weapons'!AR39</f>
        <v/>
      </c>
      <c r="BI111" s="898"/>
      <c r="BJ111" s="898"/>
      <c r="BK111" s="898"/>
      <c r="BL111" s="898"/>
      <c r="BM111" s="898"/>
      <c r="BN111" s="898"/>
      <c r="BO111" s="898"/>
      <c r="BP111" s="898"/>
      <c r="BQ111" s="898"/>
      <c r="BR111" s="898"/>
      <c r="BS111" s="897" t="str">
        <f>'8a-Weapons'!AU124</f>
        <v/>
      </c>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c r="CU111" s="897"/>
      <c r="CV111" s="897"/>
      <c r="CW111" s="897"/>
      <c r="CX111" s="897"/>
      <c r="CY111" s="897"/>
      <c r="CZ111" s="897"/>
      <c r="DA111" s="897"/>
      <c r="DB111" s="897"/>
      <c r="DC111" s="897"/>
      <c r="DD111" s="897"/>
      <c r="DE111" s="897"/>
      <c r="DF111" s="897"/>
      <c r="DG111" s="897"/>
      <c r="DH111" s="897"/>
      <c r="DI111" s="897"/>
      <c r="DJ111" s="897"/>
      <c r="DK111" s="897"/>
      <c r="DL111" s="897"/>
      <c r="DM111" s="897"/>
      <c r="DN111" s="897"/>
      <c r="DO111" s="897"/>
      <c r="DP111" s="897"/>
      <c r="DQ111" s="897"/>
      <c r="DR111" s="897"/>
      <c r="DS111" s="897"/>
      <c r="DT111" s="897"/>
      <c r="DU111" s="897"/>
    </row>
    <row r="112" spans="1:126" ht="23" customHeight="1">
      <c r="A112" s="1010" t="str">
        <f>'8a-Weapons'!AS125</f>
        <v/>
      </c>
      <c r="B112" s="1010"/>
      <c r="C112" s="1010"/>
      <c r="D112" s="1010"/>
      <c r="E112" s="1010"/>
      <c r="F112" s="1010"/>
      <c r="G112" s="1010"/>
      <c r="H112" s="1010"/>
      <c r="I112" s="1010"/>
      <c r="J112" s="1010"/>
      <c r="K112" s="1010"/>
      <c r="L112" s="1010"/>
      <c r="M112" s="1010"/>
      <c r="N112" s="1010"/>
      <c r="O112" s="1010"/>
      <c r="P112" s="1010"/>
      <c r="Q112" s="1010"/>
      <c r="R112" s="1010"/>
      <c r="S112" s="1010"/>
      <c r="T112" s="1010"/>
      <c r="U112" s="1010"/>
      <c r="V112" s="1010"/>
      <c r="W112" s="1010"/>
      <c r="X112" s="1010"/>
      <c r="Y112" s="1010"/>
      <c r="Z112" s="1010"/>
      <c r="AA112" s="1010"/>
      <c r="AB112" s="1010"/>
      <c r="AC112" s="1010"/>
      <c r="AD112" s="1010"/>
      <c r="AE112" s="1010"/>
      <c r="AF112" s="1010"/>
      <c r="AG112" s="1010"/>
      <c r="AH112" s="1010"/>
      <c r="AI112" s="1010"/>
      <c r="AJ112" s="1010"/>
      <c r="AK112" s="1010"/>
      <c r="AL112" s="1010"/>
      <c r="AM112" s="1010"/>
      <c r="AN112" s="1010"/>
      <c r="AO112" s="1010"/>
      <c r="AP112" s="1010"/>
      <c r="AQ112" s="1010"/>
      <c r="AR112" s="1010"/>
      <c r="AS112" s="1010"/>
      <c r="AT112" s="1010"/>
      <c r="AU112" s="1010"/>
      <c r="AV112" s="905" t="str">
        <f>'8a-Weapons'!AQ40</f>
        <v/>
      </c>
      <c r="AW112" s="905"/>
      <c r="AX112" s="905"/>
      <c r="AY112" s="905"/>
      <c r="AZ112" s="905"/>
      <c r="BA112" s="905"/>
      <c r="BB112" s="905"/>
      <c r="BC112" s="905"/>
      <c r="BD112" s="905"/>
      <c r="BE112" s="905"/>
      <c r="BF112" s="905"/>
      <c r="BG112" s="905"/>
      <c r="BH112" s="899" t="str">
        <f>'8a-Weapons'!AR40</f>
        <v/>
      </c>
      <c r="BI112" s="899"/>
      <c r="BJ112" s="899"/>
      <c r="BK112" s="899"/>
      <c r="BL112" s="899"/>
      <c r="BM112" s="899"/>
      <c r="BN112" s="899"/>
      <c r="BO112" s="899"/>
      <c r="BP112" s="899"/>
      <c r="BQ112" s="899"/>
      <c r="BR112" s="899"/>
      <c r="BS112" s="1012" t="str">
        <f>'8a-Weapons'!AU125</f>
        <v/>
      </c>
      <c r="BT112" s="1012"/>
      <c r="BU112" s="1012"/>
      <c r="BV112" s="1012"/>
      <c r="BW112" s="1012"/>
      <c r="BX112" s="1012"/>
      <c r="BY112" s="1012"/>
      <c r="BZ112" s="1012"/>
      <c r="CA112" s="1012"/>
      <c r="CB112" s="1012"/>
      <c r="CC112" s="1012"/>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row>
    <row r="113" spans="1:126" ht="23" customHeight="1">
      <c r="A113" s="980" t="str">
        <f>'8a-Weapons'!AS126</f>
        <v/>
      </c>
      <c r="B113" s="980"/>
      <c r="C113" s="980"/>
      <c r="D113" s="980"/>
      <c r="E113" s="980"/>
      <c r="F113" s="980"/>
      <c r="G113" s="980"/>
      <c r="H113" s="980"/>
      <c r="I113" s="980"/>
      <c r="J113" s="980"/>
      <c r="K113" s="980"/>
      <c r="L113" s="980"/>
      <c r="M113" s="980"/>
      <c r="N113" s="980"/>
      <c r="O113" s="980"/>
      <c r="P113" s="980"/>
      <c r="Q113" s="980"/>
      <c r="R113" s="980"/>
      <c r="S113" s="980"/>
      <c r="T113" s="980"/>
      <c r="U113" s="980"/>
      <c r="V113" s="980"/>
      <c r="W113" s="980"/>
      <c r="X113" s="980"/>
      <c r="Y113" s="980"/>
      <c r="Z113" s="980"/>
      <c r="AA113" s="980"/>
      <c r="AB113" s="980"/>
      <c r="AC113" s="980"/>
      <c r="AD113" s="980"/>
      <c r="AE113" s="980"/>
      <c r="AF113" s="980"/>
      <c r="AG113" s="980"/>
      <c r="AH113" s="980"/>
      <c r="AI113" s="980"/>
      <c r="AJ113" s="980"/>
      <c r="AK113" s="980"/>
      <c r="AL113" s="980"/>
      <c r="AM113" s="980"/>
      <c r="AN113" s="980"/>
      <c r="AO113" s="980"/>
      <c r="AP113" s="980"/>
      <c r="AQ113" s="980"/>
      <c r="AR113" s="980"/>
      <c r="AS113" s="980"/>
      <c r="AT113" s="980"/>
      <c r="AU113" s="980"/>
      <c r="AV113" s="904" t="str">
        <f>'8a-Weapons'!AQ41</f>
        <v/>
      </c>
      <c r="AW113" s="904"/>
      <c r="AX113" s="904"/>
      <c r="AY113" s="904"/>
      <c r="AZ113" s="904"/>
      <c r="BA113" s="904"/>
      <c r="BB113" s="904"/>
      <c r="BC113" s="904"/>
      <c r="BD113" s="904"/>
      <c r="BE113" s="904"/>
      <c r="BF113" s="904"/>
      <c r="BG113" s="904"/>
      <c r="BH113" s="898" t="str">
        <f>'8a-Weapons'!AR41</f>
        <v/>
      </c>
      <c r="BI113" s="898"/>
      <c r="BJ113" s="898"/>
      <c r="BK113" s="898"/>
      <c r="BL113" s="898"/>
      <c r="BM113" s="898"/>
      <c r="BN113" s="898"/>
      <c r="BO113" s="898"/>
      <c r="BP113" s="898"/>
      <c r="BQ113" s="898"/>
      <c r="BR113" s="898"/>
      <c r="BS113" s="897" t="str">
        <f>'8a-Weapons'!AU126</f>
        <v/>
      </c>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c r="CU113" s="897"/>
      <c r="CV113" s="897"/>
      <c r="CW113" s="897"/>
      <c r="CX113" s="897"/>
      <c r="CY113" s="897"/>
      <c r="CZ113" s="897"/>
      <c r="DA113" s="897"/>
      <c r="DB113" s="897"/>
      <c r="DC113" s="897"/>
      <c r="DD113" s="897"/>
      <c r="DE113" s="897"/>
      <c r="DF113" s="897"/>
      <c r="DG113" s="897"/>
      <c r="DH113" s="897"/>
      <c r="DI113" s="897"/>
      <c r="DJ113" s="897"/>
      <c r="DK113" s="897"/>
      <c r="DL113" s="897"/>
      <c r="DM113" s="897"/>
      <c r="DN113" s="897"/>
      <c r="DO113" s="897"/>
      <c r="DP113" s="897"/>
      <c r="DQ113" s="897"/>
      <c r="DR113" s="897"/>
      <c r="DS113" s="897"/>
      <c r="DT113" s="897"/>
      <c r="DU113" s="897"/>
    </row>
    <row r="114" spans="1:126" ht="23" customHeight="1">
      <c r="A114" s="1010" t="str">
        <f>'8a-Weapons'!AS127</f>
        <v/>
      </c>
      <c r="B114" s="1010"/>
      <c r="C114" s="1010"/>
      <c r="D114" s="1010"/>
      <c r="E114" s="1010"/>
      <c r="F114" s="1010"/>
      <c r="G114" s="1010"/>
      <c r="H114" s="1010"/>
      <c r="I114" s="1010"/>
      <c r="J114" s="1010"/>
      <c r="K114" s="1010"/>
      <c r="L114" s="1010"/>
      <c r="M114" s="1010"/>
      <c r="N114" s="1010"/>
      <c r="O114" s="1010"/>
      <c r="P114" s="1010"/>
      <c r="Q114" s="1010"/>
      <c r="R114" s="1010"/>
      <c r="S114" s="1010"/>
      <c r="T114" s="1010"/>
      <c r="U114" s="1010"/>
      <c r="V114" s="1010"/>
      <c r="W114" s="1010"/>
      <c r="X114" s="1010"/>
      <c r="Y114" s="1010"/>
      <c r="Z114" s="1010"/>
      <c r="AA114" s="1010"/>
      <c r="AB114" s="1010"/>
      <c r="AC114" s="1010"/>
      <c r="AD114" s="1010"/>
      <c r="AE114" s="1010"/>
      <c r="AF114" s="1010"/>
      <c r="AG114" s="1010"/>
      <c r="AH114" s="1010"/>
      <c r="AI114" s="1010"/>
      <c r="AJ114" s="1010"/>
      <c r="AK114" s="1010"/>
      <c r="AL114" s="1010"/>
      <c r="AM114" s="1010"/>
      <c r="AN114" s="1010"/>
      <c r="AO114" s="1010"/>
      <c r="AP114" s="1010"/>
      <c r="AQ114" s="1010"/>
      <c r="AR114" s="1010"/>
      <c r="AS114" s="1010"/>
      <c r="AT114" s="1010"/>
      <c r="AU114" s="1010"/>
      <c r="AV114" s="905" t="str">
        <f>'8a-Weapons'!AQ42</f>
        <v/>
      </c>
      <c r="AW114" s="905"/>
      <c r="AX114" s="905"/>
      <c r="AY114" s="905"/>
      <c r="AZ114" s="905"/>
      <c r="BA114" s="905"/>
      <c r="BB114" s="905"/>
      <c r="BC114" s="905"/>
      <c r="BD114" s="905"/>
      <c r="BE114" s="905"/>
      <c r="BF114" s="905"/>
      <c r="BG114" s="905"/>
      <c r="BH114" s="899" t="str">
        <f>'8a-Weapons'!AR42</f>
        <v/>
      </c>
      <c r="BI114" s="899"/>
      <c r="BJ114" s="899"/>
      <c r="BK114" s="899"/>
      <c r="BL114" s="899"/>
      <c r="BM114" s="899"/>
      <c r="BN114" s="899"/>
      <c r="BO114" s="899"/>
      <c r="BP114" s="899"/>
      <c r="BQ114" s="899"/>
      <c r="BR114" s="899"/>
      <c r="BS114" s="1012" t="str">
        <f>'8a-Weapons'!AU127</f>
        <v/>
      </c>
      <c r="BT114" s="1012"/>
      <c r="BU114" s="1012"/>
      <c r="BV114" s="1012"/>
      <c r="BW114" s="1012"/>
      <c r="BX114" s="1012"/>
      <c r="BY114" s="1012"/>
      <c r="BZ114" s="1012"/>
      <c r="CA114" s="1012"/>
      <c r="CB114" s="1012"/>
      <c r="CC114" s="1012"/>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row>
    <row r="115" spans="1:126" ht="23" customHeight="1">
      <c r="A115" s="980" t="str">
        <f>'8a-Weapons'!AS128</f>
        <v/>
      </c>
      <c r="B115" s="980"/>
      <c r="C115" s="980"/>
      <c r="D115" s="980"/>
      <c r="E115" s="980"/>
      <c r="F115" s="980"/>
      <c r="G115" s="980"/>
      <c r="H115" s="980"/>
      <c r="I115" s="980"/>
      <c r="J115" s="980"/>
      <c r="K115" s="980"/>
      <c r="L115" s="980"/>
      <c r="M115" s="980"/>
      <c r="N115" s="980"/>
      <c r="O115" s="980"/>
      <c r="P115" s="980"/>
      <c r="Q115" s="980"/>
      <c r="R115" s="980"/>
      <c r="S115" s="980"/>
      <c r="T115" s="980"/>
      <c r="U115" s="980"/>
      <c r="V115" s="980"/>
      <c r="W115" s="980"/>
      <c r="X115" s="980"/>
      <c r="Y115" s="980"/>
      <c r="Z115" s="980"/>
      <c r="AA115" s="980"/>
      <c r="AB115" s="980"/>
      <c r="AC115" s="980"/>
      <c r="AD115" s="980"/>
      <c r="AE115" s="980"/>
      <c r="AF115" s="980"/>
      <c r="AG115" s="980"/>
      <c r="AH115" s="980"/>
      <c r="AI115" s="980"/>
      <c r="AJ115" s="980"/>
      <c r="AK115" s="980"/>
      <c r="AL115" s="980"/>
      <c r="AM115" s="980"/>
      <c r="AN115" s="980"/>
      <c r="AO115" s="980"/>
      <c r="AP115" s="980"/>
      <c r="AQ115" s="980"/>
      <c r="AR115" s="980"/>
      <c r="AS115" s="980"/>
      <c r="AT115" s="980"/>
      <c r="AU115" s="980"/>
      <c r="AV115" s="904" t="str">
        <f>'8a-Weapons'!AQ43</f>
        <v/>
      </c>
      <c r="AW115" s="904"/>
      <c r="AX115" s="904"/>
      <c r="AY115" s="904"/>
      <c r="AZ115" s="904"/>
      <c r="BA115" s="904"/>
      <c r="BB115" s="904"/>
      <c r="BC115" s="904"/>
      <c r="BD115" s="904"/>
      <c r="BE115" s="904"/>
      <c r="BF115" s="904"/>
      <c r="BG115" s="904"/>
      <c r="BH115" s="898" t="str">
        <f>'8a-Weapons'!AR43</f>
        <v/>
      </c>
      <c r="BI115" s="898"/>
      <c r="BJ115" s="898"/>
      <c r="BK115" s="898"/>
      <c r="BL115" s="898"/>
      <c r="BM115" s="898"/>
      <c r="BN115" s="898"/>
      <c r="BO115" s="898"/>
      <c r="BP115" s="898"/>
      <c r="BQ115" s="898"/>
      <c r="BR115" s="898"/>
      <c r="BS115" s="897" t="str">
        <f>'8a-Weapons'!AU128</f>
        <v/>
      </c>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c r="CU115" s="897"/>
      <c r="CV115" s="897"/>
      <c r="CW115" s="897"/>
      <c r="CX115" s="897"/>
      <c r="CY115" s="897"/>
      <c r="CZ115" s="897"/>
      <c r="DA115" s="897"/>
      <c r="DB115" s="897"/>
      <c r="DC115" s="897"/>
      <c r="DD115" s="897"/>
      <c r="DE115" s="897"/>
      <c r="DF115" s="897"/>
      <c r="DG115" s="897"/>
      <c r="DH115" s="897"/>
      <c r="DI115" s="897"/>
      <c r="DJ115" s="897"/>
      <c r="DK115" s="897"/>
      <c r="DL115" s="897"/>
      <c r="DM115" s="897"/>
      <c r="DN115" s="897"/>
      <c r="DO115" s="897"/>
      <c r="DP115" s="897"/>
      <c r="DQ115" s="897"/>
      <c r="DR115" s="897"/>
      <c r="DS115" s="897"/>
      <c r="DT115" s="897"/>
      <c r="DU115" s="897"/>
    </row>
    <row r="116" spans="1:126" ht="23" customHeight="1">
      <c r="A116" s="1010" t="str">
        <f>'8a-Weapons'!AS129</f>
        <v/>
      </c>
      <c r="B116" s="1010"/>
      <c r="C116" s="1010"/>
      <c r="D116" s="1010"/>
      <c r="E116" s="1010"/>
      <c r="F116" s="1010"/>
      <c r="G116" s="1010"/>
      <c r="H116" s="1010"/>
      <c r="I116" s="1010"/>
      <c r="J116" s="1010"/>
      <c r="K116" s="1010"/>
      <c r="L116" s="1010"/>
      <c r="M116" s="1010"/>
      <c r="N116" s="1010"/>
      <c r="O116" s="1010"/>
      <c r="P116" s="1010"/>
      <c r="Q116" s="1010"/>
      <c r="R116" s="1010"/>
      <c r="S116" s="1010"/>
      <c r="T116" s="1010"/>
      <c r="U116" s="1010"/>
      <c r="V116" s="1010"/>
      <c r="W116" s="1010"/>
      <c r="X116" s="1010"/>
      <c r="Y116" s="1010"/>
      <c r="Z116" s="1010"/>
      <c r="AA116" s="1010"/>
      <c r="AB116" s="1010"/>
      <c r="AC116" s="1010"/>
      <c r="AD116" s="1010"/>
      <c r="AE116" s="1010"/>
      <c r="AF116" s="1010"/>
      <c r="AG116" s="1010"/>
      <c r="AH116" s="1010"/>
      <c r="AI116" s="1010"/>
      <c r="AJ116" s="1010"/>
      <c r="AK116" s="1010"/>
      <c r="AL116" s="1010"/>
      <c r="AM116" s="1010"/>
      <c r="AN116" s="1010"/>
      <c r="AO116" s="1010"/>
      <c r="AP116" s="1010"/>
      <c r="AQ116" s="1010"/>
      <c r="AR116" s="1010"/>
      <c r="AS116" s="1010"/>
      <c r="AT116" s="1010"/>
      <c r="AU116" s="1010"/>
      <c r="AV116" s="905" t="str">
        <f>'8a-Weapons'!AQ44</f>
        <v/>
      </c>
      <c r="AW116" s="905"/>
      <c r="AX116" s="905"/>
      <c r="AY116" s="905"/>
      <c r="AZ116" s="905"/>
      <c r="BA116" s="905"/>
      <c r="BB116" s="905"/>
      <c r="BC116" s="905"/>
      <c r="BD116" s="905"/>
      <c r="BE116" s="905"/>
      <c r="BF116" s="905"/>
      <c r="BG116" s="905"/>
      <c r="BH116" s="899" t="str">
        <f>'8a-Weapons'!AR44</f>
        <v/>
      </c>
      <c r="BI116" s="899"/>
      <c r="BJ116" s="899"/>
      <c r="BK116" s="899"/>
      <c r="BL116" s="899"/>
      <c r="BM116" s="899"/>
      <c r="BN116" s="899"/>
      <c r="BO116" s="899"/>
      <c r="BP116" s="899"/>
      <c r="BQ116" s="899"/>
      <c r="BR116" s="899"/>
      <c r="BS116" s="1012" t="str">
        <f>'8a-Weapons'!AU129</f>
        <v/>
      </c>
      <c r="BT116" s="1012"/>
      <c r="BU116" s="1012"/>
      <c r="BV116" s="1012"/>
      <c r="BW116" s="1012"/>
      <c r="BX116" s="1012"/>
      <c r="BY116" s="1012"/>
      <c r="BZ116" s="1012"/>
      <c r="CA116" s="1012"/>
      <c r="CB116" s="1012"/>
      <c r="CC116" s="1012"/>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row>
    <row r="117" spans="1:126" ht="23" customHeight="1">
      <c r="A117" s="980" t="str">
        <f>'8a-Weapons'!AS130</f>
        <v/>
      </c>
      <c r="B117" s="980"/>
      <c r="C117" s="980"/>
      <c r="D117" s="980"/>
      <c r="E117" s="980"/>
      <c r="F117" s="980"/>
      <c r="G117" s="980"/>
      <c r="H117" s="980"/>
      <c r="I117" s="980"/>
      <c r="J117" s="980"/>
      <c r="K117" s="980"/>
      <c r="L117" s="980"/>
      <c r="M117" s="980"/>
      <c r="N117" s="980"/>
      <c r="O117" s="980"/>
      <c r="P117" s="980"/>
      <c r="Q117" s="980"/>
      <c r="R117" s="980"/>
      <c r="S117" s="980"/>
      <c r="T117" s="980"/>
      <c r="U117" s="980"/>
      <c r="V117" s="980"/>
      <c r="W117" s="980"/>
      <c r="X117" s="980"/>
      <c r="Y117" s="980"/>
      <c r="Z117" s="980"/>
      <c r="AA117" s="980"/>
      <c r="AB117" s="980"/>
      <c r="AC117" s="980"/>
      <c r="AD117" s="980"/>
      <c r="AE117" s="980"/>
      <c r="AF117" s="980"/>
      <c r="AG117" s="980"/>
      <c r="AH117" s="980"/>
      <c r="AI117" s="980"/>
      <c r="AJ117" s="980"/>
      <c r="AK117" s="980"/>
      <c r="AL117" s="980"/>
      <c r="AM117" s="980"/>
      <c r="AN117" s="980"/>
      <c r="AO117" s="980"/>
      <c r="AP117" s="980"/>
      <c r="AQ117" s="980"/>
      <c r="AR117" s="980"/>
      <c r="AS117" s="980"/>
      <c r="AT117" s="980"/>
      <c r="AU117" s="980"/>
      <c r="AV117" s="904" t="str">
        <f>'8a-Weapons'!AQ45</f>
        <v/>
      </c>
      <c r="AW117" s="904"/>
      <c r="AX117" s="904"/>
      <c r="AY117" s="904"/>
      <c r="AZ117" s="904"/>
      <c r="BA117" s="904"/>
      <c r="BB117" s="904"/>
      <c r="BC117" s="904"/>
      <c r="BD117" s="904"/>
      <c r="BE117" s="904"/>
      <c r="BF117" s="904"/>
      <c r="BG117" s="904"/>
      <c r="BH117" s="898" t="str">
        <f>'8a-Weapons'!AR45</f>
        <v/>
      </c>
      <c r="BI117" s="898"/>
      <c r="BJ117" s="898"/>
      <c r="BK117" s="898"/>
      <c r="BL117" s="898"/>
      <c r="BM117" s="898"/>
      <c r="BN117" s="898"/>
      <c r="BO117" s="898"/>
      <c r="BP117" s="898"/>
      <c r="BQ117" s="898"/>
      <c r="BR117" s="898"/>
      <c r="BS117" s="897" t="str">
        <f>'8a-Weapons'!AU130</f>
        <v/>
      </c>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c r="CU117" s="897"/>
      <c r="CV117" s="897"/>
      <c r="CW117" s="897"/>
      <c r="CX117" s="897"/>
      <c r="CY117" s="897"/>
      <c r="CZ117" s="897"/>
      <c r="DA117" s="897"/>
      <c r="DB117" s="897"/>
      <c r="DC117" s="897"/>
      <c r="DD117" s="897"/>
      <c r="DE117" s="897"/>
      <c r="DF117" s="897"/>
      <c r="DG117" s="897"/>
      <c r="DH117" s="897"/>
      <c r="DI117" s="897"/>
      <c r="DJ117" s="897"/>
      <c r="DK117" s="897"/>
      <c r="DL117" s="897"/>
      <c r="DM117" s="897"/>
      <c r="DN117" s="897"/>
      <c r="DO117" s="897"/>
      <c r="DP117" s="897"/>
      <c r="DQ117" s="897"/>
      <c r="DR117" s="897"/>
      <c r="DS117" s="897"/>
      <c r="DT117" s="897"/>
      <c r="DU117" s="897"/>
    </row>
    <row r="118" spans="1:126" ht="23" customHeight="1">
      <c r="A118" s="1010" t="str">
        <f>'8a-Weapons'!AS131</f>
        <v/>
      </c>
      <c r="B118" s="1010"/>
      <c r="C118" s="1010"/>
      <c r="D118" s="1010"/>
      <c r="E118" s="1010"/>
      <c r="F118" s="1010"/>
      <c r="G118" s="1010"/>
      <c r="H118" s="1010"/>
      <c r="I118" s="1010"/>
      <c r="J118" s="1010"/>
      <c r="K118" s="1010"/>
      <c r="L118" s="1010"/>
      <c r="M118" s="1010"/>
      <c r="N118" s="1010"/>
      <c r="O118" s="1010"/>
      <c r="P118" s="1010"/>
      <c r="Q118" s="1010"/>
      <c r="R118" s="1010"/>
      <c r="S118" s="1010"/>
      <c r="T118" s="1010"/>
      <c r="U118" s="1010"/>
      <c r="V118" s="1010"/>
      <c r="W118" s="1010"/>
      <c r="X118" s="1010"/>
      <c r="Y118" s="1010"/>
      <c r="Z118" s="1010"/>
      <c r="AA118" s="1010"/>
      <c r="AB118" s="1010"/>
      <c r="AC118" s="1010"/>
      <c r="AD118" s="1010"/>
      <c r="AE118" s="1010"/>
      <c r="AF118" s="1010"/>
      <c r="AG118" s="1010"/>
      <c r="AH118" s="1010"/>
      <c r="AI118" s="1010"/>
      <c r="AJ118" s="1010"/>
      <c r="AK118" s="1010"/>
      <c r="AL118" s="1010"/>
      <c r="AM118" s="1010"/>
      <c r="AN118" s="1010"/>
      <c r="AO118" s="1010"/>
      <c r="AP118" s="1010"/>
      <c r="AQ118" s="1010"/>
      <c r="AR118" s="1010"/>
      <c r="AS118" s="1010"/>
      <c r="AT118" s="1010"/>
      <c r="AU118" s="1010"/>
      <c r="AV118" s="905" t="str">
        <f>'8a-Weapons'!AQ46</f>
        <v/>
      </c>
      <c r="AW118" s="905"/>
      <c r="AX118" s="905"/>
      <c r="AY118" s="905"/>
      <c r="AZ118" s="905"/>
      <c r="BA118" s="905"/>
      <c r="BB118" s="905"/>
      <c r="BC118" s="905"/>
      <c r="BD118" s="905"/>
      <c r="BE118" s="905"/>
      <c r="BF118" s="905"/>
      <c r="BG118" s="905"/>
      <c r="BH118" s="899" t="str">
        <f>'8a-Weapons'!AR46</f>
        <v/>
      </c>
      <c r="BI118" s="899"/>
      <c r="BJ118" s="899"/>
      <c r="BK118" s="899"/>
      <c r="BL118" s="899"/>
      <c r="BM118" s="899"/>
      <c r="BN118" s="899"/>
      <c r="BO118" s="899"/>
      <c r="BP118" s="899"/>
      <c r="BQ118" s="899"/>
      <c r="BR118" s="899"/>
      <c r="BS118" s="1012" t="str">
        <f>'8a-Weapons'!AU131</f>
        <v/>
      </c>
      <c r="BT118" s="1012"/>
      <c r="BU118" s="1012"/>
      <c r="BV118" s="1012"/>
      <c r="BW118" s="1012"/>
      <c r="BX118" s="1012"/>
      <c r="BY118" s="1012"/>
      <c r="BZ118" s="1012"/>
      <c r="CA118" s="1012"/>
      <c r="CB118" s="1012"/>
      <c r="CC118" s="1012"/>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row>
    <row r="119" spans="1:126" ht="23" customHeight="1" thickBot="1">
      <c r="A119" s="1011" t="str">
        <f>'8a-Weapons'!AS132</f>
        <v/>
      </c>
      <c r="B119" s="1011"/>
      <c r="C119" s="1011"/>
      <c r="D119" s="1011"/>
      <c r="E119" s="1011"/>
      <c r="F119" s="1011"/>
      <c r="G119" s="1011"/>
      <c r="H119" s="1011"/>
      <c r="I119" s="1011"/>
      <c r="J119" s="1011"/>
      <c r="K119" s="1011"/>
      <c r="L119" s="1011"/>
      <c r="M119" s="1011"/>
      <c r="N119" s="1011"/>
      <c r="O119" s="1011"/>
      <c r="P119" s="1011"/>
      <c r="Q119" s="1011"/>
      <c r="R119" s="1011"/>
      <c r="S119" s="1011"/>
      <c r="T119" s="1011"/>
      <c r="U119" s="1011"/>
      <c r="V119" s="1011"/>
      <c r="W119" s="1011"/>
      <c r="X119" s="1011"/>
      <c r="Y119" s="1011"/>
      <c r="Z119" s="1011"/>
      <c r="AA119" s="1011"/>
      <c r="AB119" s="1011"/>
      <c r="AC119" s="1011"/>
      <c r="AD119" s="1011"/>
      <c r="AE119" s="1011"/>
      <c r="AF119" s="1011"/>
      <c r="AG119" s="1011"/>
      <c r="AH119" s="1011"/>
      <c r="AI119" s="1011"/>
      <c r="AJ119" s="1011"/>
      <c r="AK119" s="1011"/>
      <c r="AL119" s="1011"/>
      <c r="AM119" s="1011"/>
      <c r="AN119" s="1011"/>
      <c r="AO119" s="1011"/>
      <c r="AP119" s="1011"/>
      <c r="AQ119" s="1011"/>
      <c r="AR119" s="1011"/>
      <c r="AS119" s="1011"/>
      <c r="AT119" s="1011"/>
      <c r="AU119" s="1011"/>
      <c r="AV119" s="978" t="str">
        <f>'8a-Weapons'!AQ47</f>
        <v/>
      </c>
      <c r="AW119" s="978"/>
      <c r="AX119" s="978"/>
      <c r="AY119" s="978"/>
      <c r="AZ119" s="978"/>
      <c r="BA119" s="978"/>
      <c r="BB119" s="978"/>
      <c r="BC119" s="978"/>
      <c r="BD119" s="978"/>
      <c r="BE119" s="978"/>
      <c r="BF119" s="978"/>
      <c r="BG119" s="978"/>
      <c r="BH119" s="1014" t="str">
        <f>'8a-Weapons'!AR47</f>
        <v/>
      </c>
      <c r="BI119" s="1014"/>
      <c r="BJ119" s="1014"/>
      <c r="BK119" s="1014"/>
      <c r="BL119" s="1014"/>
      <c r="BM119" s="1014"/>
      <c r="BN119" s="1014"/>
      <c r="BO119" s="1014"/>
      <c r="BP119" s="1014"/>
      <c r="BQ119" s="1014"/>
      <c r="BR119" s="1014"/>
      <c r="BS119" s="1013" t="str">
        <f>'8a-Weapons'!AU132</f>
        <v/>
      </c>
      <c r="BT119" s="1013"/>
      <c r="BU119" s="1013"/>
      <c r="BV119" s="1013"/>
      <c r="BW119" s="1013"/>
      <c r="BX119" s="1013"/>
      <c r="BY119" s="1013"/>
      <c r="BZ119" s="1013"/>
      <c r="CA119" s="1013"/>
      <c r="CB119" s="1013"/>
      <c r="CC119" s="1013"/>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row>
    <row r="120" spans="1:126" ht="23" customHeight="1" thickBot="1">
      <c r="A120" s="979" t="s">
        <v>636</v>
      </c>
      <c r="B120" s="979"/>
      <c r="C120" s="979"/>
      <c r="D120" s="979"/>
      <c r="E120" s="979"/>
      <c r="F120" s="979"/>
      <c r="G120" s="979"/>
      <c r="H120" s="979"/>
      <c r="I120" s="979"/>
      <c r="J120" s="979"/>
      <c r="K120" s="979"/>
      <c r="L120" s="979"/>
      <c r="M120" s="979"/>
      <c r="N120" s="979"/>
      <c r="O120" s="979"/>
      <c r="P120" s="979"/>
      <c r="Q120" s="979"/>
      <c r="R120" s="979"/>
      <c r="S120" s="979"/>
      <c r="T120" s="979"/>
      <c r="U120" s="979"/>
      <c r="V120" s="979"/>
      <c r="W120" s="979"/>
      <c r="X120" s="979"/>
      <c r="Y120" s="979"/>
      <c r="Z120" s="979"/>
      <c r="AA120" s="979"/>
      <c r="AB120" s="979"/>
      <c r="AC120" s="979"/>
      <c r="AD120" s="979"/>
      <c r="AE120" s="979"/>
      <c r="AF120" s="979"/>
      <c r="AG120" s="979"/>
      <c r="AH120" s="979"/>
      <c r="AI120" s="979"/>
      <c r="AJ120" s="979"/>
      <c r="AK120" s="979"/>
      <c r="AL120" s="979"/>
      <c r="AM120" s="979"/>
      <c r="AN120" s="979"/>
      <c r="AO120" s="979"/>
      <c r="AP120" s="979"/>
      <c r="AQ120" s="979"/>
      <c r="AR120" s="979"/>
      <c r="AS120" s="979"/>
      <c r="AT120" s="979"/>
      <c r="AU120" s="979"/>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1016" t="str">
        <f>'8a-Weapons'!AS136</f>
        <v/>
      </c>
      <c r="B121" s="1016"/>
      <c r="C121" s="1016"/>
      <c r="D121" s="1016"/>
      <c r="E121" s="1016"/>
      <c r="F121" s="1016"/>
      <c r="G121" s="1016"/>
      <c r="H121" s="1016"/>
      <c r="I121" s="1016"/>
      <c r="J121" s="1016"/>
      <c r="K121" s="1016"/>
      <c r="L121" s="1016"/>
      <c r="M121" s="1016"/>
      <c r="N121" s="1016"/>
      <c r="O121" s="1016"/>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16"/>
      <c r="AJ121" s="1016"/>
      <c r="AK121" s="1016"/>
      <c r="AL121" s="1016"/>
      <c r="AM121" s="1016"/>
      <c r="AN121" s="1016"/>
      <c r="AO121" s="1016"/>
      <c r="AP121" s="1016"/>
      <c r="AQ121" s="1016"/>
      <c r="AR121" s="1016"/>
      <c r="AS121" s="1016"/>
      <c r="AT121" s="1016"/>
      <c r="AU121" s="1016"/>
      <c r="AV121" s="1015" t="str">
        <f>'8a-Weapons'!AW136</f>
        <v/>
      </c>
      <c r="AW121" s="1015"/>
      <c r="AX121" s="1015"/>
      <c r="AY121" s="1015"/>
      <c r="AZ121" s="1015"/>
      <c r="BA121" s="1015"/>
      <c r="BB121" s="1015"/>
      <c r="BC121" s="1015"/>
      <c r="BD121" s="1015"/>
      <c r="BE121" s="1015"/>
      <c r="BF121" s="1015"/>
      <c r="BG121" s="1015"/>
      <c r="BH121" s="1015" t="str">
        <f>'8a-Weapons'!AX136</f>
        <v>0DD (xK)</v>
      </c>
      <c r="BI121" s="1015"/>
      <c r="BJ121" s="1015"/>
      <c r="BK121" s="1015"/>
      <c r="BL121" s="1015"/>
      <c r="BM121" s="1015"/>
      <c r="BN121" s="1015"/>
      <c r="BO121" s="1015"/>
      <c r="BP121" s="1015"/>
      <c r="BQ121" s="1015"/>
      <c r="BR121" s="1015"/>
      <c r="BS121" s="1015" t="str">
        <f>'8a-Weapons'!AU136</f>
        <v/>
      </c>
      <c r="BT121" s="1015"/>
      <c r="BU121" s="1015"/>
      <c r="BV121" s="1015"/>
      <c r="BW121" s="1015"/>
      <c r="BX121" s="1015"/>
      <c r="BY121" s="1015"/>
      <c r="BZ121" s="1015"/>
      <c r="CA121" s="1015"/>
      <c r="CB121" s="1015"/>
      <c r="CC121" s="1015"/>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row>
    <row r="122" spans="1:126" ht="19">
      <c r="A122" s="757" t="str">
        <f>IF('Ship Info'!$B$4=0,"",'Ship Info'!$B$4)</f>
        <v/>
      </c>
      <c r="B122" s="757"/>
      <c r="C122" s="757"/>
      <c r="D122" s="757"/>
      <c r="E122" s="757"/>
      <c r="F122" s="757"/>
      <c r="G122" s="757"/>
      <c r="H122" s="757"/>
      <c r="I122" s="757"/>
      <c r="J122" s="757"/>
      <c r="K122" s="757"/>
      <c r="L122" s="757"/>
      <c r="M122" s="757"/>
      <c r="N122" s="757"/>
      <c r="O122" s="757"/>
      <c r="P122" s="757"/>
      <c r="Q122" s="757"/>
      <c r="R122" s="757"/>
      <c r="S122" s="757"/>
      <c r="T122" s="757"/>
      <c r="U122" s="757"/>
      <c r="V122" s="757"/>
      <c r="W122" s="757"/>
      <c r="X122" s="757"/>
      <c r="Y122" s="757"/>
      <c r="Z122" s="757"/>
      <c r="AA122" s="757"/>
      <c r="AB122" s="757"/>
      <c r="AC122" s="757"/>
      <c r="AD122" s="757"/>
      <c r="AE122" s="19"/>
      <c r="AF122" s="19"/>
      <c r="AG122" s="758" t="str">
        <f>IF('Ship Info'!$B$2=0,"",'Ship Info'!$B$2)</f>
        <v>Scout</v>
      </c>
      <c r="AH122" s="758"/>
      <c r="AI122" s="758"/>
      <c r="AJ122" s="758"/>
      <c r="AK122" s="758"/>
      <c r="AL122" s="758"/>
      <c r="AM122" s="758"/>
      <c r="AN122" s="758"/>
      <c r="AO122" s="758"/>
      <c r="AP122" s="758"/>
      <c r="AQ122" s="758"/>
      <c r="AR122" s="758"/>
      <c r="AS122" s="758"/>
      <c r="AT122" s="758"/>
      <c r="AU122" s="758"/>
      <c r="AV122" s="758"/>
      <c r="AW122" s="758"/>
      <c r="AX122" s="758"/>
      <c r="AY122" s="758"/>
      <c r="AZ122" s="758"/>
      <c r="BA122" s="758"/>
      <c r="BB122" s="758"/>
      <c r="BC122" s="758"/>
      <c r="BD122" s="758"/>
      <c r="BE122" s="758"/>
      <c r="BF122" s="758"/>
      <c r="BG122" s="758"/>
      <c r="BH122" s="758"/>
      <c r="BI122" s="758"/>
      <c r="BJ122" s="758"/>
      <c r="BK122" s="758"/>
      <c r="BL122" s="758"/>
      <c r="BM122" s="758"/>
      <c r="BN122" s="758"/>
      <c r="BO122" s="758"/>
      <c r="BP122" s="758"/>
      <c r="BQ122" s="758"/>
      <c r="BR122" s="758"/>
      <c r="BS122" s="758"/>
      <c r="BT122" s="758"/>
      <c r="BU122" s="758"/>
      <c r="BV122" s="758"/>
      <c r="BW122" s="758"/>
      <c r="BX122" s="758"/>
      <c r="BY122" s="758"/>
      <c r="BZ122" s="758"/>
      <c r="CA122" s="19"/>
      <c r="CB122" s="19"/>
      <c r="CC122" s="758" t="str">
        <f>IF('Ship Info'!$B$1=0,"",'Ship Info'!$B$1)</f>
        <v>Survey and Exploration Ship</v>
      </c>
      <c r="CD122" s="758"/>
      <c r="CE122" s="758"/>
      <c r="CF122" s="758"/>
      <c r="CG122" s="758"/>
      <c r="CH122" s="758"/>
      <c r="CI122" s="758"/>
      <c r="CJ122" s="758"/>
      <c r="CK122" s="758"/>
      <c r="CL122" s="758"/>
      <c r="CM122" s="758"/>
      <c r="CN122" s="758"/>
      <c r="CO122" s="758"/>
      <c r="CP122" s="758"/>
      <c r="CQ122" s="758"/>
      <c r="CR122" s="758"/>
      <c r="CS122" s="758"/>
      <c r="CT122" s="758"/>
      <c r="CU122" s="758"/>
      <c r="CV122" s="758"/>
      <c r="CW122" s="758"/>
      <c r="CX122" s="758"/>
      <c r="CY122" s="758"/>
      <c r="CZ122" s="758"/>
      <c r="DA122" s="758"/>
      <c r="DB122" s="758"/>
      <c r="DC122" s="758"/>
      <c r="DD122" s="758"/>
      <c r="DE122" s="758"/>
      <c r="DF122" s="758"/>
      <c r="DG122" s="758"/>
      <c r="DH122" s="758"/>
      <c r="DI122" s="758"/>
      <c r="DJ122" s="758"/>
      <c r="DK122" s="758"/>
      <c r="DL122" s="758"/>
      <c r="DM122" s="758"/>
      <c r="DN122" s="758"/>
      <c r="DO122" s="758"/>
      <c r="DP122" s="758"/>
      <c r="DQ122" s="758"/>
      <c r="DR122" s="758"/>
      <c r="DS122" s="758"/>
      <c r="DT122" s="758"/>
      <c r="DU122" s="758"/>
    </row>
    <row r="123" spans="1:126">
      <c r="A123" s="761" t="str">
        <f>"Armor: "&amp;'1-Hull'!$D$9&amp;""&amp;IF('1-Hull'!$AB$34=TRUE,"/"&amp;'1-Hull'!$D$9+3&amp;" vs. Lasers","")</f>
        <v>Armor: 0</v>
      </c>
      <c r="B123" s="761"/>
      <c r="C123" s="761"/>
      <c r="D123" s="761"/>
      <c r="E123" s="761"/>
      <c r="F123" s="761"/>
      <c r="G123" s="761"/>
      <c r="H123" s="761"/>
      <c r="I123" s="761"/>
      <c r="J123" s="761"/>
      <c r="K123" s="761"/>
      <c r="L123" s="761"/>
      <c r="M123" s="761"/>
      <c r="N123" s="761"/>
      <c r="O123" s="761"/>
      <c r="P123" s="761"/>
      <c r="Q123" s="761"/>
      <c r="R123" s="761"/>
      <c r="S123" s="761"/>
      <c r="T123" s="761"/>
      <c r="U123" s="19"/>
      <c r="V123" s="762" t="str">
        <f>IF('1-Hull'!$AB$46=TRUE,"Rad Shields: Rads - 1000","")</f>
        <v>Rad Shields: Rads - 1000</v>
      </c>
      <c r="W123" s="762"/>
      <c r="X123" s="762"/>
      <c r="Y123" s="762"/>
      <c r="Z123" s="762"/>
      <c r="AA123" s="762"/>
      <c r="AB123" s="762"/>
      <c r="AC123" s="762"/>
      <c r="AD123" s="762"/>
      <c r="AE123" s="762"/>
      <c r="AF123" s="762"/>
      <c r="AG123" s="762"/>
      <c r="AH123" s="762"/>
      <c r="AI123" s="762"/>
      <c r="AJ123" s="762"/>
      <c r="AK123" s="762"/>
      <c r="AL123" s="762"/>
      <c r="AM123" s="762"/>
      <c r="AN123" s="762"/>
      <c r="AO123" s="19"/>
      <c r="AP123" s="761" t="str">
        <f>IF('1-Hull'!$AB$33=TRUE,"Stealth: Sensors-2",IF('1-Hull'!$AB$34=TRUE,"Stealth: Sensors-2",IF('1-Hull'!$AB$35=TRUE,"Stealth: Sensors-4",IF('1-Hull'!$AB$36=TRUE,"Stealth: Sensors-6",""))))</f>
        <v/>
      </c>
      <c r="AQ123" s="761"/>
      <c r="AR123" s="761"/>
      <c r="AS123" s="761"/>
      <c r="AT123" s="761"/>
      <c r="AU123" s="761"/>
      <c r="AV123" s="761"/>
      <c r="AW123" s="761"/>
      <c r="AX123" s="761"/>
      <c r="AY123" s="761"/>
      <c r="AZ123" s="761"/>
      <c r="BA123" s="761"/>
      <c r="BB123" s="761"/>
      <c r="BC123" s="761"/>
      <c r="BD123" s="761"/>
      <c r="BE123" s="761"/>
      <c r="BF123" s="19"/>
      <c r="BG123" s="19" t="str">
        <f>'5-Bridge'!$S$22</f>
        <v>Bridge: No Modifiers</v>
      </c>
      <c r="BH123" s="19"/>
      <c r="BI123" s="19"/>
      <c r="BJ123" s="19"/>
      <c r="BK123" s="19"/>
      <c r="BL123" s="19"/>
      <c r="BM123" s="19"/>
      <c r="BN123" s="19"/>
      <c r="BO123" s="19"/>
      <c r="BP123" s="19"/>
      <c r="BQ123" s="19"/>
      <c r="BR123" s="19"/>
      <c r="BS123" s="19"/>
      <c r="BT123" s="19"/>
      <c r="BU123" s="19"/>
      <c r="BV123" s="19"/>
      <c r="BW123" s="19"/>
      <c r="BX123" s="19"/>
      <c r="BY123" s="19"/>
      <c r="BZ123" s="762" t="str">
        <f>"TL: "&amp;Tech_Level</f>
        <v>TL: 14</v>
      </c>
      <c r="CA123" s="762"/>
      <c r="CB123" s="762"/>
      <c r="CC123" s="762"/>
      <c r="CD123" s="762"/>
      <c r="CE123" s="762"/>
      <c r="CF123" s="762"/>
      <c r="CG123" s="762"/>
      <c r="CH123" s="762"/>
      <c r="CI123" s="19"/>
      <c r="CJ123" s="19"/>
      <c r="CK123" s="19"/>
      <c r="CL123" s="761" t="str">
        <f>"Thrust: "&amp;'2-Drives'!$D$11&amp;IF('2-Drives'!$B$11='2-Drives'!$S$4,", "&amp;'4-Fuel'!$D$8&amp;" Thrust Points","")</f>
        <v>Thrust: 2</v>
      </c>
      <c r="CM123" s="761"/>
      <c r="CN123" s="761"/>
      <c r="CO123" s="761"/>
      <c r="CP123" s="761"/>
      <c r="CQ123" s="761"/>
      <c r="CR123" s="761"/>
      <c r="CS123" s="761"/>
      <c r="CT123" s="761"/>
      <c r="CU123" s="761"/>
      <c r="CV123" s="761"/>
      <c r="CW123" s="761"/>
      <c r="CX123" s="761"/>
      <c r="CY123" s="761"/>
      <c r="CZ123" s="761"/>
      <c r="DA123" s="761"/>
      <c r="DB123" s="761"/>
      <c r="DC123" s="761"/>
      <c r="DD123" s="761"/>
      <c r="DE123" s="761"/>
      <c r="DF123" s="761"/>
      <c r="DG123" s="761"/>
      <c r="DH123" s="761"/>
      <c r="DI123" s="761"/>
      <c r="DJ123" s="761"/>
      <c r="DK123" s="19"/>
      <c r="DL123" s="19" t="str">
        <f>"Jump?"&amp;IF('2-Drives'!$D$25&gt;0," Y"," N")</f>
        <v>Jump? Y</v>
      </c>
      <c r="DM123" s="19"/>
      <c r="DN123" s="19"/>
      <c r="DO123" s="19"/>
      <c r="DP123" s="19"/>
      <c r="DQ123" s="19"/>
      <c r="DR123" s="19"/>
      <c r="DS123" s="19"/>
      <c r="DT123" s="19"/>
      <c r="DU123" s="19"/>
    </row>
    <row r="124" spans="1:126" ht="16" thickBot="1">
      <c r="A124" s="759" t="str">
        <f>"Hull Points: "&amp;'1-Hull'!$D$7</f>
        <v>Hull Points: 400</v>
      </c>
      <c r="B124" s="759"/>
      <c r="C124" s="759"/>
      <c r="D124" s="759"/>
      <c r="E124" s="759"/>
      <c r="F124" s="759"/>
      <c r="G124" s="759"/>
      <c r="H124" s="759"/>
      <c r="I124" s="759"/>
      <c r="J124" s="759"/>
      <c r="K124" s="759"/>
      <c r="L124" s="759"/>
      <c r="M124" s="759"/>
      <c r="N124" s="759"/>
      <c r="O124" s="759"/>
      <c r="P124" s="759"/>
      <c r="Q124" s="759"/>
      <c r="R124" s="759"/>
      <c r="S124" s="759"/>
      <c r="T124" s="759"/>
      <c r="U124" s="362"/>
      <c r="V124" s="362"/>
      <c r="W124" s="362"/>
      <c r="X124" s="760" t="str">
        <f>"Hull Size: "&amp;'1-Hull'!$B$4&amp;" tons"</f>
        <v>Hull Size: 1000 tons</v>
      </c>
      <c r="Y124" s="760"/>
      <c r="Z124" s="760"/>
      <c r="AA124" s="760"/>
      <c r="AB124" s="760"/>
      <c r="AC124" s="760"/>
      <c r="AD124" s="760"/>
      <c r="AE124" s="760"/>
      <c r="AF124" s="760"/>
      <c r="AG124" s="760"/>
      <c r="AH124" s="760"/>
      <c r="AI124" s="760"/>
      <c r="AJ124" s="760"/>
      <c r="AK124" s="760"/>
      <c r="AL124" s="760"/>
      <c r="AM124" s="760"/>
      <c r="AN124" s="760"/>
      <c r="AO124" s="760"/>
      <c r="AP124" s="760"/>
      <c r="AQ124" s="760"/>
      <c r="AR124" s="760"/>
      <c r="AS124" s="760"/>
      <c r="AT124" s="760"/>
      <c r="AU124" s="760"/>
      <c r="AV124" s="760"/>
      <c r="AW124" s="760"/>
      <c r="AX124" s="760"/>
      <c r="AY124" s="362"/>
      <c r="AZ124" s="760" t="str">
        <f>"Configuration: "&amp;'1-Hull'!$B$6</f>
        <v>Configuration: Needle</v>
      </c>
      <c r="BA124" s="760"/>
      <c r="BB124" s="760"/>
      <c r="BC124" s="760"/>
      <c r="BD124" s="760"/>
      <c r="BE124" s="760"/>
      <c r="BF124" s="760"/>
      <c r="BG124" s="760"/>
      <c r="BH124" s="760"/>
      <c r="BI124" s="760"/>
      <c r="BJ124" s="760"/>
      <c r="BK124" s="760"/>
      <c r="BL124" s="760"/>
      <c r="BM124" s="760"/>
      <c r="BN124" s="760"/>
      <c r="BO124" s="760"/>
      <c r="BP124" s="760"/>
      <c r="BQ124" s="760"/>
      <c r="BR124" s="760"/>
      <c r="BS124" s="760"/>
      <c r="BT124" s="760"/>
      <c r="BU124" s="760"/>
      <c r="BV124" s="760"/>
      <c r="BW124" s="760"/>
      <c r="BX124" s="362"/>
      <c r="BY124" s="760" t="str">
        <f>"Streamlining: "&amp;'1-Hull'!$B$7&amp;'1-Hull'!$T$64</f>
        <v>Streamlining: Streamlined/Atm+2</v>
      </c>
      <c r="BZ124" s="760"/>
      <c r="CA124" s="760"/>
      <c r="CB124" s="760"/>
      <c r="CC124" s="760"/>
      <c r="CD124" s="760"/>
      <c r="CE124" s="760"/>
      <c r="CF124" s="760"/>
      <c r="CG124" s="760"/>
      <c r="CH124" s="760"/>
      <c r="CI124" s="760"/>
      <c r="CJ124" s="760"/>
      <c r="CK124" s="760"/>
      <c r="CL124" s="760"/>
      <c r="CM124" s="760"/>
      <c r="CN124" s="760"/>
      <c r="CO124" s="760"/>
      <c r="CP124" s="760"/>
      <c r="CQ124" s="760"/>
      <c r="CR124" s="760"/>
      <c r="CS124" s="760"/>
      <c r="CT124" s="760"/>
      <c r="CU124" s="760"/>
      <c r="CV124" s="760"/>
      <c r="CW124" s="760"/>
      <c r="CX124" s="760"/>
      <c r="CY124" s="760"/>
      <c r="CZ124" s="760"/>
      <c r="DA124" s="760"/>
      <c r="DB124" s="362"/>
      <c r="DC124" s="763" t="s">
        <v>667</v>
      </c>
      <c r="DD124" s="763"/>
      <c r="DE124" s="763"/>
      <c r="DF124" s="763"/>
      <c r="DG124" s="763"/>
      <c r="DH124" s="763"/>
      <c r="DI124" s="763" t="str">
        <f>'10-Crew'!$E$5&amp;""&amp;IF('10-Crew'!$E$7=0,"","/"&amp;'10-Crew'!$E$7)</f>
        <v>54</v>
      </c>
      <c r="DJ124" s="763"/>
      <c r="DK124" s="763"/>
      <c r="DL124" s="763"/>
      <c r="DM124" s="763"/>
      <c r="DN124" s="763"/>
      <c r="DO124" s="763"/>
      <c r="DP124" s="763"/>
      <c r="DQ124" s="763"/>
      <c r="DR124" s="763"/>
      <c r="DS124" s="763"/>
      <c r="DT124" s="763"/>
      <c r="DU124" s="362"/>
      <c r="DV124" s="304"/>
    </row>
    <row r="125" spans="1:126" ht="14.25" customHeight="1" thickBot="1">
      <c r="A125" s="614" t="s">
        <v>408</v>
      </c>
      <c r="B125" s="614"/>
      <c r="C125" s="614"/>
      <c r="D125" s="614"/>
      <c r="E125" s="614"/>
      <c r="F125" s="614"/>
      <c r="G125" s="614"/>
      <c r="H125" s="614"/>
      <c r="I125" s="614"/>
      <c r="J125" s="614"/>
      <c r="K125" s="614"/>
      <c r="L125" s="614"/>
      <c r="M125" s="614"/>
      <c r="N125" s="615"/>
      <c r="O125" s="605" t="s">
        <v>699</v>
      </c>
      <c r="P125" s="605"/>
      <c r="Q125" s="605"/>
      <c r="R125" s="605"/>
      <c r="S125" s="605" t="s">
        <v>123</v>
      </c>
      <c r="T125" s="605"/>
      <c r="U125" s="605"/>
      <c r="V125" s="605"/>
      <c r="W125" s="605"/>
      <c r="X125" s="605"/>
      <c r="Y125" s="605"/>
      <c r="Z125" s="605"/>
      <c r="AA125" s="605"/>
      <c r="AB125" s="605"/>
      <c r="AC125" s="605"/>
      <c r="AD125" s="605"/>
      <c r="AE125" s="605"/>
      <c r="AF125" s="605"/>
      <c r="AG125" s="639"/>
      <c r="AH125" s="602" t="s">
        <v>582</v>
      </c>
      <c r="AI125" s="602"/>
      <c r="AJ125" s="602"/>
      <c r="AK125" s="602"/>
      <c r="AL125" s="602"/>
      <c r="AM125" s="602"/>
      <c r="AN125" s="602"/>
      <c r="AO125" s="602"/>
      <c r="AP125" s="602"/>
      <c r="AQ125" s="602"/>
      <c r="AR125" s="602" t="str">
        <f>"Sensors (x"&amp;'7-Sensors'!C13&amp;")"</f>
        <v>Sensors (x1)</v>
      </c>
      <c r="AS125" s="602"/>
      <c r="AT125" s="602"/>
      <c r="AU125" s="602"/>
      <c r="AV125" s="602"/>
      <c r="AW125" s="602"/>
      <c r="AX125" s="602"/>
      <c r="AY125" s="602"/>
      <c r="AZ125" s="602"/>
      <c r="BA125" s="602"/>
      <c r="BB125" s="1045" t="s">
        <v>1673</v>
      </c>
      <c r="BC125" s="1046"/>
      <c r="BD125" s="1046"/>
      <c r="BE125" s="1046"/>
      <c r="BF125" s="1046"/>
      <c r="BG125" s="1046"/>
      <c r="BH125" s="1046"/>
      <c r="BI125" s="1046"/>
      <c r="BJ125" s="1046"/>
      <c r="BK125" s="1046"/>
      <c r="BL125" s="1046"/>
      <c r="BM125" s="1046"/>
      <c r="BN125" s="785"/>
      <c r="BO125" s="918"/>
      <c r="BP125" s="919"/>
      <c r="BQ125" s="919"/>
      <c r="BR125" s="919"/>
      <c r="BS125" s="919"/>
      <c r="BT125" s="919"/>
      <c r="BU125" s="919"/>
      <c r="BV125" s="919"/>
      <c r="BW125" s="919"/>
      <c r="BX125" s="919"/>
      <c r="BY125" s="919"/>
      <c r="BZ125" s="919"/>
      <c r="CA125" s="919"/>
      <c r="CB125" s="919"/>
      <c r="CC125" s="919"/>
      <c r="CD125" s="919"/>
      <c r="CE125" s="919"/>
      <c r="CF125" s="919"/>
      <c r="CG125" s="919"/>
      <c r="CH125" s="919"/>
      <c r="CI125" s="919"/>
      <c r="CJ125" s="919"/>
      <c r="CK125" s="919"/>
      <c r="CL125" s="919"/>
      <c r="CM125" s="919"/>
      <c r="CN125" s="919"/>
      <c r="CO125" s="919"/>
      <c r="CP125" s="919"/>
      <c r="CQ125" s="919"/>
      <c r="CR125" s="919"/>
      <c r="CS125" s="919"/>
      <c r="CT125" s="919"/>
      <c r="CU125" s="919"/>
      <c r="CV125" s="919"/>
      <c r="CW125" s="919"/>
      <c r="CX125" s="919"/>
      <c r="CY125" s="919"/>
      <c r="CZ125" s="919"/>
      <c r="DA125" s="919"/>
      <c r="DB125" s="919"/>
      <c r="DC125" s="919"/>
      <c r="DD125" s="919"/>
      <c r="DE125" s="919"/>
      <c r="DF125" s="919"/>
      <c r="DG125" s="919"/>
      <c r="DH125" s="919"/>
      <c r="DI125" s="919"/>
      <c r="DJ125" s="919"/>
      <c r="DK125" s="919"/>
      <c r="DL125" s="919"/>
      <c r="DM125" s="919"/>
      <c r="DN125" s="919"/>
      <c r="DO125" s="919"/>
      <c r="DP125" s="919"/>
      <c r="DQ125" s="919"/>
      <c r="DR125" s="919"/>
      <c r="DS125" s="919"/>
      <c r="DT125" s="919"/>
      <c r="DU125" s="919"/>
      <c r="DV125" s="920"/>
    </row>
    <row r="126" spans="1:126">
      <c r="A126" s="616" t="str">
        <f>'8b-Screens'!B9</f>
        <v>Nuclear Damper</v>
      </c>
      <c r="B126" s="606"/>
      <c r="C126" s="606"/>
      <c r="D126" s="606"/>
      <c r="E126" s="606"/>
      <c r="F126" s="606"/>
      <c r="G126" s="606"/>
      <c r="H126" s="606"/>
      <c r="I126" s="606"/>
      <c r="J126" s="606"/>
      <c r="K126" s="606"/>
      <c r="L126" s="606"/>
      <c r="M126" s="606"/>
      <c r="N126" s="606"/>
      <c r="O126" s="606">
        <f>'8b-Screens'!E9</f>
        <v>0</v>
      </c>
      <c r="P126" s="606"/>
      <c r="Q126" s="606"/>
      <c r="R126" s="606"/>
      <c r="S126" s="606" t="str">
        <f>'8b-Screens'!T60</f>
        <v xml:space="preserve">  </v>
      </c>
      <c r="T126" s="606"/>
      <c r="U126" s="606"/>
      <c r="V126" s="606"/>
      <c r="W126" s="606"/>
      <c r="X126" s="606"/>
      <c r="Y126" s="606"/>
      <c r="Z126" s="606"/>
      <c r="AA126" s="606"/>
      <c r="AB126" s="606"/>
      <c r="AC126" s="606"/>
      <c r="AD126" s="606"/>
      <c r="AE126" s="606"/>
      <c r="AF126" s="606"/>
      <c r="AG126" s="640"/>
      <c r="AH126" s="586" t="s">
        <v>700</v>
      </c>
      <c r="AI126" s="587"/>
      <c r="AJ126" s="587"/>
      <c r="AK126" s="587"/>
      <c r="AL126" s="587"/>
      <c r="AM126" s="587"/>
      <c r="AN126" s="598" t="str">
        <f>'6-Comp'!Y5</f>
        <v>Bsc+1</v>
      </c>
      <c r="AO126" s="598"/>
      <c r="AP126" s="598"/>
      <c r="AQ126" s="599"/>
      <c r="AR126" s="586" t="s">
        <v>709</v>
      </c>
      <c r="AS126" s="587"/>
      <c r="AT126" s="587"/>
      <c r="AU126" s="587"/>
      <c r="AV126" s="587"/>
      <c r="AW126" s="587"/>
      <c r="AX126" s="598" t="str">
        <f>'7-Sensors'!T24</f>
        <v>+1</v>
      </c>
      <c r="AY126" s="598"/>
      <c r="AZ126" s="598"/>
      <c r="BA126" s="599"/>
      <c r="BB126" s="912"/>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c r="CU126" s="913"/>
      <c r="CV126" s="913"/>
      <c r="CW126" s="913"/>
      <c r="CX126" s="913"/>
      <c r="CY126" s="913"/>
      <c r="CZ126" s="913"/>
      <c r="DA126" s="913"/>
      <c r="DB126" s="913"/>
      <c r="DC126" s="913"/>
      <c r="DD126" s="913"/>
      <c r="DE126" s="913"/>
      <c r="DF126" s="913"/>
      <c r="DG126" s="913"/>
      <c r="DH126" s="913"/>
      <c r="DI126" s="913"/>
      <c r="DJ126" s="913"/>
      <c r="DK126" s="913"/>
      <c r="DL126" s="913"/>
      <c r="DM126" s="913"/>
      <c r="DN126" s="913"/>
      <c r="DO126" s="913"/>
      <c r="DP126" s="913"/>
      <c r="DQ126" s="913"/>
      <c r="DR126" s="913"/>
      <c r="DS126" s="913"/>
      <c r="DT126" s="913"/>
      <c r="DU126" s="913"/>
      <c r="DV126" s="914"/>
    </row>
    <row r="127" spans="1:126">
      <c r="A127" s="617" t="str">
        <f>'8b-Screens'!B14</f>
        <v>Deflector Screens</v>
      </c>
      <c r="B127" s="578"/>
      <c r="C127" s="578"/>
      <c r="D127" s="578"/>
      <c r="E127" s="578"/>
      <c r="F127" s="578"/>
      <c r="G127" s="578"/>
      <c r="H127" s="578"/>
      <c r="I127" s="578"/>
      <c r="J127" s="578"/>
      <c r="K127" s="578"/>
      <c r="L127" s="578"/>
      <c r="M127" s="578"/>
      <c r="N127" s="578"/>
      <c r="O127" s="578">
        <f>'8b-Screens'!E14</f>
        <v>0</v>
      </c>
      <c r="P127" s="578"/>
      <c r="Q127" s="578"/>
      <c r="R127" s="578"/>
      <c r="S127" s="578" t="str">
        <f>'8b-Screens'!V60</f>
        <v xml:space="preserve"> CS -1 </v>
      </c>
      <c r="T127" s="578"/>
      <c r="U127" s="578"/>
      <c r="V127" s="578"/>
      <c r="W127" s="578"/>
      <c r="X127" s="578"/>
      <c r="Y127" s="578"/>
      <c r="Z127" s="578"/>
      <c r="AA127" s="578"/>
      <c r="AB127" s="578"/>
      <c r="AC127" s="578"/>
      <c r="AD127" s="578"/>
      <c r="AE127" s="578"/>
      <c r="AF127" s="578"/>
      <c r="AG127" s="579"/>
      <c r="AH127" s="600" t="s">
        <v>705</v>
      </c>
      <c r="AI127" s="601"/>
      <c r="AJ127" s="601"/>
      <c r="AK127" s="601"/>
      <c r="AL127" s="601"/>
      <c r="AM127" s="601"/>
      <c r="AN127" s="578" t="str">
        <f>'6-Comp'!Y6</f>
        <v>+1</v>
      </c>
      <c r="AO127" s="578"/>
      <c r="AP127" s="578"/>
      <c r="AQ127" s="579"/>
      <c r="AR127" s="600" t="s">
        <v>710</v>
      </c>
      <c r="AS127" s="601"/>
      <c r="AT127" s="601"/>
      <c r="AU127" s="601"/>
      <c r="AV127" s="601"/>
      <c r="AW127" s="601"/>
      <c r="AX127" s="578" t="str">
        <f>'7-Sensors'!T25</f>
        <v>0</v>
      </c>
      <c r="AY127" s="578"/>
      <c r="AZ127" s="578"/>
      <c r="BA127" s="579"/>
      <c r="BB127" s="912"/>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c r="CU127" s="913"/>
      <c r="CV127" s="913"/>
      <c r="CW127" s="913"/>
      <c r="CX127" s="913"/>
      <c r="CY127" s="913"/>
      <c r="CZ127" s="913"/>
      <c r="DA127" s="913"/>
      <c r="DB127" s="913"/>
      <c r="DC127" s="913"/>
      <c r="DD127" s="913"/>
      <c r="DE127" s="913"/>
      <c r="DF127" s="913"/>
      <c r="DG127" s="913"/>
      <c r="DH127" s="913"/>
      <c r="DI127" s="913"/>
      <c r="DJ127" s="913"/>
      <c r="DK127" s="913"/>
      <c r="DL127" s="913"/>
      <c r="DM127" s="913"/>
      <c r="DN127" s="913"/>
      <c r="DO127" s="913"/>
      <c r="DP127" s="913"/>
      <c r="DQ127" s="913"/>
      <c r="DR127" s="913"/>
      <c r="DS127" s="913"/>
      <c r="DT127" s="913"/>
      <c r="DU127" s="913"/>
      <c r="DV127" s="914"/>
    </row>
    <row r="128" spans="1:126">
      <c r="A128" s="617" t="str">
        <f>'8b-Screens'!B19</f>
        <v/>
      </c>
      <c r="B128" s="578"/>
      <c r="C128" s="578"/>
      <c r="D128" s="578"/>
      <c r="E128" s="578"/>
      <c r="F128" s="578"/>
      <c r="G128" s="578"/>
      <c r="H128" s="578"/>
      <c r="I128" s="578"/>
      <c r="J128" s="578"/>
      <c r="K128" s="578"/>
      <c r="L128" s="578"/>
      <c r="M128" s="578"/>
      <c r="N128" s="578"/>
      <c r="O128" s="578">
        <f>'8b-Screens'!E19</f>
        <v>0</v>
      </c>
      <c r="P128" s="578"/>
      <c r="Q128" s="578"/>
      <c r="R128" s="578"/>
      <c r="S128" s="578" t="str">
        <f>'8b-Screens'!X60</f>
        <v xml:space="preserve">  </v>
      </c>
      <c r="T128" s="578"/>
      <c r="U128" s="578"/>
      <c r="V128" s="578"/>
      <c r="W128" s="578"/>
      <c r="X128" s="578"/>
      <c r="Y128" s="578"/>
      <c r="Z128" s="578"/>
      <c r="AA128" s="578"/>
      <c r="AB128" s="578"/>
      <c r="AC128" s="578"/>
      <c r="AD128" s="578"/>
      <c r="AE128" s="578"/>
      <c r="AF128" s="578"/>
      <c r="AG128" s="579"/>
      <c r="AH128" s="600" t="s">
        <v>708</v>
      </c>
      <c r="AI128" s="601"/>
      <c r="AJ128" s="601"/>
      <c r="AK128" s="601"/>
      <c r="AL128" s="601"/>
      <c r="AM128" s="601"/>
      <c r="AN128" s="578" t="str">
        <f>'6-Comp'!Y7</f>
        <v>N/A</v>
      </c>
      <c r="AO128" s="578"/>
      <c r="AP128" s="578"/>
      <c r="AQ128" s="579"/>
      <c r="AR128" s="600" t="s">
        <v>711</v>
      </c>
      <c r="AS128" s="601"/>
      <c r="AT128" s="601"/>
      <c r="AU128" s="601"/>
      <c r="AV128" s="601"/>
      <c r="AW128" s="601"/>
      <c r="AX128" s="578" t="str">
        <f>'7-Sensors'!T26</f>
        <v>+4</v>
      </c>
      <c r="AY128" s="578"/>
      <c r="AZ128" s="578"/>
      <c r="BA128" s="579"/>
      <c r="BB128" s="912"/>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c r="CU128" s="913"/>
      <c r="CV128" s="913"/>
      <c r="CW128" s="913"/>
      <c r="CX128" s="913"/>
      <c r="CY128" s="913"/>
      <c r="CZ128" s="913"/>
      <c r="DA128" s="913"/>
      <c r="DB128" s="913"/>
      <c r="DC128" s="913"/>
      <c r="DD128" s="913"/>
      <c r="DE128" s="913"/>
      <c r="DF128" s="913"/>
      <c r="DG128" s="913"/>
      <c r="DH128" s="913"/>
      <c r="DI128" s="913"/>
      <c r="DJ128" s="913"/>
      <c r="DK128" s="913"/>
      <c r="DL128" s="913"/>
      <c r="DM128" s="913"/>
      <c r="DN128" s="913"/>
      <c r="DO128" s="913"/>
      <c r="DP128" s="913"/>
      <c r="DQ128" s="913"/>
      <c r="DR128" s="913"/>
      <c r="DS128" s="913"/>
      <c r="DT128" s="913"/>
      <c r="DU128" s="913"/>
      <c r="DV128" s="914"/>
    </row>
    <row r="129" spans="1:126" ht="16" thickBot="1">
      <c r="A129" s="617" t="str">
        <f>'8b-Screens'!B24</f>
        <v/>
      </c>
      <c r="B129" s="578"/>
      <c r="C129" s="578"/>
      <c r="D129" s="578"/>
      <c r="E129" s="578"/>
      <c r="F129" s="578"/>
      <c r="G129" s="578"/>
      <c r="H129" s="578"/>
      <c r="I129" s="578"/>
      <c r="J129" s="578"/>
      <c r="K129" s="578"/>
      <c r="L129" s="578"/>
      <c r="M129" s="578"/>
      <c r="N129" s="578"/>
      <c r="O129" s="578">
        <f>'8b-Screens'!E24</f>
        <v>0</v>
      </c>
      <c r="P129" s="578"/>
      <c r="Q129" s="578"/>
      <c r="R129" s="578"/>
      <c r="S129" s="578" t="str">
        <f>'8b-Screens'!Z60</f>
        <v xml:space="preserve">  </v>
      </c>
      <c r="T129" s="578"/>
      <c r="U129" s="578"/>
      <c r="V129" s="578"/>
      <c r="W129" s="578"/>
      <c r="X129" s="578"/>
      <c r="Y129" s="578"/>
      <c r="Z129" s="578"/>
      <c r="AA129" s="578"/>
      <c r="AB129" s="578"/>
      <c r="AC129" s="578"/>
      <c r="AD129" s="578"/>
      <c r="AE129" s="578"/>
      <c r="AF129" s="578"/>
      <c r="AG129" s="579"/>
      <c r="AH129" s="600" t="s">
        <v>253</v>
      </c>
      <c r="AI129" s="601"/>
      <c r="AJ129" s="601"/>
      <c r="AK129" s="601"/>
      <c r="AL129" s="601"/>
      <c r="AM129" s="601"/>
      <c r="AN129" s="578" t="str">
        <f>'6-Comp'!Y8</f>
        <v>-1</v>
      </c>
      <c r="AO129" s="578"/>
      <c r="AP129" s="578"/>
      <c r="AQ129" s="579"/>
      <c r="AR129" s="580" t="s">
        <v>712</v>
      </c>
      <c r="AS129" s="581"/>
      <c r="AT129" s="581"/>
      <c r="AU129" s="581"/>
      <c r="AV129" s="581"/>
      <c r="AW129" s="581"/>
      <c r="AX129" s="604" t="str">
        <f>'7-Sensors'!T27</f>
        <v>+Rng</v>
      </c>
      <c r="AY129" s="604"/>
      <c r="AZ129" s="604"/>
      <c r="BA129" s="626"/>
      <c r="BB129" s="912"/>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c r="CU129" s="913"/>
      <c r="CV129" s="913"/>
      <c r="CW129" s="913"/>
      <c r="CX129" s="913"/>
      <c r="CY129" s="913"/>
      <c r="CZ129" s="913"/>
      <c r="DA129" s="913"/>
      <c r="DB129" s="913"/>
      <c r="DC129" s="913"/>
      <c r="DD129" s="913"/>
      <c r="DE129" s="913"/>
      <c r="DF129" s="913"/>
      <c r="DG129" s="913"/>
      <c r="DH129" s="913"/>
      <c r="DI129" s="913"/>
      <c r="DJ129" s="913"/>
      <c r="DK129" s="913"/>
      <c r="DL129" s="913"/>
      <c r="DM129" s="913"/>
      <c r="DN129" s="913"/>
      <c r="DO129" s="913"/>
      <c r="DP129" s="913"/>
      <c r="DQ129" s="913"/>
      <c r="DR129" s="913"/>
      <c r="DS129" s="913"/>
      <c r="DT129" s="913"/>
      <c r="DU129" s="913"/>
      <c r="DV129" s="914"/>
    </row>
    <row r="130" spans="1:126">
      <c r="A130" s="617" t="str">
        <f>IF('8b-Screens'!D34=0,"","Grav Shielding")</f>
        <v/>
      </c>
      <c r="B130" s="578"/>
      <c r="C130" s="578"/>
      <c r="D130" s="578"/>
      <c r="E130" s="578"/>
      <c r="F130" s="578"/>
      <c r="G130" s="578"/>
      <c r="H130" s="578"/>
      <c r="I130" s="578"/>
      <c r="J130" s="578"/>
      <c r="K130" s="578"/>
      <c r="L130" s="578"/>
      <c r="M130" s="578"/>
      <c r="N130" s="578"/>
      <c r="O130" s="582" t="str">
        <f>INDEX('8b-Screens'!T64:V70,MATCH('8b-Screens'!D34,'8b-Screens'!T64:T70,0),3)</f>
        <v/>
      </c>
      <c r="P130" s="582"/>
      <c r="Q130" s="582"/>
      <c r="R130" s="582"/>
      <c r="S130" s="582" t="str">
        <f>'8b-Screens'!Y52</f>
        <v xml:space="preserve">  </v>
      </c>
      <c r="T130" s="582"/>
      <c r="U130" s="582"/>
      <c r="V130" s="582"/>
      <c r="W130" s="582"/>
      <c r="X130" s="582"/>
      <c r="Y130" s="582"/>
      <c r="Z130" s="582"/>
      <c r="AA130" s="582"/>
      <c r="AB130" s="582"/>
      <c r="AC130" s="582"/>
      <c r="AD130" s="582"/>
      <c r="AE130" s="582"/>
      <c r="AF130" s="582"/>
      <c r="AG130" s="583"/>
      <c r="AH130" s="600" t="s">
        <v>703</v>
      </c>
      <c r="AI130" s="601"/>
      <c r="AJ130" s="601"/>
      <c r="AK130" s="601"/>
      <c r="AL130" s="601"/>
      <c r="AM130" s="601"/>
      <c r="AN130" s="578" t="str">
        <f>'6-Comp'!Y9</f>
        <v>N/A</v>
      </c>
      <c r="AO130" s="578"/>
      <c r="AP130" s="578"/>
      <c r="AQ130" s="579"/>
      <c r="AS130" s="575" t="s">
        <v>756</v>
      </c>
      <c r="AT130" s="576"/>
      <c r="AU130" s="576"/>
      <c r="AV130" s="576"/>
      <c r="AW130" s="576"/>
      <c r="AX130" s="576"/>
      <c r="AY130" s="576"/>
      <c r="AZ130" s="576"/>
      <c r="BA130" s="577"/>
      <c r="BB130" s="912"/>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c r="CU130" s="913"/>
      <c r="CV130" s="913"/>
      <c r="CW130" s="913"/>
      <c r="CX130" s="913"/>
      <c r="CY130" s="913"/>
      <c r="CZ130" s="913"/>
      <c r="DA130" s="913"/>
      <c r="DB130" s="913"/>
      <c r="DC130" s="913"/>
      <c r="DD130" s="913"/>
      <c r="DE130" s="913"/>
      <c r="DF130" s="913"/>
      <c r="DG130" s="913"/>
      <c r="DH130" s="913"/>
      <c r="DI130" s="913"/>
      <c r="DJ130" s="913"/>
      <c r="DK130" s="913"/>
      <c r="DL130" s="913"/>
      <c r="DM130" s="913"/>
      <c r="DN130" s="913"/>
      <c r="DO130" s="913"/>
      <c r="DP130" s="913"/>
      <c r="DQ130" s="913"/>
      <c r="DR130" s="913"/>
      <c r="DS130" s="913"/>
      <c r="DT130" s="913"/>
      <c r="DU130" s="913"/>
      <c r="DV130" s="914"/>
    </row>
    <row r="131" spans="1:126" ht="16" thickBot="1">
      <c r="A131" s="603" t="str">
        <f>IF('8b-Screens'!C39='8b-Screens'!S6,"",'8b-Screens'!B39)</f>
        <v/>
      </c>
      <c r="B131" s="604"/>
      <c r="C131" s="604"/>
      <c r="D131" s="604"/>
      <c r="E131" s="604"/>
      <c r="F131" s="604"/>
      <c r="G131" s="604"/>
      <c r="H131" s="604"/>
      <c r="I131" s="604"/>
      <c r="J131" s="604"/>
      <c r="K131" s="604"/>
      <c r="L131" s="604"/>
      <c r="M131" s="604"/>
      <c r="N131" s="604"/>
      <c r="O131" s="584">
        <f>'8b-Screens'!E39</f>
        <v>0</v>
      </c>
      <c r="P131" s="584"/>
      <c r="Q131" s="584"/>
      <c r="R131" s="584"/>
      <c r="S131" s="584" t="str">
        <f>IF(O159&gt;0,"Dmg Cap:"&amp;'8b-Screens'!D42,"")</f>
        <v/>
      </c>
      <c r="T131" s="584"/>
      <c r="U131" s="584"/>
      <c r="V131" s="584"/>
      <c r="W131" s="584"/>
      <c r="X131" s="584"/>
      <c r="Y131" s="584"/>
      <c r="Z131" s="584"/>
      <c r="AA131" s="584"/>
      <c r="AB131" s="584"/>
      <c r="AC131" s="584"/>
      <c r="AD131" s="584"/>
      <c r="AE131" s="584"/>
      <c r="AF131" s="584"/>
      <c r="AG131" s="585"/>
      <c r="AH131" s="600" t="s">
        <v>704</v>
      </c>
      <c r="AI131" s="601"/>
      <c r="AJ131" s="601"/>
      <c r="AK131" s="601"/>
      <c r="AL131" s="601"/>
      <c r="AM131" s="601"/>
      <c r="AN131" s="578" t="str">
        <f>'6-Comp'!Y10</f>
        <v>N/A</v>
      </c>
      <c r="AO131" s="578"/>
      <c r="AP131" s="578"/>
      <c r="AQ131" s="579"/>
      <c r="AS131" s="653" t="s">
        <v>755</v>
      </c>
      <c r="AT131" s="654"/>
      <c r="AU131" s="654"/>
      <c r="AV131" s="654"/>
      <c r="AW131" s="654"/>
      <c r="AX131" s="654"/>
      <c r="AY131" s="654"/>
      <c r="AZ131" s="654"/>
      <c r="BA131" s="655"/>
      <c r="BB131" s="912"/>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c r="CU131" s="913"/>
      <c r="CV131" s="913"/>
      <c r="CW131" s="913"/>
      <c r="CX131" s="913"/>
      <c r="CY131" s="913"/>
      <c r="CZ131" s="913"/>
      <c r="DA131" s="913"/>
      <c r="DB131" s="913"/>
      <c r="DC131" s="913"/>
      <c r="DD131" s="913"/>
      <c r="DE131" s="913"/>
      <c r="DF131" s="913"/>
      <c r="DG131" s="913"/>
      <c r="DH131" s="913"/>
      <c r="DI131" s="913"/>
      <c r="DJ131" s="913"/>
      <c r="DK131" s="913"/>
      <c r="DL131" s="913"/>
      <c r="DM131" s="913"/>
      <c r="DN131" s="913"/>
      <c r="DO131" s="913"/>
      <c r="DP131" s="913"/>
      <c r="DQ131" s="913"/>
      <c r="DR131" s="913"/>
      <c r="DS131" s="913"/>
      <c r="DT131" s="913"/>
      <c r="DU131" s="913"/>
      <c r="DV131" s="914"/>
    </row>
    <row r="132" spans="1:126" ht="17" thickBot="1">
      <c r="A132" s="909" t="str">
        <f>'Ship Info'!G22&amp;": "&amp;'Ship Info'!I31</f>
        <v>High Automation: DM+2 on all shipboard tasks</v>
      </c>
      <c r="B132" s="910"/>
      <c r="C132" s="910"/>
      <c r="D132" s="910"/>
      <c r="E132" s="910"/>
      <c r="F132" s="910"/>
      <c r="G132" s="910"/>
      <c r="H132" s="910"/>
      <c r="I132" s="910"/>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1"/>
      <c r="AH132" s="580" t="s">
        <v>707</v>
      </c>
      <c r="AI132" s="581"/>
      <c r="AJ132" s="581"/>
      <c r="AK132" s="581"/>
      <c r="AL132" s="581"/>
      <c r="AM132" s="581"/>
      <c r="AN132" s="604" t="str">
        <f>'6-Comp'!Y11</f>
        <v>X</v>
      </c>
      <c r="AO132" s="604"/>
      <c r="AP132" s="604"/>
      <c r="AQ132" s="626"/>
      <c r="AS132" s="573">
        <f>SUM('12-Cargo'!D38:'12-Cargo'!D48)</f>
        <v>0</v>
      </c>
      <c r="AT132" s="563"/>
      <c r="AU132" s="563"/>
      <c r="AV132" s="563"/>
      <c r="AW132" s="563"/>
      <c r="AX132" s="563"/>
      <c r="AY132" s="563"/>
      <c r="AZ132" s="563"/>
      <c r="BA132" s="574"/>
      <c r="BB132" s="915" t="str">
        <f>IF('12-Cargo'!D38=0,"","Missile:"&amp;'12-Cargo'!D38*12)&amp;IF('12-Cargo'!D40=0,""," Torpedos:"&amp;'12-Cargo'!D40*3)&amp;IF('12-Cargo'!D42=0,""," Sand:"&amp;'12-Cargo'!D42*20)&amp;IF('12-Cargo'!D44=0,""," Special:"&amp;'12-Cargo'!D44&amp;"tons")&amp;IF('12-Cargo'!D46=0,""," Railgun:"&amp;'12-Cargo'!D46&amp;"tons")&amp;IF('12-Cargo'!D48=0,""," Mass Driver:"&amp;'12-Cargo'!D48&amp;"tons")</f>
        <v/>
      </c>
      <c r="BC132" s="916"/>
      <c r="BD132" s="916"/>
      <c r="BE132" s="916"/>
      <c r="BF132" s="916"/>
      <c r="BG132" s="916"/>
      <c r="BH132" s="916"/>
      <c r="BI132" s="916"/>
      <c r="BJ132" s="916"/>
      <c r="BK132" s="916"/>
      <c r="BL132" s="916"/>
      <c r="BM132" s="916"/>
      <c r="BN132" s="916"/>
      <c r="BO132" s="916"/>
      <c r="BP132" s="916"/>
      <c r="BQ132" s="916"/>
      <c r="BR132" s="916"/>
      <c r="BS132" s="916"/>
      <c r="BT132" s="916"/>
      <c r="BU132" s="916"/>
      <c r="BV132" s="916"/>
      <c r="BW132" s="916"/>
      <c r="BX132" s="916"/>
      <c r="BY132" s="916"/>
      <c r="BZ132" s="916"/>
      <c r="CA132" s="916"/>
      <c r="CB132" s="916"/>
      <c r="CC132" s="916"/>
      <c r="CD132" s="916"/>
      <c r="CE132" s="916"/>
      <c r="CF132" s="916"/>
      <c r="CG132" s="916"/>
      <c r="CH132" s="916"/>
      <c r="CI132" s="916"/>
      <c r="CJ132" s="916"/>
      <c r="CK132" s="916"/>
      <c r="CL132" s="916"/>
      <c r="CM132" s="916"/>
      <c r="CN132" s="916"/>
      <c r="CO132" s="916"/>
      <c r="CP132" s="916"/>
      <c r="CQ132" s="916"/>
      <c r="CR132" s="916"/>
      <c r="CS132" s="916"/>
      <c r="CT132" s="916"/>
      <c r="CU132" s="916"/>
      <c r="CV132" s="916"/>
      <c r="CW132" s="916"/>
      <c r="CX132" s="916"/>
      <c r="CY132" s="916"/>
      <c r="CZ132" s="916"/>
      <c r="DA132" s="916"/>
      <c r="DB132" s="916"/>
      <c r="DC132" s="916"/>
      <c r="DD132" s="916"/>
      <c r="DE132" s="916"/>
      <c r="DF132" s="916"/>
      <c r="DG132" s="916"/>
      <c r="DH132" s="916"/>
      <c r="DI132" s="916"/>
      <c r="DJ132" s="916"/>
      <c r="DK132" s="916"/>
      <c r="DL132" s="916"/>
      <c r="DM132" s="916"/>
      <c r="DN132" s="916"/>
      <c r="DO132" s="916"/>
      <c r="DP132" s="916"/>
      <c r="DQ132" s="916"/>
      <c r="DR132" s="916"/>
      <c r="DS132" s="916"/>
      <c r="DT132" s="916"/>
      <c r="DU132" s="916"/>
      <c r="DV132" s="917"/>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936" t="s">
        <v>670</v>
      </c>
      <c r="B134" s="937"/>
      <c r="C134" s="937"/>
      <c r="D134" s="937"/>
      <c r="E134" s="937"/>
      <c r="F134" s="937"/>
      <c r="G134" s="937"/>
      <c r="H134" s="937"/>
      <c r="I134" s="937"/>
      <c r="J134" s="937"/>
      <c r="K134" s="937"/>
      <c r="L134" s="937"/>
      <c r="M134" s="937"/>
      <c r="N134" s="937"/>
      <c r="O134" s="937"/>
      <c r="P134" s="937"/>
      <c r="Q134" s="937"/>
      <c r="R134" s="938"/>
      <c r="S134" s="933" t="s">
        <v>669</v>
      </c>
      <c r="T134" s="934"/>
      <c r="U134" s="934"/>
      <c r="V134" s="934"/>
      <c r="W134" s="934"/>
      <c r="X134" s="934"/>
      <c r="Y134" s="934"/>
      <c r="Z134" s="934"/>
      <c r="AA134" s="934"/>
      <c r="AB134" s="934"/>
      <c r="AC134" s="934"/>
      <c r="AD134" s="934"/>
      <c r="AE134" s="934"/>
      <c r="AF134" s="934"/>
      <c r="AG134" s="934"/>
      <c r="AH134" s="934"/>
      <c r="AI134" s="934"/>
      <c r="AJ134" s="934"/>
      <c r="AK134" s="934"/>
      <c r="AL134" s="934"/>
      <c r="AM134" s="934"/>
      <c r="AN134" s="934"/>
      <c r="AO134" s="934"/>
      <c r="AP134" s="934"/>
      <c r="AQ134" s="934"/>
      <c r="AR134" s="934"/>
      <c r="AS134" s="934"/>
      <c r="AT134" s="934"/>
      <c r="AU134" s="934"/>
      <c r="AV134" s="934"/>
      <c r="AW134" s="934"/>
      <c r="AX134" s="934"/>
      <c r="AY134" s="934"/>
      <c r="AZ134" s="934"/>
      <c r="BA134" s="934"/>
      <c r="BB134" s="934"/>
      <c r="BC134" s="934"/>
      <c r="BD134" s="934"/>
      <c r="BE134" s="934"/>
      <c r="BF134" s="934"/>
      <c r="BG134" s="934"/>
      <c r="BH134" s="934"/>
      <c r="BI134" s="934"/>
      <c r="BJ134" s="934"/>
      <c r="BK134" s="934"/>
      <c r="BL134" s="934"/>
      <c r="BM134" s="934"/>
      <c r="BN134" s="934"/>
      <c r="BO134" s="934"/>
      <c r="BP134" s="934"/>
      <c r="BQ134" s="934"/>
      <c r="BR134" s="934"/>
      <c r="BS134" s="934"/>
      <c r="BT134" s="934"/>
      <c r="BU134" s="934"/>
      <c r="BV134" s="934"/>
      <c r="BW134" s="934"/>
      <c r="BX134" s="934"/>
      <c r="BY134" s="934"/>
      <c r="BZ134" s="934"/>
      <c r="CA134" s="934"/>
      <c r="CB134" s="934"/>
      <c r="CC134" s="934"/>
      <c r="CD134" s="934"/>
      <c r="CE134" s="934"/>
      <c r="CF134" s="934"/>
      <c r="CG134" s="934"/>
      <c r="CH134" s="934"/>
      <c r="CI134" s="934"/>
      <c r="CJ134" s="934"/>
      <c r="CK134" s="934"/>
      <c r="CL134" s="934"/>
      <c r="CM134" s="934"/>
      <c r="CN134" s="934"/>
      <c r="CO134" s="934"/>
      <c r="CP134" s="934"/>
      <c r="CQ134" s="934"/>
      <c r="CR134" s="934"/>
      <c r="CS134" s="934"/>
      <c r="CT134" s="934"/>
      <c r="CU134" s="934"/>
      <c r="CV134" s="934"/>
      <c r="CW134" s="934"/>
      <c r="CX134" s="934"/>
      <c r="CY134" s="934"/>
      <c r="CZ134" s="934"/>
      <c r="DA134" s="934"/>
      <c r="DB134" s="934"/>
      <c r="DC134" s="934"/>
      <c r="DD134" s="934"/>
      <c r="DE134" s="934"/>
      <c r="DF134" s="934"/>
      <c r="DG134" s="934"/>
      <c r="DH134" s="934"/>
      <c r="DI134" s="934"/>
      <c r="DJ134" s="934"/>
      <c r="DK134" s="934"/>
      <c r="DL134" s="934"/>
      <c r="DM134" s="934"/>
      <c r="DN134" s="934"/>
      <c r="DO134" s="934"/>
      <c r="DP134" s="934"/>
      <c r="DQ134" s="934"/>
      <c r="DR134" s="934"/>
      <c r="DS134" s="934"/>
      <c r="DT134" s="934"/>
      <c r="DU134" s="934"/>
      <c r="DV134" s="935"/>
    </row>
    <row r="135" spans="1:126" ht="16" thickBot="1">
      <c r="A135" s="951"/>
      <c r="B135" s="952"/>
      <c r="C135" s="952"/>
      <c r="D135" s="952"/>
      <c r="E135" s="953"/>
      <c r="F135" s="906" t="s">
        <v>668</v>
      </c>
      <c r="G135" s="907"/>
      <c r="H135" s="907"/>
      <c r="I135" s="907"/>
      <c r="J135" s="907"/>
      <c r="K135" s="907"/>
      <c r="L135" s="907"/>
      <c r="M135" s="907"/>
      <c r="N135" s="907"/>
      <c r="O135" s="907"/>
      <c r="P135" s="907"/>
      <c r="Q135" s="907"/>
      <c r="R135" s="908"/>
      <c r="S135" s="907">
        <v>1</v>
      </c>
      <c r="T135" s="907"/>
      <c r="U135" s="907"/>
      <c r="V135" s="907"/>
      <c r="W135" s="907"/>
      <c r="X135" s="907"/>
      <c r="Y135" s="907"/>
      <c r="Z135" s="907"/>
      <c r="AA135" s="907"/>
      <c r="AB135" s="907"/>
      <c r="AC135" s="907"/>
      <c r="AD135" s="907"/>
      <c r="AE135" s="907"/>
      <c r="AF135" s="907"/>
      <c r="AG135" s="907"/>
      <c r="AH135" s="907"/>
      <c r="AI135" s="907"/>
      <c r="AJ135" s="908"/>
      <c r="AK135" s="906">
        <v>2</v>
      </c>
      <c r="AL135" s="907"/>
      <c r="AM135" s="907"/>
      <c r="AN135" s="907"/>
      <c r="AO135" s="907"/>
      <c r="AP135" s="907"/>
      <c r="AQ135" s="907"/>
      <c r="AR135" s="907"/>
      <c r="AS135" s="907"/>
      <c r="AT135" s="907"/>
      <c r="AU135" s="907"/>
      <c r="AV135" s="907"/>
      <c r="AW135" s="907"/>
      <c r="AX135" s="907"/>
      <c r="AY135" s="907"/>
      <c r="AZ135" s="907"/>
      <c r="BA135" s="907"/>
      <c r="BB135" s="908"/>
      <c r="BC135" s="907">
        <v>3</v>
      </c>
      <c r="BD135" s="907"/>
      <c r="BE135" s="907"/>
      <c r="BF135" s="907"/>
      <c r="BG135" s="907"/>
      <c r="BH135" s="907"/>
      <c r="BI135" s="907"/>
      <c r="BJ135" s="907"/>
      <c r="BK135" s="907"/>
      <c r="BL135" s="907"/>
      <c r="BM135" s="907"/>
      <c r="BN135" s="907"/>
      <c r="BO135" s="907"/>
      <c r="BP135" s="907"/>
      <c r="BQ135" s="907"/>
      <c r="BR135" s="907"/>
      <c r="BS135" s="907"/>
      <c r="BT135" s="907"/>
      <c r="BU135" s="906">
        <v>4</v>
      </c>
      <c r="BV135" s="907"/>
      <c r="BW135" s="907"/>
      <c r="BX135" s="907"/>
      <c r="BY135" s="907"/>
      <c r="BZ135" s="907"/>
      <c r="CA135" s="907"/>
      <c r="CB135" s="907"/>
      <c r="CC135" s="907"/>
      <c r="CD135" s="907"/>
      <c r="CE135" s="907"/>
      <c r="CF135" s="907"/>
      <c r="CG135" s="907"/>
      <c r="CH135" s="907"/>
      <c r="CI135" s="907"/>
      <c r="CJ135" s="907"/>
      <c r="CK135" s="907"/>
      <c r="CL135" s="908"/>
      <c r="CM135" s="907">
        <v>5</v>
      </c>
      <c r="CN135" s="907"/>
      <c r="CO135" s="907"/>
      <c r="CP135" s="907"/>
      <c r="CQ135" s="907"/>
      <c r="CR135" s="907"/>
      <c r="CS135" s="907"/>
      <c r="CT135" s="907"/>
      <c r="CU135" s="907"/>
      <c r="CV135" s="907"/>
      <c r="CW135" s="907"/>
      <c r="CX135" s="907"/>
      <c r="CY135" s="907"/>
      <c r="CZ135" s="907"/>
      <c r="DA135" s="907"/>
      <c r="DB135" s="907"/>
      <c r="DC135" s="907"/>
      <c r="DD135" s="907"/>
      <c r="DE135" s="906">
        <v>6</v>
      </c>
      <c r="DF135" s="907"/>
      <c r="DG135" s="907"/>
      <c r="DH135" s="907"/>
      <c r="DI135" s="907"/>
      <c r="DJ135" s="907"/>
      <c r="DK135" s="907"/>
      <c r="DL135" s="907"/>
      <c r="DM135" s="907"/>
      <c r="DN135" s="907"/>
      <c r="DO135" s="907"/>
      <c r="DP135" s="907"/>
      <c r="DQ135" s="907"/>
      <c r="DR135" s="907"/>
      <c r="DS135" s="907"/>
      <c r="DT135" s="907"/>
      <c r="DU135" s="907"/>
      <c r="DV135" s="908"/>
    </row>
    <row r="136" spans="1:126" ht="16">
      <c r="A136" s="945">
        <v>2</v>
      </c>
      <c r="B136" s="946"/>
      <c r="C136" s="946"/>
      <c r="D136" s="946"/>
      <c r="E136" s="947"/>
      <c r="F136" s="921" t="str">
        <f>"Sensors"&amp;IF('7-Sensors'!B33='7-Sensors'!S11,""," (CS-1)")</f>
        <v>Sensors</v>
      </c>
      <c r="G136" s="922"/>
      <c r="H136" s="922"/>
      <c r="I136" s="922"/>
      <c r="J136" s="922"/>
      <c r="K136" s="922"/>
      <c r="L136" s="922"/>
      <c r="M136" s="922"/>
      <c r="N136" s="922"/>
      <c r="O136" s="922"/>
      <c r="P136" s="922"/>
      <c r="Q136" s="922"/>
      <c r="R136" s="923"/>
      <c r="S136" s="967" t="s">
        <v>675</v>
      </c>
      <c r="T136" s="967"/>
      <c r="U136" s="967"/>
      <c r="V136" s="967"/>
      <c r="W136" s="967"/>
      <c r="X136" s="967"/>
      <c r="Y136" s="967"/>
      <c r="Z136" s="967"/>
      <c r="AA136" s="967"/>
      <c r="AB136" s="967"/>
      <c r="AC136" s="967"/>
      <c r="AD136" s="967"/>
      <c r="AE136" s="967"/>
      <c r="AF136" s="967"/>
      <c r="AG136" s="967"/>
      <c r="AH136" s="967"/>
      <c r="AI136" s="967"/>
      <c r="AJ136" s="968"/>
      <c r="AK136" s="966" t="s">
        <v>1427</v>
      </c>
      <c r="AL136" s="967"/>
      <c r="AM136" s="967"/>
      <c r="AN136" s="967"/>
      <c r="AO136" s="967"/>
      <c r="AP136" s="967"/>
      <c r="AQ136" s="967"/>
      <c r="AR136" s="967"/>
      <c r="AS136" s="967"/>
      <c r="AT136" s="967"/>
      <c r="AU136" s="967"/>
      <c r="AV136" s="967"/>
      <c r="AW136" s="967"/>
      <c r="AX136" s="967"/>
      <c r="AY136" s="967"/>
      <c r="AZ136" s="967"/>
      <c r="BA136" s="967"/>
      <c r="BB136" s="968"/>
      <c r="BC136" s="967" t="s">
        <v>1427</v>
      </c>
      <c r="BD136" s="967"/>
      <c r="BE136" s="967"/>
      <c r="BF136" s="967"/>
      <c r="BG136" s="967"/>
      <c r="BH136" s="967"/>
      <c r="BI136" s="967"/>
      <c r="BJ136" s="967"/>
      <c r="BK136" s="967"/>
      <c r="BL136" s="967"/>
      <c r="BM136" s="967"/>
      <c r="BN136" s="967"/>
      <c r="BO136" s="967"/>
      <c r="BP136" s="967"/>
      <c r="BQ136" s="967"/>
      <c r="BR136" s="967"/>
      <c r="BS136" s="967"/>
      <c r="BT136" s="967"/>
      <c r="BU136" s="966" t="s">
        <v>1427</v>
      </c>
      <c r="BV136" s="967"/>
      <c r="BW136" s="967"/>
      <c r="BX136" s="967"/>
      <c r="BY136" s="967"/>
      <c r="BZ136" s="967"/>
      <c r="CA136" s="967"/>
      <c r="CB136" s="967"/>
      <c r="CC136" s="967"/>
      <c r="CD136" s="967"/>
      <c r="CE136" s="967"/>
      <c r="CF136" s="967"/>
      <c r="CG136" s="967"/>
      <c r="CH136" s="967"/>
      <c r="CI136" s="967"/>
      <c r="CJ136" s="967"/>
      <c r="CK136" s="967"/>
      <c r="CL136" s="968"/>
      <c r="CM136" s="967" t="s">
        <v>1427</v>
      </c>
      <c r="CN136" s="967"/>
      <c r="CO136" s="967"/>
      <c r="CP136" s="967"/>
      <c r="CQ136" s="967"/>
      <c r="CR136" s="967"/>
      <c r="CS136" s="967"/>
      <c r="CT136" s="967"/>
      <c r="CU136" s="967"/>
      <c r="CV136" s="967"/>
      <c r="CW136" s="967"/>
      <c r="CX136" s="967"/>
      <c r="CY136" s="967"/>
      <c r="CZ136" s="967"/>
      <c r="DA136" s="967"/>
      <c r="DB136" s="967"/>
      <c r="DC136" s="967"/>
      <c r="DD136" s="967"/>
      <c r="DE136" s="966" t="s">
        <v>672</v>
      </c>
      <c r="DF136" s="967"/>
      <c r="DG136" s="967"/>
      <c r="DH136" s="967"/>
      <c r="DI136" s="967"/>
      <c r="DJ136" s="967"/>
      <c r="DK136" s="967"/>
      <c r="DL136" s="967"/>
      <c r="DM136" s="967"/>
      <c r="DN136" s="967"/>
      <c r="DO136" s="967"/>
      <c r="DP136" s="967"/>
      <c r="DQ136" s="967"/>
      <c r="DR136" s="967"/>
      <c r="DS136" s="967"/>
      <c r="DT136" s="967"/>
      <c r="DU136" s="967"/>
      <c r="DV136" s="968"/>
    </row>
    <row r="137" spans="1:126" ht="17" thickBot="1">
      <c r="A137" s="948"/>
      <c r="B137" s="949"/>
      <c r="C137" s="949"/>
      <c r="D137" s="949"/>
      <c r="E137" s="950"/>
      <c r="F137" s="924"/>
      <c r="G137" s="925"/>
      <c r="H137" s="925"/>
      <c r="I137" s="925"/>
      <c r="J137" s="925"/>
      <c r="K137" s="925"/>
      <c r="L137" s="925"/>
      <c r="M137" s="925"/>
      <c r="N137" s="925"/>
      <c r="O137" s="925"/>
      <c r="P137" s="925"/>
      <c r="Q137" s="925"/>
      <c r="R137" s="926"/>
      <c r="S137" s="970"/>
      <c r="T137" s="970"/>
      <c r="U137" s="970"/>
      <c r="V137" s="970"/>
      <c r="W137" s="970"/>
      <c r="X137" s="970"/>
      <c r="Y137" s="970"/>
      <c r="Z137" s="970"/>
      <c r="AA137" s="970"/>
      <c r="AB137" s="970"/>
      <c r="AC137" s="970"/>
      <c r="AD137" s="970"/>
      <c r="AE137" s="970"/>
      <c r="AF137" s="970"/>
      <c r="AG137" s="970"/>
      <c r="AH137" s="970"/>
      <c r="AI137" s="970"/>
      <c r="AJ137" s="971"/>
      <c r="AK137" s="969" t="s">
        <v>328</v>
      </c>
      <c r="AL137" s="970"/>
      <c r="AM137" s="970"/>
      <c r="AN137" s="970"/>
      <c r="AO137" s="970"/>
      <c r="AP137" s="970"/>
      <c r="AQ137" s="970"/>
      <c r="AR137" s="970"/>
      <c r="AS137" s="970"/>
      <c r="AT137" s="970"/>
      <c r="AU137" s="970"/>
      <c r="AV137" s="970"/>
      <c r="AW137" s="970"/>
      <c r="AX137" s="970"/>
      <c r="AY137" s="970"/>
      <c r="AZ137" s="970"/>
      <c r="BA137" s="970"/>
      <c r="BB137" s="971"/>
      <c r="BC137" s="970" t="s">
        <v>1134</v>
      </c>
      <c r="BD137" s="970"/>
      <c r="BE137" s="970"/>
      <c r="BF137" s="970"/>
      <c r="BG137" s="970"/>
      <c r="BH137" s="970"/>
      <c r="BI137" s="970"/>
      <c r="BJ137" s="970"/>
      <c r="BK137" s="970"/>
      <c r="BL137" s="970"/>
      <c r="BM137" s="970"/>
      <c r="BN137" s="970"/>
      <c r="BO137" s="970"/>
      <c r="BP137" s="970"/>
      <c r="BQ137" s="970"/>
      <c r="BR137" s="970"/>
      <c r="BS137" s="970"/>
      <c r="BT137" s="970"/>
      <c r="BU137" s="969" t="s">
        <v>633</v>
      </c>
      <c r="BV137" s="970"/>
      <c r="BW137" s="970"/>
      <c r="BX137" s="970"/>
      <c r="BY137" s="970"/>
      <c r="BZ137" s="970"/>
      <c r="CA137" s="970"/>
      <c r="CB137" s="970"/>
      <c r="CC137" s="970"/>
      <c r="CD137" s="970"/>
      <c r="CE137" s="970"/>
      <c r="CF137" s="970"/>
      <c r="CG137" s="970"/>
      <c r="CH137" s="970"/>
      <c r="CI137" s="970"/>
      <c r="CJ137" s="970"/>
      <c r="CK137" s="970"/>
      <c r="CL137" s="971"/>
      <c r="CM137" s="970" t="s">
        <v>330</v>
      </c>
      <c r="CN137" s="970"/>
      <c r="CO137" s="970"/>
      <c r="CP137" s="970"/>
      <c r="CQ137" s="970"/>
      <c r="CR137" s="970"/>
      <c r="CS137" s="970"/>
      <c r="CT137" s="970"/>
      <c r="CU137" s="970"/>
      <c r="CV137" s="970"/>
      <c r="CW137" s="970"/>
      <c r="CX137" s="970"/>
      <c r="CY137" s="970"/>
      <c r="CZ137" s="970"/>
      <c r="DA137" s="970"/>
      <c r="DB137" s="970"/>
      <c r="DC137" s="970"/>
      <c r="DD137" s="970"/>
      <c r="DE137" s="969"/>
      <c r="DF137" s="970"/>
      <c r="DG137" s="970"/>
      <c r="DH137" s="970"/>
      <c r="DI137" s="970"/>
      <c r="DJ137" s="970"/>
      <c r="DK137" s="970"/>
      <c r="DL137" s="970"/>
      <c r="DM137" s="970"/>
      <c r="DN137" s="970"/>
      <c r="DO137" s="970"/>
      <c r="DP137" s="970"/>
      <c r="DQ137" s="970"/>
      <c r="DR137" s="970"/>
      <c r="DS137" s="970"/>
      <c r="DT137" s="970"/>
      <c r="DU137" s="970"/>
      <c r="DV137" s="971"/>
    </row>
    <row r="138" spans="1:126" ht="15.75" customHeight="1">
      <c r="A138" s="954">
        <v>3</v>
      </c>
      <c r="B138" s="955"/>
      <c r="C138" s="955"/>
      <c r="D138" s="955"/>
      <c r="E138" s="956"/>
      <c r="F138" s="927" t="str">
        <f>"Pwr Plant"&amp;IF('3-Pwr Plant'!C16="No",""," (CS-1)")</f>
        <v>Pwr Plant</v>
      </c>
      <c r="G138" s="928"/>
      <c r="H138" s="928"/>
      <c r="I138" s="928"/>
      <c r="J138" s="928"/>
      <c r="K138" s="928"/>
      <c r="L138" s="928"/>
      <c r="M138" s="928"/>
      <c r="N138" s="928"/>
      <c r="O138" s="928"/>
      <c r="P138" s="928"/>
      <c r="Q138" s="928"/>
      <c r="R138" s="929"/>
      <c r="S138" s="960" t="s">
        <v>1423</v>
      </c>
      <c r="T138" s="961"/>
      <c r="U138" s="961"/>
      <c r="V138" s="961"/>
      <c r="W138" s="961"/>
      <c r="X138" s="961"/>
      <c r="Y138" s="961"/>
      <c r="Z138" s="961"/>
      <c r="AA138" s="961"/>
      <c r="AB138" s="961"/>
      <c r="AC138" s="961"/>
      <c r="AD138" s="961"/>
      <c r="AE138" s="961"/>
      <c r="AF138" s="961"/>
      <c r="AG138" s="961"/>
      <c r="AH138" s="961"/>
      <c r="AI138" s="961"/>
      <c r="AJ138" s="962"/>
      <c r="AK138" s="960" t="s">
        <v>1423</v>
      </c>
      <c r="AL138" s="961"/>
      <c r="AM138" s="961"/>
      <c r="AN138" s="961"/>
      <c r="AO138" s="961"/>
      <c r="AP138" s="961"/>
      <c r="AQ138" s="961"/>
      <c r="AR138" s="961"/>
      <c r="AS138" s="961"/>
      <c r="AT138" s="961"/>
      <c r="AU138" s="961"/>
      <c r="AV138" s="961"/>
      <c r="AW138" s="961"/>
      <c r="AX138" s="961"/>
      <c r="AY138" s="961"/>
      <c r="AZ138" s="961"/>
      <c r="BA138" s="961"/>
      <c r="BB138" s="962"/>
      <c r="BC138" s="960" t="s">
        <v>1424</v>
      </c>
      <c r="BD138" s="961"/>
      <c r="BE138" s="961"/>
      <c r="BF138" s="961"/>
      <c r="BG138" s="961"/>
      <c r="BH138" s="961"/>
      <c r="BI138" s="961"/>
      <c r="BJ138" s="961"/>
      <c r="BK138" s="961"/>
      <c r="BL138" s="961"/>
      <c r="BM138" s="961"/>
      <c r="BN138" s="961"/>
      <c r="BO138" s="961"/>
      <c r="BP138" s="961"/>
      <c r="BQ138" s="961"/>
      <c r="BR138" s="961"/>
      <c r="BS138" s="961"/>
      <c r="BT138" s="962"/>
      <c r="BU138" s="960" t="s">
        <v>1425</v>
      </c>
      <c r="BV138" s="961"/>
      <c r="BW138" s="961"/>
      <c r="BX138" s="961"/>
      <c r="BY138" s="961"/>
      <c r="BZ138" s="961"/>
      <c r="CA138" s="961"/>
      <c r="CB138" s="961"/>
      <c r="CC138" s="961"/>
      <c r="CD138" s="961"/>
      <c r="CE138" s="961"/>
      <c r="CF138" s="961"/>
      <c r="CG138" s="961"/>
      <c r="CH138" s="961"/>
      <c r="CI138" s="961"/>
      <c r="CJ138" s="961"/>
      <c r="CK138" s="961"/>
      <c r="CL138" s="962"/>
      <c r="CM138" s="960" t="s">
        <v>673</v>
      </c>
      <c r="CN138" s="961"/>
      <c r="CO138" s="961"/>
      <c r="CP138" s="961"/>
      <c r="CQ138" s="961"/>
      <c r="CR138" s="961"/>
      <c r="CS138" s="961"/>
      <c r="CT138" s="961"/>
      <c r="CU138" s="961"/>
      <c r="CV138" s="961"/>
      <c r="CW138" s="961"/>
      <c r="CX138" s="961"/>
      <c r="CY138" s="961"/>
      <c r="CZ138" s="961"/>
      <c r="DA138" s="961"/>
      <c r="DB138" s="961"/>
      <c r="DC138" s="961"/>
      <c r="DD138" s="962"/>
      <c r="DE138" s="960" t="s">
        <v>674</v>
      </c>
      <c r="DF138" s="961"/>
      <c r="DG138" s="961"/>
      <c r="DH138" s="961"/>
      <c r="DI138" s="961"/>
      <c r="DJ138" s="961"/>
      <c r="DK138" s="961"/>
      <c r="DL138" s="961"/>
      <c r="DM138" s="961"/>
      <c r="DN138" s="961"/>
      <c r="DO138" s="961"/>
      <c r="DP138" s="961"/>
      <c r="DQ138" s="961"/>
      <c r="DR138" s="961"/>
      <c r="DS138" s="961"/>
      <c r="DT138" s="961"/>
      <c r="DU138" s="961"/>
      <c r="DV138" s="962"/>
    </row>
    <row r="139" spans="1:126" ht="16" thickBot="1">
      <c r="A139" s="957"/>
      <c r="B139" s="958"/>
      <c r="C139" s="958"/>
      <c r="D139" s="958"/>
      <c r="E139" s="959"/>
      <c r="F139" s="930"/>
      <c r="G139" s="931"/>
      <c r="H139" s="931"/>
      <c r="I139" s="931"/>
      <c r="J139" s="931"/>
      <c r="K139" s="931"/>
      <c r="L139" s="931"/>
      <c r="M139" s="931"/>
      <c r="N139" s="931"/>
      <c r="O139" s="931"/>
      <c r="P139" s="931"/>
      <c r="Q139" s="931"/>
      <c r="R139" s="932"/>
      <c r="S139" s="963"/>
      <c r="T139" s="964"/>
      <c r="U139" s="964"/>
      <c r="V139" s="964"/>
      <c r="W139" s="964"/>
      <c r="X139" s="964"/>
      <c r="Y139" s="964"/>
      <c r="Z139" s="964"/>
      <c r="AA139" s="964"/>
      <c r="AB139" s="964"/>
      <c r="AC139" s="964"/>
      <c r="AD139" s="964"/>
      <c r="AE139" s="964"/>
      <c r="AF139" s="964"/>
      <c r="AG139" s="964"/>
      <c r="AH139" s="964"/>
      <c r="AI139" s="964"/>
      <c r="AJ139" s="965"/>
      <c r="AK139" s="963"/>
      <c r="AL139" s="964"/>
      <c r="AM139" s="964"/>
      <c r="AN139" s="964"/>
      <c r="AO139" s="964"/>
      <c r="AP139" s="964"/>
      <c r="AQ139" s="964"/>
      <c r="AR139" s="964"/>
      <c r="AS139" s="964"/>
      <c r="AT139" s="964"/>
      <c r="AU139" s="964"/>
      <c r="AV139" s="964"/>
      <c r="AW139" s="964"/>
      <c r="AX139" s="964"/>
      <c r="AY139" s="964"/>
      <c r="AZ139" s="964"/>
      <c r="BA139" s="964"/>
      <c r="BB139" s="965"/>
      <c r="BC139" s="963"/>
      <c r="BD139" s="964"/>
      <c r="BE139" s="964"/>
      <c r="BF139" s="964"/>
      <c r="BG139" s="964"/>
      <c r="BH139" s="964"/>
      <c r="BI139" s="964"/>
      <c r="BJ139" s="964"/>
      <c r="BK139" s="964"/>
      <c r="BL139" s="964"/>
      <c r="BM139" s="964"/>
      <c r="BN139" s="964"/>
      <c r="BO139" s="964"/>
      <c r="BP139" s="964"/>
      <c r="BQ139" s="964"/>
      <c r="BR139" s="964"/>
      <c r="BS139" s="964"/>
      <c r="BT139" s="965"/>
      <c r="BU139" s="963"/>
      <c r="BV139" s="964"/>
      <c r="BW139" s="964"/>
      <c r="BX139" s="964"/>
      <c r="BY139" s="964"/>
      <c r="BZ139" s="964"/>
      <c r="CA139" s="964"/>
      <c r="CB139" s="964"/>
      <c r="CC139" s="964"/>
      <c r="CD139" s="964"/>
      <c r="CE139" s="964"/>
      <c r="CF139" s="964"/>
      <c r="CG139" s="964"/>
      <c r="CH139" s="964"/>
      <c r="CI139" s="964"/>
      <c r="CJ139" s="964"/>
      <c r="CK139" s="964"/>
      <c r="CL139" s="965"/>
      <c r="CM139" s="963"/>
      <c r="CN139" s="964"/>
      <c r="CO139" s="964"/>
      <c r="CP139" s="964"/>
      <c r="CQ139" s="964"/>
      <c r="CR139" s="964"/>
      <c r="CS139" s="964"/>
      <c r="CT139" s="964"/>
      <c r="CU139" s="964"/>
      <c r="CV139" s="964"/>
      <c r="CW139" s="964"/>
      <c r="CX139" s="964"/>
      <c r="CY139" s="964"/>
      <c r="CZ139" s="964"/>
      <c r="DA139" s="964"/>
      <c r="DB139" s="964"/>
      <c r="DC139" s="964"/>
      <c r="DD139" s="965"/>
      <c r="DE139" s="963"/>
      <c r="DF139" s="964"/>
      <c r="DG139" s="964"/>
      <c r="DH139" s="964"/>
      <c r="DI139" s="964"/>
      <c r="DJ139" s="964"/>
      <c r="DK139" s="964"/>
      <c r="DL139" s="964"/>
      <c r="DM139" s="964"/>
      <c r="DN139" s="964"/>
      <c r="DO139" s="964"/>
      <c r="DP139" s="964"/>
      <c r="DQ139" s="964"/>
      <c r="DR139" s="964"/>
      <c r="DS139" s="964"/>
      <c r="DT139" s="964"/>
      <c r="DU139" s="964"/>
      <c r="DV139" s="965"/>
    </row>
    <row r="140" spans="1:126" ht="16">
      <c r="A140" s="945">
        <v>4</v>
      </c>
      <c r="B140" s="946"/>
      <c r="C140" s="946"/>
      <c r="D140" s="946"/>
      <c r="E140" s="947"/>
      <c r="F140" s="939" t="str">
        <f>"Fuel"&amp;IF('4-Fuel'!C12='4-Fuel'!T8," (CS-1)","")</f>
        <v>Fuel</v>
      </c>
      <c r="G140" s="940"/>
      <c r="H140" s="940"/>
      <c r="I140" s="940"/>
      <c r="J140" s="940"/>
      <c r="K140" s="940"/>
      <c r="L140" s="940"/>
      <c r="M140" s="940"/>
      <c r="N140" s="940"/>
      <c r="O140" s="940"/>
      <c r="P140" s="940"/>
      <c r="Q140" s="940"/>
      <c r="R140" s="941"/>
      <c r="S140" s="967" t="s">
        <v>1684</v>
      </c>
      <c r="T140" s="967"/>
      <c r="U140" s="967"/>
      <c r="V140" s="967"/>
      <c r="W140" s="967"/>
      <c r="X140" s="967"/>
      <c r="Y140" s="967"/>
      <c r="Z140" s="967"/>
      <c r="AA140" s="967"/>
      <c r="AB140" s="967"/>
      <c r="AC140" s="967"/>
      <c r="AD140" s="967"/>
      <c r="AE140" s="967"/>
      <c r="AF140" s="967"/>
      <c r="AG140" s="967"/>
      <c r="AH140" s="967"/>
      <c r="AI140" s="967"/>
      <c r="AJ140" s="968"/>
      <c r="AK140" s="966" t="s">
        <v>1686</v>
      </c>
      <c r="AL140" s="967"/>
      <c r="AM140" s="967"/>
      <c r="AN140" s="967"/>
      <c r="AO140" s="967"/>
      <c r="AP140" s="967"/>
      <c r="AQ140" s="967"/>
      <c r="AR140" s="967"/>
      <c r="AS140" s="967"/>
      <c r="AT140" s="967"/>
      <c r="AU140" s="967"/>
      <c r="AV140" s="967"/>
      <c r="AW140" s="967"/>
      <c r="AX140" s="967"/>
      <c r="AY140" s="967"/>
      <c r="AZ140" s="967"/>
      <c r="BA140" s="967"/>
      <c r="BB140" s="968"/>
      <c r="BC140" s="966" t="s">
        <v>678</v>
      </c>
      <c r="BD140" s="967"/>
      <c r="BE140" s="967"/>
      <c r="BF140" s="967"/>
      <c r="BG140" s="967"/>
      <c r="BH140" s="967"/>
      <c r="BI140" s="967"/>
      <c r="BJ140" s="967"/>
      <c r="BK140" s="967"/>
      <c r="BL140" s="967"/>
      <c r="BM140" s="967"/>
      <c r="BN140" s="967"/>
      <c r="BO140" s="967"/>
      <c r="BP140" s="967"/>
      <c r="BQ140" s="967"/>
      <c r="BR140" s="967"/>
      <c r="BS140" s="967"/>
      <c r="BT140" s="968"/>
      <c r="BU140" s="966" t="s">
        <v>578</v>
      </c>
      <c r="BV140" s="967"/>
      <c r="BW140" s="967"/>
      <c r="BX140" s="967"/>
      <c r="BY140" s="967"/>
      <c r="BZ140" s="967"/>
      <c r="CA140" s="967"/>
      <c r="CB140" s="967"/>
      <c r="CC140" s="967"/>
      <c r="CD140" s="967"/>
      <c r="CE140" s="967"/>
      <c r="CF140" s="967"/>
      <c r="CG140" s="967"/>
      <c r="CH140" s="967"/>
      <c r="CI140" s="967"/>
      <c r="CJ140" s="967"/>
      <c r="CK140" s="967"/>
      <c r="CL140" s="968"/>
      <c r="CM140" s="966" t="s">
        <v>673</v>
      </c>
      <c r="CN140" s="967"/>
      <c r="CO140" s="967"/>
      <c r="CP140" s="967"/>
      <c r="CQ140" s="967"/>
      <c r="CR140" s="967"/>
      <c r="CS140" s="967"/>
      <c r="CT140" s="967"/>
      <c r="CU140" s="967"/>
      <c r="CV140" s="967"/>
      <c r="CW140" s="967"/>
      <c r="CX140" s="967"/>
      <c r="CY140" s="967"/>
      <c r="CZ140" s="967"/>
      <c r="DA140" s="967"/>
      <c r="DB140" s="967"/>
      <c r="DC140" s="967"/>
      <c r="DD140" s="968"/>
      <c r="DE140" s="966" t="s">
        <v>674</v>
      </c>
      <c r="DF140" s="967"/>
      <c r="DG140" s="967"/>
      <c r="DH140" s="967"/>
      <c r="DI140" s="967"/>
      <c r="DJ140" s="967"/>
      <c r="DK140" s="967"/>
      <c r="DL140" s="967"/>
      <c r="DM140" s="967"/>
      <c r="DN140" s="967"/>
      <c r="DO140" s="967"/>
      <c r="DP140" s="967"/>
      <c r="DQ140" s="967"/>
      <c r="DR140" s="967"/>
      <c r="DS140" s="967"/>
      <c r="DT140" s="967"/>
      <c r="DU140" s="967"/>
      <c r="DV140" s="968"/>
    </row>
    <row r="141" spans="1:126" ht="17" thickBot="1">
      <c r="A141" s="948"/>
      <c r="B141" s="949"/>
      <c r="C141" s="949"/>
      <c r="D141" s="949"/>
      <c r="E141" s="950"/>
      <c r="F141" s="942"/>
      <c r="G141" s="943"/>
      <c r="H141" s="943"/>
      <c r="I141" s="943"/>
      <c r="J141" s="943"/>
      <c r="K141" s="943"/>
      <c r="L141" s="943"/>
      <c r="M141" s="943"/>
      <c r="N141" s="943"/>
      <c r="O141" s="943"/>
      <c r="P141" s="943"/>
      <c r="Q141" s="943"/>
      <c r="R141" s="944"/>
      <c r="S141" s="970" t="s">
        <v>1685</v>
      </c>
      <c r="T141" s="970"/>
      <c r="U141" s="970"/>
      <c r="V141" s="970"/>
      <c r="W141" s="970"/>
      <c r="X141" s="970"/>
      <c r="Y141" s="970"/>
      <c r="Z141" s="970"/>
      <c r="AA141" s="970"/>
      <c r="AB141" s="970"/>
      <c r="AC141" s="970"/>
      <c r="AD141" s="970"/>
      <c r="AE141" s="970"/>
      <c r="AF141" s="970"/>
      <c r="AG141" s="970"/>
      <c r="AH141" s="970"/>
      <c r="AI141" s="970"/>
      <c r="AJ141" s="971"/>
      <c r="AK141" s="969" t="s">
        <v>1687</v>
      </c>
      <c r="AL141" s="970"/>
      <c r="AM141" s="970"/>
      <c r="AN141" s="970"/>
      <c r="AO141" s="970"/>
      <c r="AP141" s="970"/>
      <c r="AQ141" s="970"/>
      <c r="AR141" s="970"/>
      <c r="AS141" s="970"/>
      <c r="AT141" s="970"/>
      <c r="AU141" s="970"/>
      <c r="AV141" s="970"/>
      <c r="AW141" s="970"/>
      <c r="AX141" s="970"/>
      <c r="AY141" s="970"/>
      <c r="AZ141" s="970"/>
      <c r="BA141" s="970"/>
      <c r="BB141" s="971"/>
      <c r="BC141" s="969"/>
      <c r="BD141" s="970"/>
      <c r="BE141" s="970"/>
      <c r="BF141" s="970"/>
      <c r="BG141" s="970"/>
      <c r="BH141" s="970"/>
      <c r="BI141" s="970"/>
      <c r="BJ141" s="970"/>
      <c r="BK141" s="970"/>
      <c r="BL141" s="970"/>
      <c r="BM141" s="970"/>
      <c r="BN141" s="970"/>
      <c r="BO141" s="970"/>
      <c r="BP141" s="970"/>
      <c r="BQ141" s="970"/>
      <c r="BR141" s="970"/>
      <c r="BS141" s="970"/>
      <c r="BT141" s="971"/>
      <c r="BU141" s="969" t="s">
        <v>679</v>
      </c>
      <c r="BV141" s="970"/>
      <c r="BW141" s="970"/>
      <c r="BX141" s="970"/>
      <c r="BY141" s="970"/>
      <c r="BZ141" s="970"/>
      <c r="CA141" s="970"/>
      <c r="CB141" s="970"/>
      <c r="CC141" s="970"/>
      <c r="CD141" s="970"/>
      <c r="CE141" s="970"/>
      <c r="CF141" s="970"/>
      <c r="CG141" s="970"/>
      <c r="CH141" s="970"/>
      <c r="CI141" s="970"/>
      <c r="CJ141" s="970"/>
      <c r="CK141" s="970"/>
      <c r="CL141" s="971"/>
      <c r="CM141" s="969"/>
      <c r="CN141" s="970"/>
      <c r="CO141" s="970"/>
      <c r="CP141" s="970"/>
      <c r="CQ141" s="970"/>
      <c r="CR141" s="970"/>
      <c r="CS141" s="970"/>
      <c r="CT141" s="970"/>
      <c r="CU141" s="970"/>
      <c r="CV141" s="970"/>
      <c r="CW141" s="970"/>
      <c r="CX141" s="970"/>
      <c r="CY141" s="970"/>
      <c r="CZ141" s="970"/>
      <c r="DA141" s="970"/>
      <c r="DB141" s="970"/>
      <c r="DC141" s="970"/>
      <c r="DD141" s="971"/>
      <c r="DE141" s="969"/>
      <c r="DF141" s="970"/>
      <c r="DG141" s="970"/>
      <c r="DH141" s="970"/>
      <c r="DI141" s="970"/>
      <c r="DJ141" s="970"/>
      <c r="DK141" s="970"/>
      <c r="DL141" s="970"/>
      <c r="DM141" s="970"/>
      <c r="DN141" s="970"/>
      <c r="DO141" s="970"/>
      <c r="DP141" s="970"/>
      <c r="DQ141" s="970"/>
      <c r="DR141" s="970"/>
      <c r="DS141" s="970"/>
      <c r="DT141" s="970"/>
      <c r="DU141" s="970"/>
      <c r="DV141" s="971"/>
    </row>
    <row r="142" spans="1:126" ht="16">
      <c r="A142" s="954">
        <v>5</v>
      </c>
      <c r="B142" s="955"/>
      <c r="C142" s="955"/>
      <c r="D142" s="955"/>
      <c r="E142" s="956"/>
      <c r="F142" s="972" t="str">
        <f>"Weapon*"</f>
        <v>Weapon*</v>
      </c>
      <c r="G142" s="973"/>
      <c r="H142" s="973"/>
      <c r="I142" s="973"/>
      <c r="J142" s="973"/>
      <c r="K142" s="973"/>
      <c r="L142" s="973"/>
      <c r="M142" s="973"/>
      <c r="N142" s="973"/>
      <c r="O142" s="973"/>
      <c r="P142" s="973"/>
      <c r="Q142" s="973"/>
      <c r="R142" s="974"/>
      <c r="S142" s="961" t="s">
        <v>1428</v>
      </c>
      <c r="T142" s="961"/>
      <c r="U142" s="961"/>
      <c r="V142" s="961"/>
      <c r="W142" s="961"/>
      <c r="X142" s="961"/>
      <c r="Y142" s="961"/>
      <c r="Z142" s="961"/>
      <c r="AA142" s="961"/>
      <c r="AB142" s="961"/>
      <c r="AC142" s="961"/>
      <c r="AD142" s="961"/>
      <c r="AE142" s="961"/>
      <c r="AF142" s="961"/>
      <c r="AG142" s="961"/>
      <c r="AH142" s="961"/>
      <c r="AI142" s="961"/>
      <c r="AJ142" s="962"/>
      <c r="AK142" s="960" t="s">
        <v>1428</v>
      </c>
      <c r="AL142" s="961"/>
      <c r="AM142" s="961"/>
      <c r="AN142" s="961"/>
      <c r="AO142" s="961"/>
      <c r="AP142" s="961"/>
      <c r="AQ142" s="961"/>
      <c r="AR142" s="961"/>
      <c r="AS142" s="961"/>
      <c r="AT142" s="961"/>
      <c r="AU142" s="961"/>
      <c r="AV142" s="961"/>
      <c r="AW142" s="961"/>
      <c r="AX142" s="961"/>
      <c r="AY142" s="961"/>
      <c r="AZ142" s="961"/>
      <c r="BA142" s="961"/>
      <c r="BB142" s="962"/>
      <c r="BC142" s="961" t="s">
        <v>1430</v>
      </c>
      <c r="BD142" s="961"/>
      <c r="BE142" s="961"/>
      <c r="BF142" s="961"/>
      <c r="BG142" s="961"/>
      <c r="BH142" s="961"/>
      <c r="BI142" s="961"/>
      <c r="BJ142" s="961"/>
      <c r="BK142" s="961"/>
      <c r="BL142" s="961"/>
      <c r="BM142" s="961"/>
      <c r="BN142" s="961"/>
      <c r="BO142" s="961"/>
      <c r="BP142" s="961"/>
      <c r="BQ142" s="961"/>
      <c r="BR142" s="961"/>
      <c r="BS142" s="961"/>
      <c r="BT142" s="961"/>
      <c r="BU142" s="960" t="s">
        <v>1431</v>
      </c>
      <c r="BV142" s="961"/>
      <c r="BW142" s="961"/>
      <c r="BX142" s="961"/>
      <c r="BY142" s="961"/>
      <c r="BZ142" s="961"/>
      <c r="CA142" s="961"/>
      <c r="CB142" s="961"/>
      <c r="CC142" s="961"/>
      <c r="CD142" s="961"/>
      <c r="CE142" s="961"/>
      <c r="CF142" s="961"/>
      <c r="CG142" s="961"/>
      <c r="CH142" s="961"/>
      <c r="CI142" s="961"/>
      <c r="CJ142" s="961"/>
      <c r="CK142" s="961"/>
      <c r="CL142" s="962"/>
      <c r="CM142" s="961" t="s">
        <v>1432</v>
      </c>
      <c r="CN142" s="961"/>
      <c r="CO142" s="961"/>
      <c r="CP142" s="961"/>
      <c r="CQ142" s="961"/>
      <c r="CR142" s="961"/>
      <c r="CS142" s="961"/>
      <c r="CT142" s="961"/>
      <c r="CU142" s="961"/>
      <c r="CV142" s="961"/>
      <c r="CW142" s="961"/>
      <c r="CX142" s="961"/>
      <c r="CY142" s="961"/>
      <c r="CZ142" s="961"/>
      <c r="DA142" s="961"/>
      <c r="DB142" s="961"/>
      <c r="DC142" s="961"/>
      <c r="DD142" s="961"/>
      <c r="DE142" s="960" t="s">
        <v>1433</v>
      </c>
      <c r="DF142" s="961"/>
      <c r="DG142" s="961"/>
      <c r="DH142" s="961"/>
      <c r="DI142" s="961"/>
      <c r="DJ142" s="961"/>
      <c r="DK142" s="961"/>
      <c r="DL142" s="961"/>
      <c r="DM142" s="961"/>
      <c r="DN142" s="961"/>
      <c r="DO142" s="961"/>
      <c r="DP142" s="961"/>
      <c r="DQ142" s="961"/>
      <c r="DR142" s="961"/>
      <c r="DS142" s="961"/>
      <c r="DT142" s="961"/>
      <c r="DU142" s="961"/>
      <c r="DV142" s="962"/>
    </row>
    <row r="143" spans="1:126" ht="17" thickBot="1">
      <c r="A143" s="957"/>
      <c r="B143" s="958"/>
      <c r="C143" s="958"/>
      <c r="D143" s="958"/>
      <c r="E143" s="959"/>
      <c r="F143" s="975"/>
      <c r="G143" s="976"/>
      <c r="H143" s="976"/>
      <c r="I143" s="976"/>
      <c r="J143" s="976"/>
      <c r="K143" s="976"/>
      <c r="L143" s="976"/>
      <c r="M143" s="976"/>
      <c r="N143" s="976"/>
      <c r="O143" s="976"/>
      <c r="P143" s="976"/>
      <c r="Q143" s="976"/>
      <c r="R143" s="977"/>
      <c r="S143" s="964" t="s">
        <v>1426</v>
      </c>
      <c r="T143" s="964"/>
      <c r="U143" s="964"/>
      <c r="V143" s="964"/>
      <c r="W143" s="964"/>
      <c r="X143" s="964"/>
      <c r="Y143" s="964"/>
      <c r="Z143" s="964"/>
      <c r="AA143" s="964"/>
      <c r="AB143" s="964"/>
      <c r="AC143" s="964"/>
      <c r="AD143" s="964"/>
      <c r="AE143" s="964"/>
      <c r="AF143" s="964"/>
      <c r="AG143" s="964"/>
      <c r="AH143" s="964"/>
      <c r="AI143" s="964"/>
      <c r="AJ143" s="965"/>
      <c r="AK143" s="963" t="s">
        <v>1429</v>
      </c>
      <c r="AL143" s="964"/>
      <c r="AM143" s="964"/>
      <c r="AN143" s="964"/>
      <c r="AO143" s="964"/>
      <c r="AP143" s="964"/>
      <c r="AQ143" s="964"/>
      <c r="AR143" s="964"/>
      <c r="AS143" s="964"/>
      <c r="AT143" s="964"/>
      <c r="AU143" s="964"/>
      <c r="AV143" s="964"/>
      <c r="AW143" s="964"/>
      <c r="AX143" s="964"/>
      <c r="AY143" s="964"/>
      <c r="AZ143" s="964"/>
      <c r="BA143" s="964"/>
      <c r="BB143" s="965"/>
      <c r="BC143" s="964" t="s">
        <v>679</v>
      </c>
      <c r="BD143" s="964"/>
      <c r="BE143" s="964"/>
      <c r="BF143" s="964"/>
      <c r="BG143" s="964"/>
      <c r="BH143" s="964"/>
      <c r="BI143" s="964"/>
      <c r="BJ143" s="964"/>
      <c r="BK143" s="964"/>
      <c r="BL143" s="964"/>
      <c r="BM143" s="964"/>
      <c r="BN143" s="964"/>
      <c r="BO143" s="964"/>
      <c r="BP143" s="964"/>
      <c r="BQ143" s="964"/>
      <c r="BR143" s="964"/>
      <c r="BS143" s="964"/>
      <c r="BT143" s="964"/>
      <c r="BU143" s="963" t="s">
        <v>673</v>
      </c>
      <c r="BV143" s="964"/>
      <c r="BW143" s="964"/>
      <c r="BX143" s="964"/>
      <c r="BY143" s="964"/>
      <c r="BZ143" s="964"/>
      <c r="CA143" s="964"/>
      <c r="CB143" s="964"/>
      <c r="CC143" s="964"/>
      <c r="CD143" s="964"/>
      <c r="CE143" s="964"/>
      <c r="CF143" s="964"/>
      <c r="CG143" s="964"/>
      <c r="CH143" s="964"/>
      <c r="CI143" s="964"/>
      <c r="CJ143" s="964"/>
      <c r="CK143" s="964"/>
      <c r="CL143" s="965"/>
      <c r="CM143" s="964" t="s">
        <v>673</v>
      </c>
      <c r="CN143" s="964"/>
      <c r="CO143" s="964"/>
      <c r="CP143" s="964"/>
      <c r="CQ143" s="964"/>
      <c r="CR143" s="964"/>
      <c r="CS143" s="964"/>
      <c r="CT143" s="964"/>
      <c r="CU143" s="964"/>
      <c r="CV143" s="964"/>
      <c r="CW143" s="964"/>
      <c r="CX143" s="964"/>
      <c r="CY143" s="964"/>
      <c r="CZ143" s="964"/>
      <c r="DA143" s="964"/>
      <c r="DB143" s="964"/>
      <c r="DC143" s="964"/>
      <c r="DD143" s="964"/>
      <c r="DE143" s="963" t="s">
        <v>673</v>
      </c>
      <c r="DF143" s="964"/>
      <c r="DG143" s="964"/>
      <c r="DH143" s="964"/>
      <c r="DI143" s="964"/>
      <c r="DJ143" s="964"/>
      <c r="DK143" s="964"/>
      <c r="DL143" s="964"/>
      <c r="DM143" s="964"/>
      <c r="DN143" s="964"/>
      <c r="DO143" s="964"/>
      <c r="DP143" s="964"/>
      <c r="DQ143" s="964"/>
      <c r="DR143" s="964"/>
      <c r="DS143" s="964"/>
      <c r="DT143" s="964"/>
      <c r="DU143" s="964"/>
      <c r="DV143" s="965"/>
    </row>
    <row r="144" spans="1:126" ht="16">
      <c r="A144" s="945">
        <v>6</v>
      </c>
      <c r="B144" s="946"/>
      <c r="C144" s="946"/>
      <c r="D144" s="946"/>
      <c r="E144" s="947"/>
      <c r="F144" s="921" t="s">
        <v>577</v>
      </c>
      <c r="G144" s="922"/>
      <c r="H144" s="922"/>
      <c r="I144" s="922"/>
      <c r="J144" s="922"/>
      <c r="K144" s="922"/>
      <c r="L144" s="922"/>
      <c r="M144" s="922"/>
      <c r="N144" s="922"/>
      <c r="O144" s="922"/>
      <c r="P144" s="922"/>
      <c r="Q144" s="922"/>
      <c r="R144" s="923"/>
      <c r="S144" s="967" t="s">
        <v>680</v>
      </c>
      <c r="T144" s="967"/>
      <c r="U144" s="967"/>
      <c r="V144" s="967"/>
      <c r="W144" s="967"/>
      <c r="X144" s="967"/>
      <c r="Y144" s="967"/>
      <c r="Z144" s="967"/>
      <c r="AA144" s="967"/>
      <c r="AB144" s="967"/>
      <c r="AC144" s="967"/>
      <c r="AD144" s="967"/>
      <c r="AE144" s="967"/>
      <c r="AF144" s="967"/>
      <c r="AG144" s="967"/>
      <c r="AH144" s="967"/>
      <c r="AI144" s="967"/>
      <c r="AJ144" s="968"/>
      <c r="AK144" s="966" t="s">
        <v>681</v>
      </c>
      <c r="AL144" s="967"/>
      <c r="AM144" s="967"/>
      <c r="AN144" s="967"/>
      <c r="AO144" s="967"/>
      <c r="AP144" s="967"/>
      <c r="AQ144" s="967"/>
      <c r="AR144" s="967"/>
      <c r="AS144" s="967"/>
      <c r="AT144" s="967"/>
      <c r="AU144" s="967"/>
      <c r="AV144" s="967"/>
      <c r="AW144" s="967"/>
      <c r="AX144" s="967"/>
      <c r="AY144" s="967"/>
      <c r="AZ144" s="967"/>
      <c r="BA144" s="967"/>
      <c r="BB144" s="968"/>
      <c r="BC144" s="966" t="s">
        <v>682</v>
      </c>
      <c r="BD144" s="967"/>
      <c r="BE144" s="967"/>
      <c r="BF144" s="967"/>
      <c r="BG144" s="967"/>
      <c r="BH144" s="967"/>
      <c r="BI144" s="967"/>
      <c r="BJ144" s="967"/>
      <c r="BK144" s="967"/>
      <c r="BL144" s="967"/>
      <c r="BM144" s="967"/>
      <c r="BN144" s="967"/>
      <c r="BO144" s="967"/>
      <c r="BP144" s="967"/>
      <c r="BQ144" s="967"/>
      <c r="BR144" s="967"/>
      <c r="BS144" s="967"/>
      <c r="BT144" s="968"/>
      <c r="BU144" s="966" t="s">
        <v>682</v>
      </c>
      <c r="BV144" s="967"/>
      <c r="BW144" s="967"/>
      <c r="BX144" s="967"/>
      <c r="BY144" s="967"/>
      <c r="BZ144" s="967"/>
      <c r="CA144" s="967"/>
      <c r="CB144" s="967"/>
      <c r="CC144" s="967"/>
      <c r="CD144" s="967"/>
      <c r="CE144" s="967"/>
      <c r="CF144" s="967"/>
      <c r="CG144" s="967"/>
      <c r="CH144" s="967"/>
      <c r="CI144" s="967"/>
      <c r="CJ144" s="967"/>
      <c r="CK144" s="967"/>
      <c r="CL144" s="968"/>
      <c r="CM144" s="967" t="s">
        <v>1434</v>
      </c>
      <c r="CN144" s="967"/>
      <c r="CO144" s="967"/>
      <c r="CP144" s="967"/>
      <c r="CQ144" s="967"/>
      <c r="CR144" s="967"/>
      <c r="CS144" s="967"/>
      <c r="CT144" s="967"/>
      <c r="CU144" s="967"/>
      <c r="CV144" s="967"/>
      <c r="CW144" s="967"/>
      <c r="CX144" s="967"/>
      <c r="CY144" s="967"/>
      <c r="CZ144" s="967"/>
      <c r="DA144" s="967"/>
      <c r="DB144" s="967"/>
      <c r="DC144" s="967"/>
      <c r="DD144" s="967"/>
      <c r="DE144" s="966" t="s">
        <v>1434</v>
      </c>
      <c r="DF144" s="967"/>
      <c r="DG144" s="967"/>
      <c r="DH144" s="967"/>
      <c r="DI144" s="967"/>
      <c r="DJ144" s="967"/>
      <c r="DK144" s="967"/>
      <c r="DL144" s="967"/>
      <c r="DM144" s="967"/>
      <c r="DN144" s="967"/>
      <c r="DO144" s="967"/>
      <c r="DP144" s="967"/>
      <c r="DQ144" s="967"/>
      <c r="DR144" s="967"/>
      <c r="DS144" s="967"/>
      <c r="DT144" s="967"/>
      <c r="DU144" s="967"/>
      <c r="DV144" s="968"/>
    </row>
    <row r="145" spans="1:126" ht="17" thickBot="1">
      <c r="A145" s="948"/>
      <c r="B145" s="949"/>
      <c r="C145" s="949"/>
      <c r="D145" s="949"/>
      <c r="E145" s="950"/>
      <c r="F145" s="924"/>
      <c r="G145" s="925"/>
      <c r="H145" s="925"/>
      <c r="I145" s="925"/>
      <c r="J145" s="925"/>
      <c r="K145" s="925"/>
      <c r="L145" s="925"/>
      <c r="M145" s="925"/>
      <c r="N145" s="925"/>
      <c r="O145" s="925"/>
      <c r="P145" s="925"/>
      <c r="Q145" s="925"/>
      <c r="R145" s="926"/>
      <c r="S145" s="970"/>
      <c r="T145" s="970"/>
      <c r="U145" s="970"/>
      <c r="V145" s="970"/>
      <c r="W145" s="970"/>
      <c r="X145" s="970"/>
      <c r="Y145" s="970"/>
      <c r="Z145" s="970"/>
      <c r="AA145" s="970"/>
      <c r="AB145" s="970"/>
      <c r="AC145" s="970"/>
      <c r="AD145" s="970"/>
      <c r="AE145" s="970"/>
      <c r="AF145" s="970"/>
      <c r="AG145" s="970"/>
      <c r="AH145" s="970"/>
      <c r="AI145" s="970"/>
      <c r="AJ145" s="971"/>
      <c r="AK145" s="969"/>
      <c r="AL145" s="970"/>
      <c r="AM145" s="970"/>
      <c r="AN145" s="970"/>
      <c r="AO145" s="970"/>
      <c r="AP145" s="970"/>
      <c r="AQ145" s="970"/>
      <c r="AR145" s="970"/>
      <c r="AS145" s="970"/>
      <c r="AT145" s="970"/>
      <c r="AU145" s="970"/>
      <c r="AV145" s="970"/>
      <c r="AW145" s="970"/>
      <c r="AX145" s="970"/>
      <c r="AY145" s="970"/>
      <c r="AZ145" s="970"/>
      <c r="BA145" s="970"/>
      <c r="BB145" s="971"/>
      <c r="BC145" s="969"/>
      <c r="BD145" s="970"/>
      <c r="BE145" s="970"/>
      <c r="BF145" s="970"/>
      <c r="BG145" s="970"/>
      <c r="BH145" s="970"/>
      <c r="BI145" s="970"/>
      <c r="BJ145" s="970"/>
      <c r="BK145" s="970"/>
      <c r="BL145" s="970"/>
      <c r="BM145" s="970"/>
      <c r="BN145" s="970"/>
      <c r="BO145" s="970"/>
      <c r="BP145" s="970"/>
      <c r="BQ145" s="970"/>
      <c r="BR145" s="970"/>
      <c r="BS145" s="970"/>
      <c r="BT145" s="971"/>
      <c r="BU145" s="969"/>
      <c r="BV145" s="970"/>
      <c r="BW145" s="970"/>
      <c r="BX145" s="970"/>
      <c r="BY145" s="970"/>
      <c r="BZ145" s="970"/>
      <c r="CA145" s="970"/>
      <c r="CB145" s="970"/>
      <c r="CC145" s="970"/>
      <c r="CD145" s="970"/>
      <c r="CE145" s="970"/>
      <c r="CF145" s="970"/>
      <c r="CG145" s="970"/>
      <c r="CH145" s="970"/>
      <c r="CI145" s="970"/>
      <c r="CJ145" s="970"/>
      <c r="CK145" s="970"/>
      <c r="CL145" s="971"/>
      <c r="CM145" s="970" t="s">
        <v>673</v>
      </c>
      <c r="CN145" s="970"/>
      <c r="CO145" s="970"/>
      <c r="CP145" s="970"/>
      <c r="CQ145" s="970"/>
      <c r="CR145" s="970"/>
      <c r="CS145" s="970"/>
      <c r="CT145" s="970"/>
      <c r="CU145" s="970"/>
      <c r="CV145" s="970"/>
      <c r="CW145" s="970"/>
      <c r="CX145" s="970"/>
      <c r="CY145" s="970"/>
      <c r="CZ145" s="970"/>
      <c r="DA145" s="970"/>
      <c r="DB145" s="970"/>
      <c r="DC145" s="970"/>
      <c r="DD145" s="970"/>
      <c r="DE145" s="969" t="s">
        <v>673</v>
      </c>
      <c r="DF145" s="970"/>
      <c r="DG145" s="970"/>
      <c r="DH145" s="970"/>
      <c r="DI145" s="970"/>
      <c r="DJ145" s="970"/>
      <c r="DK145" s="970"/>
      <c r="DL145" s="970"/>
      <c r="DM145" s="970"/>
      <c r="DN145" s="970"/>
      <c r="DO145" s="970"/>
      <c r="DP145" s="970"/>
      <c r="DQ145" s="970"/>
      <c r="DR145" s="970"/>
      <c r="DS145" s="970"/>
      <c r="DT145" s="970"/>
      <c r="DU145" s="970"/>
      <c r="DV145" s="971"/>
    </row>
    <row r="146" spans="1:126" ht="16">
      <c r="A146" s="954">
        <v>7</v>
      </c>
      <c r="B146" s="955"/>
      <c r="C146" s="955"/>
      <c r="D146" s="955"/>
      <c r="E146" s="956"/>
      <c r="F146" s="927" t="s">
        <v>574</v>
      </c>
      <c r="G146" s="928"/>
      <c r="H146" s="928"/>
      <c r="I146" s="928"/>
      <c r="J146" s="928"/>
      <c r="K146" s="928"/>
      <c r="L146" s="928"/>
      <c r="M146" s="928"/>
      <c r="N146" s="928"/>
      <c r="O146" s="928"/>
      <c r="P146" s="928"/>
      <c r="Q146" s="928"/>
      <c r="R146" s="929"/>
      <c r="S146" s="961" t="s">
        <v>683</v>
      </c>
      <c r="T146" s="961"/>
      <c r="U146" s="961"/>
      <c r="V146" s="961"/>
      <c r="W146" s="961"/>
      <c r="X146" s="961"/>
      <c r="Y146" s="961"/>
      <c r="Z146" s="961"/>
      <c r="AA146" s="961"/>
      <c r="AB146" s="961"/>
      <c r="AC146" s="961"/>
      <c r="AD146" s="961"/>
      <c r="AE146" s="961"/>
      <c r="AF146" s="961"/>
      <c r="AG146" s="961"/>
      <c r="AH146" s="961"/>
      <c r="AI146" s="961"/>
      <c r="AJ146" s="962"/>
      <c r="AK146" s="960" t="s">
        <v>684</v>
      </c>
      <c r="AL146" s="961"/>
      <c r="AM146" s="961"/>
      <c r="AN146" s="961"/>
      <c r="AO146" s="961"/>
      <c r="AP146" s="961"/>
      <c r="AQ146" s="961"/>
      <c r="AR146" s="961"/>
      <c r="AS146" s="961"/>
      <c r="AT146" s="961"/>
      <c r="AU146" s="961"/>
      <c r="AV146" s="961"/>
      <c r="AW146" s="961"/>
      <c r="AX146" s="961"/>
      <c r="AY146" s="961"/>
      <c r="AZ146" s="961"/>
      <c r="BA146" s="961"/>
      <c r="BB146" s="962"/>
      <c r="BC146" s="961" t="s">
        <v>685</v>
      </c>
      <c r="BD146" s="961"/>
      <c r="BE146" s="961"/>
      <c r="BF146" s="961"/>
      <c r="BG146" s="961"/>
      <c r="BH146" s="961"/>
      <c r="BI146" s="961"/>
      <c r="BJ146" s="961"/>
      <c r="BK146" s="961"/>
      <c r="BL146" s="961"/>
      <c r="BM146" s="961"/>
      <c r="BN146" s="961"/>
      <c r="BO146" s="961"/>
      <c r="BP146" s="961"/>
      <c r="BQ146" s="961"/>
      <c r="BR146" s="961"/>
      <c r="BS146" s="961"/>
      <c r="BT146" s="961"/>
      <c r="BU146" s="960" t="s">
        <v>686</v>
      </c>
      <c r="BV146" s="961"/>
      <c r="BW146" s="961"/>
      <c r="BX146" s="961"/>
      <c r="BY146" s="961"/>
      <c r="BZ146" s="961"/>
      <c r="CA146" s="961"/>
      <c r="CB146" s="961"/>
      <c r="CC146" s="961"/>
      <c r="CD146" s="961"/>
      <c r="CE146" s="961"/>
      <c r="CF146" s="961"/>
      <c r="CG146" s="961"/>
      <c r="CH146" s="961"/>
      <c r="CI146" s="961"/>
      <c r="CJ146" s="961"/>
      <c r="CK146" s="961"/>
      <c r="CL146" s="962"/>
      <c r="CM146" s="961" t="s">
        <v>687</v>
      </c>
      <c r="CN146" s="961"/>
      <c r="CO146" s="961"/>
      <c r="CP146" s="961"/>
      <c r="CQ146" s="961"/>
      <c r="CR146" s="961"/>
      <c r="CS146" s="961"/>
      <c r="CT146" s="961"/>
      <c r="CU146" s="961"/>
      <c r="CV146" s="961"/>
      <c r="CW146" s="961"/>
      <c r="CX146" s="961"/>
      <c r="CY146" s="961"/>
      <c r="CZ146" s="961"/>
      <c r="DA146" s="961"/>
      <c r="DB146" s="961"/>
      <c r="DC146" s="961"/>
      <c r="DD146" s="961"/>
      <c r="DE146" s="960" t="s">
        <v>688</v>
      </c>
      <c r="DF146" s="961"/>
      <c r="DG146" s="961"/>
      <c r="DH146" s="961"/>
      <c r="DI146" s="961"/>
      <c r="DJ146" s="961"/>
      <c r="DK146" s="961"/>
      <c r="DL146" s="961"/>
      <c r="DM146" s="961"/>
      <c r="DN146" s="961"/>
      <c r="DO146" s="961"/>
      <c r="DP146" s="961"/>
      <c r="DQ146" s="961"/>
      <c r="DR146" s="961"/>
      <c r="DS146" s="961"/>
      <c r="DT146" s="961"/>
      <c r="DU146" s="961"/>
      <c r="DV146" s="962"/>
    </row>
    <row r="147" spans="1:126" ht="17" thickBot="1">
      <c r="A147" s="957"/>
      <c r="B147" s="958"/>
      <c r="C147" s="958"/>
      <c r="D147" s="958"/>
      <c r="E147" s="959"/>
      <c r="F147" s="930"/>
      <c r="G147" s="931"/>
      <c r="H147" s="931"/>
      <c r="I147" s="931"/>
      <c r="J147" s="931"/>
      <c r="K147" s="931"/>
      <c r="L147" s="931"/>
      <c r="M147" s="931"/>
      <c r="N147" s="931"/>
      <c r="O147" s="931"/>
      <c r="P147" s="931"/>
      <c r="Q147" s="931"/>
      <c r="R147" s="932"/>
      <c r="S147" s="964"/>
      <c r="T147" s="964"/>
      <c r="U147" s="964"/>
      <c r="V147" s="964"/>
      <c r="W147" s="964"/>
      <c r="X147" s="964"/>
      <c r="Y147" s="964"/>
      <c r="Z147" s="964"/>
      <c r="AA147" s="964"/>
      <c r="AB147" s="964"/>
      <c r="AC147" s="964"/>
      <c r="AD147" s="964"/>
      <c r="AE147" s="964"/>
      <c r="AF147" s="964"/>
      <c r="AG147" s="964"/>
      <c r="AH147" s="964"/>
      <c r="AI147" s="964"/>
      <c r="AJ147" s="965"/>
      <c r="AK147" s="963"/>
      <c r="AL147" s="964"/>
      <c r="AM147" s="964"/>
      <c r="AN147" s="964"/>
      <c r="AO147" s="964"/>
      <c r="AP147" s="964"/>
      <c r="AQ147" s="964"/>
      <c r="AR147" s="964"/>
      <c r="AS147" s="964"/>
      <c r="AT147" s="964"/>
      <c r="AU147" s="964"/>
      <c r="AV147" s="964"/>
      <c r="AW147" s="964"/>
      <c r="AX147" s="964"/>
      <c r="AY147" s="964"/>
      <c r="AZ147" s="964"/>
      <c r="BA147" s="964"/>
      <c r="BB147" s="965"/>
      <c r="BC147" s="964"/>
      <c r="BD147" s="964"/>
      <c r="BE147" s="964"/>
      <c r="BF147" s="964"/>
      <c r="BG147" s="964"/>
      <c r="BH147" s="964"/>
      <c r="BI147" s="964"/>
      <c r="BJ147" s="964"/>
      <c r="BK147" s="964"/>
      <c r="BL147" s="964"/>
      <c r="BM147" s="964"/>
      <c r="BN147" s="964"/>
      <c r="BO147" s="964"/>
      <c r="BP147" s="964"/>
      <c r="BQ147" s="964"/>
      <c r="BR147" s="964"/>
      <c r="BS147" s="964"/>
      <c r="BT147" s="964"/>
      <c r="BU147" s="963"/>
      <c r="BV147" s="964"/>
      <c r="BW147" s="964"/>
      <c r="BX147" s="964"/>
      <c r="BY147" s="964"/>
      <c r="BZ147" s="964"/>
      <c r="CA147" s="964"/>
      <c r="CB147" s="964"/>
      <c r="CC147" s="964"/>
      <c r="CD147" s="964"/>
      <c r="CE147" s="964"/>
      <c r="CF147" s="964"/>
      <c r="CG147" s="964"/>
      <c r="CH147" s="964"/>
      <c r="CI147" s="964"/>
      <c r="CJ147" s="964"/>
      <c r="CK147" s="964"/>
      <c r="CL147" s="965"/>
      <c r="CM147" s="964"/>
      <c r="CN147" s="964"/>
      <c r="CO147" s="964"/>
      <c r="CP147" s="964"/>
      <c r="CQ147" s="964"/>
      <c r="CR147" s="964"/>
      <c r="CS147" s="964"/>
      <c r="CT147" s="964"/>
      <c r="CU147" s="964"/>
      <c r="CV147" s="964"/>
      <c r="CW147" s="964"/>
      <c r="CX147" s="964"/>
      <c r="CY147" s="964"/>
      <c r="CZ147" s="964"/>
      <c r="DA147" s="964"/>
      <c r="DB147" s="964"/>
      <c r="DC147" s="964"/>
      <c r="DD147" s="964"/>
      <c r="DE147" s="963"/>
      <c r="DF147" s="964"/>
      <c r="DG147" s="964"/>
      <c r="DH147" s="964"/>
      <c r="DI147" s="964"/>
      <c r="DJ147" s="964"/>
      <c r="DK147" s="964"/>
      <c r="DL147" s="964"/>
      <c r="DM147" s="964"/>
      <c r="DN147" s="964"/>
      <c r="DO147" s="964"/>
      <c r="DP147" s="964"/>
      <c r="DQ147" s="964"/>
      <c r="DR147" s="964"/>
      <c r="DS147" s="964"/>
      <c r="DT147" s="964"/>
      <c r="DU147" s="964"/>
      <c r="DV147" s="965"/>
    </row>
    <row r="148" spans="1:126" ht="16">
      <c r="A148" s="945">
        <v>8</v>
      </c>
      <c r="B148" s="946"/>
      <c r="C148" s="946"/>
      <c r="D148" s="946"/>
      <c r="E148" s="947"/>
      <c r="F148" s="939" t="str">
        <f>"M-Drive"&amp;IF('2-Drives'!C13="No",""," (CS-1)")</f>
        <v>M-Drive</v>
      </c>
      <c r="G148" s="940"/>
      <c r="H148" s="940"/>
      <c r="I148" s="940"/>
      <c r="J148" s="940"/>
      <c r="K148" s="940"/>
      <c r="L148" s="940"/>
      <c r="M148" s="940"/>
      <c r="N148" s="940"/>
      <c r="O148" s="940"/>
      <c r="P148" s="940"/>
      <c r="Q148" s="940"/>
      <c r="R148" s="941"/>
      <c r="S148" s="966" t="s">
        <v>689</v>
      </c>
      <c r="T148" s="967"/>
      <c r="U148" s="967"/>
      <c r="V148" s="967"/>
      <c r="W148" s="967"/>
      <c r="X148" s="967"/>
      <c r="Y148" s="967"/>
      <c r="Z148" s="967"/>
      <c r="AA148" s="967"/>
      <c r="AB148" s="967"/>
      <c r="AC148" s="967"/>
      <c r="AD148" s="967"/>
      <c r="AE148" s="967"/>
      <c r="AF148" s="967"/>
      <c r="AG148" s="967"/>
      <c r="AH148" s="967"/>
      <c r="AI148" s="967"/>
      <c r="AJ148" s="968"/>
      <c r="AK148" s="966" t="s">
        <v>1681</v>
      </c>
      <c r="AL148" s="967"/>
      <c r="AM148" s="967"/>
      <c r="AN148" s="967"/>
      <c r="AO148" s="967"/>
      <c r="AP148" s="967"/>
      <c r="AQ148" s="967"/>
      <c r="AR148" s="967"/>
      <c r="AS148" s="967"/>
      <c r="AT148" s="967"/>
      <c r="AU148" s="967"/>
      <c r="AV148" s="967"/>
      <c r="AW148" s="967"/>
      <c r="AX148" s="967"/>
      <c r="AY148" s="967"/>
      <c r="AZ148" s="967"/>
      <c r="BA148" s="967"/>
      <c r="BB148" s="968"/>
      <c r="BC148" s="967" t="s">
        <v>1682</v>
      </c>
      <c r="BD148" s="967"/>
      <c r="BE148" s="967"/>
      <c r="BF148" s="967"/>
      <c r="BG148" s="967"/>
      <c r="BH148" s="967"/>
      <c r="BI148" s="967"/>
      <c r="BJ148" s="967"/>
      <c r="BK148" s="967"/>
      <c r="BL148" s="967"/>
      <c r="BM148" s="967"/>
      <c r="BN148" s="967"/>
      <c r="BO148" s="967"/>
      <c r="BP148" s="967"/>
      <c r="BQ148" s="967"/>
      <c r="BR148" s="967"/>
      <c r="BS148" s="967"/>
      <c r="BT148" s="967"/>
      <c r="BU148" s="966" t="s">
        <v>1683</v>
      </c>
      <c r="BV148" s="967"/>
      <c r="BW148" s="967"/>
      <c r="BX148" s="967"/>
      <c r="BY148" s="967"/>
      <c r="BZ148" s="967"/>
      <c r="CA148" s="967"/>
      <c r="CB148" s="967"/>
      <c r="CC148" s="967"/>
      <c r="CD148" s="967"/>
      <c r="CE148" s="967"/>
      <c r="CF148" s="967"/>
      <c r="CG148" s="967"/>
      <c r="CH148" s="967"/>
      <c r="CI148" s="967"/>
      <c r="CJ148" s="967"/>
      <c r="CK148" s="967"/>
      <c r="CL148" s="968"/>
      <c r="CM148" s="966" t="s">
        <v>693</v>
      </c>
      <c r="CN148" s="967"/>
      <c r="CO148" s="967"/>
      <c r="CP148" s="967"/>
      <c r="CQ148" s="967"/>
      <c r="CR148" s="967"/>
      <c r="CS148" s="967"/>
      <c r="CT148" s="967"/>
      <c r="CU148" s="967"/>
      <c r="CV148" s="967"/>
      <c r="CW148" s="967"/>
      <c r="CX148" s="967"/>
      <c r="CY148" s="967"/>
      <c r="CZ148" s="967"/>
      <c r="DA148" s="967"/>
      <c r="DB148" s="967"/>
      <c r="DC148" s="967"/>
      <c r="DD148" s="968"/>
      <c r="DE148" s="966" t="s">
        <v>673</v>
      </c>
      <c r="DF148" s="967"/>
      <c r="DG148" s="967"/>
      <c r="DH148" s="967"/>
      <c r="DI148" s="967"/>
      <c r="DJ148" s="967"/>
      <c r="DK148" s="967"/>
      <c r="DL148" s="967"/>
      <c r="DM148" s="967"/>
      <c r="DN148" s="967"/>
      <c r="DO148" s="967"/>
      <c r="DP148" s="967"/>
      <c r="DQ148" s="967"/>
      <c r="DR148" s="967"/>
      <c r="DS148" s="967"/>
      <c r="DT148" s="967"/>
      <c r="DU148" s="967"/>
      <c r="DV148" s="968"/>
    </row>
    <row r="149" spans="1:126" ht="17" thickBot="1">
      <c r="A149" s="948"/>
      <c r="B149" s="949"/>
      <c r="C149" s="949"/>
      <c r="D149" s="949"/>
      <c r="E149" s="950"/>
      <c r="F149" s="942"/>
      <c r="G149" s="943"/>
      <c r="H149" s="943"/>
      <c r="I149" s="943"/>
      <c r="J149" s="943"/>
      <c r="K149" s="943"/>
      <c r="L149" s="943"/>
      <c r="M149" s="943"/>
      <c r="N149" s="943"/>
      <c r="O149" s="943"/>
      <c r="P149" s="943"/>
      <c r="Q149" s="943"/>
      <c r="R149" s="944"/>
      <c r="S149" s="969"/>
      <c r="T149" s="970"/>
      <c r="U149" s="970"/>
      <c r="V149" s="970"/>
      <c r="W149" s="970"/>
      <c r="X149" s="970"/>
      <c r="Y149" s="970"/>
      <c r="Z149" s="970"/>
      <c r="AA149" s="970"/>
      <c r="AB149" s="970"/>
      <c r="AC149" s="970"/>
      <c r="AD149" s="970"/>
      <c r="AE149" s="970"/>
      <c r="AF149" s="970"/>
      <c r="AG149" s="970"/>
      <c r="AH149" s="970"/>
      <c r="AI149" s="970"/>
      <c r="AJ149" s="971"/>
      <c r="AK149" s="969" t="s">
        <v>1680</v>
      </c>
      <c r="AL149" s="970"/>
      <c r="AM149" s="970"/>
      <c r="AN149" s="970"/>
      <c r="AO149" s="970"/>
      <c r="AP149" s="970"/>
      <c r="AQ149" s="970"/>
      <c r="AR149" s="970"/>
      <c r="AS149" s="970"/>
      <c r="AT149" s="970"/>
      <c r="AU149" s="970"/>
      <c r="AV149" s="970"/>
      <c r="AW149" s="970"/>
      <c r="AX149" s="970"/>
      <c r="AY149" s="970"/>
      <c r="AZ149" s="970"/>
      <c r="BA149" s="970"/>
      <c r="BB149" s="971"/>
      <c r="BC149" s="970" t="s">
        <v>1680</v>
      </c>
      <c r="BD149" s="970"/>
      <c r="BE149" s="970"/>
      <c r="BF149" s="970"/>
      <c r="BG149" s="970"/>
      <c r="BH149" s="970"/>
      <c r="BI149" s="970"/>
      <c r="BJ149" s="970"/>
      <c r="BK149" s="970"/>
      <c r="BL149" s="970"/>
      <c r="BM149" s="970"/>
      <c r="BN149" s="970"/>
      <c r="BO149" s="970"/>
      <c r="BP149" s="970"/>
      <c r="BQ149" s="970"/>
      <c r="BR149" s="970"/>
      <c r="BS149" s="970"/>
      <c r="BT149" s="970"/>
      <c r="BU149" s="969" t="s">
        <v>1680</v>
      </c>
      <c r="BV149" s="970"/>
      <c r="BW149" s="970"/>
      <c r="BX149" s="970"/>
      <c r="BY149" s="970"/>
      <c r="BZ149" s="970"/>
      <c r="CA149" s="970"/>
      <c r="CB149" s="970"/>
      <c r="CC149" s="970"/>
      <c r="CD149" s="970"/>
      <c r="CE149" s="970"/>
      <c r="CF149" s="970"/>
      <c r="CG149" s="970"/>
      <c r="CH149" s="970"/>
      <c r="CI149" s="970"/>
      <c r="CJ149" s="970"/>
      <c r="CK149" s="970"/>
      <c r="CL149" s="971"/>
      <c r="CM149" s="969"/>
      <c r="CN149" s="970"/>
      <c r="CO149" s="970"/>
      <c r="CP149" s="970"/>
      <c r="CQ149" s="970"/>
      <c r="CR149" s="970"/>
      <c r="CS149" s="970"/>
      <c r="CT149" s="970"/>
      <c r="CU149" s="970"/>
      <c r="CV149" s="970"/>
      <c r="CW149" s="970"/>
      <c r="CX149" s="970"/>
      <c r="CY149" s="970"/>
      <c r="CZ149" s="970"/>
      <c r="DA149" s="970"/>
      <c r="DB149" s="970"/>
      <c r="DC149" s="970"/>
      <c r="DD149" s="971"/>
      <c r="DE149" s="969"/>
      <c r="DF149" s="970"/>
      <c r="DG149" s="970"/>
      <c r="DH149" s="970"/>
      <c r="DI149" s="970"/>
      <c r="DJ149" s="970"/>
      <c r="DK149" s="970"/>
      <c r="DL149" s="970"/>
      <c r="DM149" s="970"/>
      <c r="DN149" s="970"/>
      <c r="DO149" s="970"/>
      <c r="DP149" s="970"/>
      <c r="DQ149" s="970"/>
      <c r="DR149" s="970"/>
      <c r="DS149" s="970"/>
      <c r="DT149" s="970"/>
      <c r="DU149" s="970"/>
      <c r="DV149" s="971"/>
    </row>
    <row r="150" spans="1:126" ht="16">
      <c r="A150" s="954">
        <v>9</v>
      </c>
      <c r="B150" s="955"/>
      <c r="C150" s="955"/>
      <c r="D150" s="955"/>
      <c r="E150" s="956"/>
      <c r="F150" s="972" t="str">
        <f>"Cargo"&amp;IF('12-Cargo'!D50="Yes"," (CS-1*)","")</f>
        <v>Cargo</v>
      </c>
      <c r="G150" s="973"/>
      <c r="H150" s="973"/>
      <c r="I150" s="973"/>
      <c r="J150" s="973"/>
      <c r="K150" s="973"/>
      <c r="L150" s="973"/>
      <c r="M150" s="973"/>
      <c r="N150" s="973"/>
      <c r="O150" s="973"/>
      <c r="P150" s="973"/>
      <c r="Q150" s="973"/>
      <c r="R150" s="974"/>
      <c r="S150" s="961" t="s">
        <v>694</v>
      </c>
      <c r="T150" s="961"/>
      <c r="U150" s="961"/>
      <c r="V150" s="961"/>
      <c r="W150" s="961"/>
      <c r="X150" s="961"/>
      <c r="Y150" s="961"/>
      <c r="Z150" s="961"/>
      <c r="AA150" s="961"/>
      <c r="AB150" s="961"/>
      <c r="AC150" s="961"/>
      <c r="AD150" s="961"/>
      <c r="AE150" s="961"/>
      <c r="AF150" s="961"/>
      <c r="AG150" s="961"/>
      <c r="AH150" s="961"/>
      <c r="AI150" s="961"/>
      <c r="AJ150" s="962"/>
      <c r="AK150" s="960" t="str">
        <f>"- 1D*10%"</f>
        <v>- 1D*10%</v>
      </c>
      <c r="AL150" s="961"/>
      <c r="AM150" s="961"/>
      <c r="AN150" s="961"/>
      <c r="AO150" s="961"/>
      <c r="AP150" s="961"/>
      <c r="AQ150" s="961"/>
      <c r="AR150" s="961"/>
      <c r="AS150" s="961"/>
      <c r="AT150" s="961"/>
      <c r="AU150" s="961"/>
      <c r="AV150" s="961"/>
      <c r="AW150" s="961"/>
      <c r="AX150" s="961"/>
      <c r="AY150" s="961"/>
      <c r="AZ150" s="961"/>
      <c r="BA150" s="961"/>
      <c r="BB150" s="962"/>
      <c r="BC150" s="961" t="str">
        <f>"-2D*10%"</f>
        <v>-2D*10%</v>
      </c>
      <c r="BD150" s="961"/>
      <c r="BE150" s="961"/>
      <c r="BF150" s="961"/>
      <c r="BG150" s="961"/>
      <c r="BH150" s="961"/>
      <c r="BI150" s="961"/>
      <c r="BJ150" s="961"/>
      <c r="BK150" s="961"/>
      <c r="BL150" s="961"/>
      <c r="BM150" s="961"/>
      <c r="BN150" s="961"/>
      <c r="BO150" s="961"/>
      <c r="BP150" s="961"/>
      <c r="BQ150" s="961"/>
      <c r="BR150" s="961"/>
      <c r="BS150" s="961"/>
      <c r="BT150" s="961"/>
      <c r="BU150" s="960" t="str">
        <f>" All Cargo"</f>
        <v xml:space="preserve"> All Cargo</v>
      </c>
      <c r="BV150" s="961"/>
      <c r="BW150" s="961"/>
      <c r="BX150" s="961"/>
      <c r="BY150" s="961"/>
      <c r="BZ150" s="961"/>
      <c r="CA150" s="961"/>
      <c r="CB150" s="961"/>
      <c r="CC150" s="961"/>
      <c r="CD150" s="961"/>
      <c r="CE150" s="961"/>
      <c r="CF150" s="961"/>
      <c r="CG150" s="961"/>
      <c r="CH150" s="961"/>
      <c r="CI150" s="961"/>
      <c r="CJ150" s="961"/>
      <c r="CK150" s="961"/>
      <c r="CL150" s="962"/>
      <c r="CM150" s="960" t="s">
        <v>673</v>
      </c>
      <c r="CN150" s="961"/>
      <c r="CO150" s="961"/>
      <c r="CP150" s="961"/>
      <c r="CQ150" s="961"/>
      <c r="CR150" s="961"/>
      <c r="CS150" s="961"/>
      <c r="CT150" s="961"/>
      <c r="CU150" s="961"/>
      <c r="CV150" s="961"/>
      <c r="CW150" s="961"/>
      <c r="CX150" s="961"/>
      <c r="CY150" s="961"/>
      <c r="CZ150" s="961"/>
      <c r="DA150" s="961"/>
      <c r="DB150" s="961"/>
      <c r="DC150" s="961"/>
      <c r="DD150" s="962"/>
      <c r="DE150" s="960" t="s">
        <v>673</v>
      </c>
      <c r="DF150" s="961"/>
      <c r="DG150" s="961"/>
      <c r="DH150" s="961"/>
      <c r="DI150" s="961"/>
      <c r="DJ150" s="961"/>
      <c r="DK150" s="961"/>
      <c r="DL150" s="961"/>
      <c r="DM150" s="961"/>
      <c r="DN150" s="961"/>
      <c r="DO150" s="961"/>
      <c r="DP150" s="961"/>
      <c r="DQ150" s="961"/>
      <c r="DR150" s="961"/>
      <c r="DS150" s="961"/>
      <c r="DT150" s="961"/>
      <c r="DU150" s="961"/>
      <c r="DV150" s="962"/>
    </row>
    <row r="151" spans="1:126" ht="17" thickBot="1">
      <c r="A151" s="957"/>
      <c r="B151" s="958"/>
      <c r="C151" s="958"/>
      <c r="D151" s="958"/>
      <c r="E151" s="959"/>
      <c r="F151" s="975"/>
      <c r="G151" s="976"/>
      <c r="H151" s="976"/>
      <c r="I151" s="976"/>
      <c r="J151" s="976"/>
      <c r="K151" s="976"/>
      <c r="L151" s="976"/>
      <c r="M151" s="976"/>
      <c r="N151" s="976"/>
      <c r="O151" s="976"/>
      <c r="P151" s="976"/>
      <c r="Q151" s="976"/>
      <c r="R151" s="977"/>
      <c r="S151" s="964" t="s">
        <v>610</v>
      </c>
      <c r="T151" s="964"/>
      <c r="U151" s="964"/>
      <c r="V151" s="964"/>
      <c r="W151" s="964"/>
      <c r="X151" s="964"/>
      <c r="Y151" s="964"/>
      <c r="Z151" s="964"/>
      <c r="AA151" s="964"/>
      <c r="AB151" s="964"/>
      <c r="AC151" s="964"/>
      <c r="AD151" s="964"/>
      <c r="AE151" s="964"/>
      <c r="AF151" s="964"/>
      <c r="AG151" s="964"/>
      <c r="AH151" s="964"/>
      <c r="AI151" s="964"/>
      <c r="AJ151" s="965"/>
      <c r="AK151" s="963" t="s">
        <v>610</v>
      </c>
      <c r="AL151" s="964"/>
      <c r="AM151" s="964"/>
      <c r="AN151" s="964"/>
      <c r="AO151" s="964"/>
      <c r="AP151" s="964"/>
      <c r="AQ151" s="964"/>
      <c r="AR151" s="964"/>
      <c r="AS151" s="964"/>
      <c r="AT151" s="964"/>
      <c r="AU151" s="964"/>
      <c r="AV151" s="964"/>
      <c r="AW151" s="964"/>
      <c r="AX151" s="964"/>
      <c r="AY151" s="964"/>
      <c r="AZ151" s="964"/>
      <c r="BA151" s="964"/>
      <c r="BB151" s="965"/>
      <c r="BC151" s="964" t="s">
        <v>610</v>
      </c>
      <c r="BD151" s="964"/>
      <c r="BE151" s="964"/>
      <c r="BF151" s="964"/>
      <c r="BG151" s="964"/>
      <c r="BH151" s="964"/>
      <c r="BI151" s="964"/>
      <c r="BJ151" s="964"/>
      <c r="BK151" s="964"/>
      <c r="BL151" s="964"/>
      <c r="BM151" s="964"/>
      <c r="BN151" s="964"/>
      <c r="BO151" s="964"/>
      <c r="BP151" s="964"/>
      <c r="BQ151" s="964"/>
      <c r="BR151" s="964"/>
      <c r="BS151" s="964"/>
      <c r="BT151" s="964"/>
      <c r="BU151" s="963" t="s">
        <v>679</v>
      </c>
      <c r="BV151" s="964"/>
      <c r="BW151" s="964"/>
      <c r="BX151" s="964"/>
      <c r="BY151" s="964"/>
      <c r="BZ151" s="964"/>
      <c r="CA151" s="964"/>
      <c r="CB151" s="964"/>
      <c r="CC151" s="964"/>
      <c r="CD151" s="964"/>
      <c r="CE151" s="964"/>
      <c r="CF151" s="964"/>
      <c r="CG151" s="964"/>
      <c r="CH151" s="964"/>
      <c r="CI151" s="964"/>
      <c r="CJ151" s="964"/>
      <c r="CK151" s="964"/>
      <c r="CL151" s="965"/>
      <c r="CM151" s="963"/>
      <c r="CN151" s="964"/>
      <c r="CO151" s="964"/>
      <c r="CP151" s="964"/>
      <c r="CQ151" s="964"/>
      <c r="CR151" s="964"/>
      <c r="CS151" s="964"/>
      <c r="CT151" s="964"/>
      <c r="CU151" s="964"/>
      <c r="CV151" s="964"/>
      <c r="CW151" s="964"/>
      <c r="CX151" s="964"/>
      <c r="CY151" s="964"/>
      <c r="CZ151" s="964"/>
      <c r="DA151" s="964"/>
      <c r="DB151" s="964"/>
      <c r="DC151" s="964"/>
      <c r="DD151" s="965"/>
      <c r="DE151" s="963"/>
      <c r="DF151" s="964"/>
      <c r="DG151" s="964"/>
      <c r="DH151" s="964"/>
      <c r="DI151" s="964"/>
      <c r="DJ151" s="964"/>
      <c r="DK151" s="964"/>
      <c r="DL151" s="964"/>
      <c r="DM151" s="964"/>
      <c r="DN151" s="964"/>
      <c r="DO151" s="964"/>
      <c r="DP151" s="964"/>
      <c r="DQ151" s="964"/>
      <c r="DR151" s="964"/>
      <c r="DS151" s="964"/>
      <c r="DT151" s="964"/>
      <c r="DU151" s="964"/>
      <c r="DV151" s="965"/>
    </row>
    <row r="152" spans="1:126" ht="15.75" customHeight="1">
      <c r="A152" s="989">
        <v>10</v>
      </c>
      <c r="B152" s="990"/>
      <c r="C152" s="990"/>
      <c r="D152" s="990"/>
      <c r="E152" s="991"/>
      <c r="F152" s="939" t="str">
        <f>"J-Drive"&amp;IF('2-Drives'!C27="No",""," (CS-1)")</f>
        <v>J-Drive</v>
      </c>
      <c r="G152" s="940"/>
      <c r="H152" s="940"/>
      <c r="I152" s="940"/>
      <c r="J152" s="940"/>
      <c r="K152" s="940"/>
      <c r="L152" s="940"/>
      <c r="M152" s="940"/>
      <c r="N152" s="940"/>
      <c r="O152" s="940"/>
      <c r="P152" s="940"/>
      <c r="Q152" s="940"/>
      <c r="R152" s="941"/>
      <c r="S152" s="1005" t="s">
        <v>695</v>
      </c>
      <c r="T152" s="1001"/>
      <c r="U152" s="1001"/>
      <c r="V152" s="1001"/>
      <c r="W152" s="1001"/>
      <c r="X152" s="1001"/>
      <c r="Y152" s="1001"/>
      <c r="Z152" s="1001"/>
      <c r="AA152" s="1001"/>
      <c r="AB152" s="1001"/>
      <c r="AC152" s="1001"/>
      <c r="AD152" s="1001"/>
      <c r="AE152" s="1001"/>
      <c r="AF152" s="1001"/>
      <c r="AG152" s="1001"/>
      <c r="AH152" s="1001"/>
      <c r="AI152" s="1001"/>
      <c r="AJ152" s="1006"/>
      <c r="AK152" s="1005" t="s">
        <v>672</v>
      </c>
      <c r="AL152" s="1001"/>
      <c r="AM152" s="1001"/>
      <c r="AN152" s="1001"/>
      <c r="AO152" s="1001"/>
      <c r="AP152" s="1001"/>
      <c r="AQ152" s="1001"/>
      <c r="AR152" s="1001"/>
      <c r="AS152" s="1001"/>
      <c r="AT152" s="1001"/>
      <c r="AU152" s="1001"/>
      <c r="AV152" s="1001"/>
      <c r="AW152" s="1001"/>
      <c r="AX152" s="1001"/>
      <c r="AY152" s="1001"/>
      <c r="AZ152" s="1001"/>
      <c r="BA152" s="1001"/>
      <c r="BB152" s="1006"/>
      <c r="BC152" s="1005" t="s">
        <v>679</v>
      </c>
      <c r="BD152" s="1001"/>
      <c r="BE152" s="1001"/>
      <c r="BF152" s="1001"/>
      <c r="BG152" s="1001"/>
      <c r="BH152" s="1001"/>
      <c r="BI152" s="1001"/>
      <c r="BJ152" s="1001"/>
      <c r="BK152" s="1001"/>
      <c r="BL152" s="1001"/>
      <c r="BM152" s="1001"/>
      <c r="BN152" s="1001"/>
      <c r="BO152" s="1001"/>
      <c r="BP152" s="1001"/>
      <c r="BQ152" s="1001"/>
      <c r="BR152" s="1001"/>
      <c r="BS152" s="1001"/>
      <c r="BT152" s="1006"/>
      <c r="BU152" s="1005" t="s">
        <v>673</v>
      </c>
      <c r="BV152" s="1001"/>
      <c r="BW152" s="1001"/>
      <c r="BX152" s="1001"/>
      <c r="BY152" s="1001"/>
      <c r="BZ152" s="1001"/>
      <c r="CA152" s="1001"/>
      <c r="CB152" s="1001"/>
      <c r="CC152" s="1001"/>
      <c r="CD152" s="1001"/>
      <c r="CE152" s="1001"/>
      <c r="CF152" s="1001"/>
      <c r="CG152" s="1001"/>
      <c r="CH152" s="1001"/>
      <c r="CI152" s="1001"/>
      <c r="CJ152" s="1001"/>
      <c r="CK152" s="1001"/>
      <c r="CL152" s="1006"/>
      <c r="CM152" s="1005" t="s">
        <v>673</v>
      </c>
      <c r="CN152" s="1001"/>
      <c r="CO152" s="1001"/>
      <c r="CP152" s="1001"/>
      <c r="CQ152" s="1001"/>
      <c r="CR152" s="1001"/>
      <c r="CS152" s="1001"/>
      <c r="CT152" s="1001"/>
      <c r="CU152" s="1001"/>
      <c r="CV152" s="1001"/>
      <c r="CW152" s="1001"/>
      <c r="CX152" s="1001"/>
      <c r="CY152" s="1001"/>
      <c r="CZ152" s="1001"/>
      <c r="DA152" s="1001"/>
      <c r="DB152" s="1001"/>
      <c r="DC152" s="1001"/>
      <c r="DD152" s="1006"/>
      <c r="DE152" s="1005" t="s">
        <v>673</v>
      </c>
      <c r="DF152" s="1001"/>
      <c r="DG152" s="1001"/>
      <c r="DH152" s="1001"/>
      <c r="DI152" s="1001"/>
      <c r="DJ152" s="1001"/>
      <c r="DK152" s="1001"/>
      <c r="DL152" s="1001"/>
      <c r="DM152" s="1001"/>
      <c r="DN152" s="1001"/>
      <c r="DO152" s="1001"/>
      <c r="DP152" s="1001"/>
      <c r="DQ152" s="1001"/>
      <c r="DR152" s="1001"/>
      <c r="DS152" s="1001"/>
      <c r="DT152" s="1001"/>
      <c r="DU152" s="1001"/>
      <c r="DV152" s="1006"/>
    </row>
    <row r="153" spans="1:126" ht="16" thickBot="1">
      <c r="A153" s="992"/>
      <c r="B153" s="993"/>
      <c r="C153" s="993"/>
      <c r="D153" s="993"/>
      <c r="E153" s="994"/>
      <c r="F153" s="942"/>
      <c r="G153" s="943"/>
      <c r="H153" s="943"/>
      <c r="I153" s="943"/>
      <c r="J153" s="943"/>
      <c r="K153" s="943"/>
      <c r="L153" s="943"/>
      <c r="M153" s="943"/>
      <c r="N153" s="943"/>
      <c r="O153" s="943"/>
      <c r="P153" s="943"/>
      <c r="Q153" s="943"/>
      <c r="R153" s="944"/>
      <c r="S153" s="1007"/>
      <c r="T153" s="1002"/>
      <c r="U153" s="1002"/>
      <c r="V153" s="1002"/>
      <c r="W153" s="1002"/>
      <c r="X153" s="1002"/>
      <c r="Y153" s="1002"/>
      <c r="Z153" s="1002"/>
      <c r="AA153" s="1002"/>
      <c r="AB153" s="1002"/>
      <c r="AC153" s="1002"/>
      <c r="AD153" s="1002"/>
      <c r="AE153" s="1002"/>
      <c r="AF153" s="1002"/>
      <c r="AG153" s="1002"/>
      <c r="AH153" s="1002"/>
      <c r="AI153" s="1002"/>
      <c r="AJ153" s="1008"/>
      <c r="AK153" s="1007"/>
      <c r="AL153" s="1002"/>
      <c r="AM153" s="1002"/>
      <c r="AN153" s="1002"/>
      <c r="AO153" s="1002"/>
      <c r="AP153" s="1002"/>
      <c r="AQ153" s="1002"/>
      <c r="AR153" s="1002"/>
      <c r="AS153" s="1002"/>
      <c r="AT153" s="1002"/>
      <c r="AU153" s="1002"/>
      <c r="AV153" s="1002"/>
      <c r="AW153" s="1002"/>
      <c r="AX153" s="1002"/>
      <c r="AY153" s="1002"/>
      <c r="AZ153" s="1002"/>
      <c r="BA153" s="1002"/>
      <c r="BB153" s="1008"/>
      <c r="BC153" s="1007"/>
      <c r="BD153" s="1002"/>
      <c r="BE153" s="1002"/>
      <c r="BF153" s="1002"/>
      <c r="BG153" s="1002"/>
      <c r="BH153" s="1002"/>
      <c r="BI153" s="1002"/>
      <c r="BJ153" s="1002"/>
      <c r="BK153" s="1002"/>
      <c r="BL153" s="1002"/>
      <c r="BM153" s="1002"/>
      <c r="BN153" s="1002"/>
      <c r="BO153" s="1002"/>
      <c r="BP153" s="1002"/>
      <c r="BQ153" s="1002"/>
      <c r="BR153" s="1002"/>
      <c r="BS153" s="1002"/>
      <c r="BT153" s="1008"/>
      <c r="BU153" s="1007"/>
      <c r="BV153" s="1002"/>
      <c r="BW153" s="1002"/>
      <c r="BX153" s="1002"/>
      <c r="BY153" s="1002"/>
      <c r="BZ153" s="1002"/>
      <c r="CA153" s="1002"/>
      <c r="CB153" s="1002"/>
      <c r="CC153" s="1002"/>
      <c r="CD153" s="1002"/>
      <c r="CE153" s="1002"/>
      <c r="CF153" s="1002"/>
      <c r="CG153" s="1002"/>
      <c r="CH153" s="1002"/>
      <c r="CI153" s="1002"/>
      <c r="CJ153" s="1002"/>
      <c r="CK153" s="1002"/>
      <c r="CL153" s="1008"/>
      <c r="CM153" s="1007"/>
      <c r="CN153" s="1002"/>
      <c r="CO153" s="1002"/>
      <c r="CP153" s="1002"/>
      <c r="CQ153" s="1002"/>
      <c r="CR153" s="1002"/>
      <c r="CS153" s="1002"/>
      <c r="CT153" s="1002"/>
      <c r="CU153" s="1002"/>
      <c r="CV153" s="1002"/>
      <c r="CW153" s="1002"/>
      <c r="CX153" s="1002"/>
      <c r="CY153" s="1002"/>
      <c r="CZ153" s="1002"/>
      <c r="DA153" s="1002"/>
      <c r="DB153" s="1002"/>
      <c r="DC153" s="1002"/>
      <c r="DD153" s="1008"/>
      <c r="DE153" s="1007"/>
      <c r="DF153" s="1002"/>
      <c r="DG153" s="1002"/>
      <c r="DH153" s="1002"/>
      <c r="DI153" s="1002"/>
      <c r="DJ153" s="1002"/>
      <c r="DK153" s="1002"/>
      <c r="DL153" s="1002"/>
      <c r="DM153" s="1002"/>
      <c r="DN153" s="1002"/>
      <c r="DO153" s="1002"/>
      <c r="DP153" s="1002"/>
      <c r="DQ153" s="1002"/>
      <c r="DR153" s="1002"/>
      <c r="DS153" s="1002"/>
      <c r="DT153" s="1002"/>
      <c r="DU153" s="1002"/>
      <c r="DV153" s="1008"/>
    </row>
    <row r="154" spans="1:126" ht="16.5" customHeight="1">
      <c r="A154" s="983">
        <v>11</v>
      </c>
      <c r="B154" s="984"/>
      <c r="C154" s="984"/>
      <c r="D154" s="984"/>
      <c r="E154" s="985"/>
      <c r="F154" s="972" t="str">
        <f>"Crew"&amp;IF('11-Staterooms'!C58="No",""," (CS-1)")</f>
        <v>Crew</v>
      </c>
      <c r="G154" s="973"/>
      <c r="H154" s="973"/>
      <c r="I154" s="973"/>
      <c r="J154" s="973"/>
      <c r="K154" s="973"/>
      <c r="L154" s="973"/>
      <c r="M154" s="973"/>
      <c r="N154" s="973"/>
      <c r="O154" s="973"/>
      <c r="P154" s="973"/>
      <c r="Q154" s="973"/>
      <c r="R154" s="974"/>
      <c r="S154" s="981" t="s">
        <v>1437</v>
      </c>
      <c r="T154" s="981"/>
      <c r="U154" s="981"/>
      <c r="V154" s="981"/>
      <c r="W154" s="981"/>
      <c r="X154" s="981"/>
      <c r="Y154" s="981"/>
      <c r="Z154" s="981"/>
      <c r="AA154" s="981"/>
      <c r="AB154" s="981"/>
      <c r="AC154" s="981"/>
      <c r="AD154" s="981"/>
      <c r="AE154" s="981"/>
      <c r="AF154" s="981"/>
      <c r="AG154" s="981"/>
      <c r="AH154" s="981"/>
      <c r="AI154" s="981"/>
      <c r="AJ154" s="1047"/>
      <c r="AK154" s="995" t="s">
        <v>1677</v>
      </c>
      <c r="AL154" s="996"/>
      <c r="AM154" s="996"/>
      <c r="AN154" s="996"/>
      <c r="AO154" s="996"/>
      <c r="AP154" s="996"/>
      <c r="AQ154" s="996"/>
      <c r="AR154" s="996"/>
      <c r="AS154" s="996"/>
      <c r="AT154" s="996"/>
      <c r="AU154" s="996"/>
      <c r="AV154" s="996"/>
      <c r="AW154" s="996"/>
      <c r="AX154" s="996"/>
      <c r="AY154" s="996"/>
      <c r="AZ154" s="996"/>
      <c r="BA154" s="996"/>
      <c r="BB154" s="997"/>
      <c r="BC154" s="981" t="s">
        <v>1435</v>
      </c>
      <c r="BD154" s="981"/>
      <c r="BE154" s="981"/>
      <c r="BF154" s="981"/>
      <c r="BG154" s="981"/>
      <c r="BH154" s="981"/>
      <c r="BI154" s="981"/>
      <c r="BJ154" s="981"/>
      <c r="BK154" s="981"/>
      <c r="BL154" s="981"/>
      <c r="BM154" s="981"/>
      <c r="BN154" s="981"/>
      <c r="BO154" s="981"/>
      <c r="BP154" s="981"/>
      <c r="BQ154" s="981"/>
      <c r="BR154" s="981"/>
      <c r="BS154" s="981"/>
      <c r="BT154" s="981"/>
      <c r="BU154" s="995" t="s">
        <v>1678</v>
      </c>
      <c r="BV154" s="996"/>
      <c r="BW154" s="996"/>
      <c r="BX154" s="996"/>
      <c r="BY154" s="996"/>
      <c r="BZ154" s="996"/>
      <c r="CA154" s="996"/>
      <c r="CB154" s="996"/>
      <c r="CC154" s="996"/>
      <c r="CD154" s="996"/>
      <c r="CE154" s="996"/>
      <c r="CF154" s="996"/>
      <c r="CG154" s="996"/>
      <c r="CH154" s="996"/>
      <c r="CI154" s="996"/>
      <c r="CJ154" s="996"/>
      <c r="CK154" s="996"/>
      <c r="CL154" s="997"/>
      <c r="CM154" s="981" t="s">
        <v>1436</v>
      </c>
      <c r="CN154" s="981"/>
      <c r="CO154" s="981"/>
      <c r="CP154" s="981"/>
      <c r="CQ154" s="981"/>
      <c r="CR154" s="981"/>
      <c r="CS154" s="981"/>
      <c r="CT154" s="981"/>
      <c r="CU154" s="981"/>
      <c r="CV154" s="981"/>
      <c r="CW154" s="981"/>
      <c r="CX154" s="981"/>
      <c r="CY154" s="981"/>
      <c r="CZ154" s="981"/>
      <c r="DA154" s="981"/>
      <c r="DB154" s="981"/>
      <c r="DC154" s="981"/>
      <c r="DD154" s="981"/>
      <c r="DE154" s="995" t="s">
        <v>1679</v>
      </c>
      <c r="DF154" s="996"/>
      <c r="DG154" s="996"/>
      <c r="DH154" s="996"/>
      <c r="DI154" s="996"/>
      <c r="DJ154" s="996"/>
      <c r="DK154" s="996"/>
      <c r="DL154" s="996"/>
      <c r="DM154" s="996"/>
      <c r="DN154" s="996"/>
      <c r="DO154" s="996"/>
      <c r="DP154" s="996"/>
      <c r="DQ154" s="996"/>
      <c r="DR154" s="996"/>
      <c r="DS154" s="996"/>
      <c r="DT154" s="996"/>
      <c r="DU154" s="996"/>
      <c r="DV154" s="997"/>
    </row>
    <row r="155" spans="1:126" ht="17" thickBot="1">
      <c r="A155" s="986"/>
      <c r="B155" s="987"/>
      <c r="C155" s="987"/>
      <c r="D155" s="987"/>
      <c r="E155" s="988"/>
      <c r="F155" s="975"/>
      <c r="G155" s="976"/>
      <c r="H155" s="976"/>
      <c r="I155" s="976"/>
      <c r="J155" s="976"/>
      <c r="K155" s="976"/>
      <c r="L155" s="976"/>
      <c r="M155" s="976"/>
      <c r="N155" s="976"/>
      <c r="O155" s="976"/>
      <c r="P155" s="976"/>
      <c r="Q155" s="976"/>
      <c r="R155" s="977"/>
      <c r="S155" s="982" t="s">
        <v>683</v>
      </c>
      <c r="T155" s="982"/>
      <c r="U155" s="982"/>
      <c r="V155" s="982"/>
      <c r="W155" s="982"/>
      <c r="X155" s="982"/>
      <c r="Y155" s="982"/>
      <c r="Z155" s="982"/>
      <c r="AA155" s="982"/>
      <c r="AB155" s="982"/>
      <c r="AC155" s="982"/>
      <c r="AD155" s="982"/>
      <c r="AE155" s="982"/>
      <c r="AF155" s="982"/>
      <c r="AG155" s="982"/>
      <c r="AH155" s="982"/>
      <c r="AI155" s="982"/>
      <c r="AJ155" s="1048"/>
      <c r="AK155" s="998"/>
      <c r="AL155" s="999"/>
      <c r="AM155" s="999"/>
      <c r="AN155" s="999"/>
      <c r="AO155" s="999"/>
      <c r="AP155" s="999"/>
      <c r="AQ155" s="999"/>
      <c r="AR155" s="999"/>
      <c r="AS155" s="999"/>
      <c r="AT155" s="999"/>
      <c r="AU155" s="999"/>
      <c r="AV155" s="999"/>
      <c r="AW155" s="999"/>
      <c r="AX155" s="999"/>
      <c r="AY155" s="999"/>
      <c r="AZ155" s="999"/>
      <c r="BA155" s="999"/>
      <c r="BB155" s="1000"/>
      <c r="BC155" s="982" t="s">
        <v>684</v>
      </c>
      <c r="BD155" s="982"/>
      <c r="BE155" s="982"/>
      <c r="BF155" s="982"/>
      <c r="BG155" s="982"/>
      <c r="BH155" s="982"/>
      <c r="BI155" s="982"/>
      <c r="BJ155" s="982"/>
      <c r="BK155" s="982"/>
      <c r="BL155" s="982"/>
      <c r="BM155" s="982"/>
      <c r="BN155" s="982"/>
      <c r="BO155" s="982"/>
      <c r="BP155" s="982"/>
      <c r="BQ155" s="982"/>
      <c r="BR155" s="982"/>
      <c r="BS155" s="982"/>
      <c r="BT155" s="982"/>
      <c r="BU155" s="998"/>
      <c r="BV155" s="999"/>
      <c r="BW155" s="999"/>
      <c r="BX155" s="999"/>
      <c r="BY155" s="999"/>
      <c r="BZ155" s="999"/>
      <c r="CA155" s="999"/>
      <c r="CB155" s="999"/>
      <c r="CC155" s="999"/>
      <c r="CD155" s="999"/>
      <c r="CE155" s="999"/>
      <c r="CF155" s="999"/>
      <c r="CG155" s="999"/>
      <c r="CH155" s="999"/>
      <c r="CI155" s="999"/>
      <c r="CJ155" s="999"/>
      <c r="CK155" s="999"/>
      <c r="CL155" s="1000"/>
      <c r="CM155" s="982" t="s">
        <v>685</v>
      </c>
      <c r="CN155" s="982"/>
      <c r="CO155" s="982"/>
      <c r="CP155" s="982"/>
      <c r="CQ155" s="982"/>
      <c r="CR155" s="982"/>
      <c r="CS155" s="982"/>
      <c r="CT155" s="982"/>
      <c r="CU155" s="982"/>
      <c r="CV155" s="982"/>
      <c r="CW155" s="982"/>
      <c r="CX155" s="982"/>
      <c r="CY155" s="982"/>
      <c r="CZ155" s="982"/>
      <c r="DA155" s="982"/>
      <c r="DB155" s="982"/>
      <c r="DC155" s="982"/>
      <c r="DD155" s="982"/>
      <c r="DE155" s="998"/>
      <c r="DF155" s="999"/>
      <c r="DG155" s="999"/>
      <c r="DH155" s="999"/>
      <c r="DI155" s="999"/>
      <c r="DJ155" s="999"/>
      <c r="DK155" s="999"/>
      <c r="DL155" s="999"/>
      <c r="DM155" s="999"/>
      <c r="DN155" s="999"/>
      <c r="DO155" s="999"/>
      <c r="DP155" s="999"/>
      <c r="DQ155" s="999"/>
      <c r="DR155" s="999"/>
      <c r="DS155" s="999"/>
      <c r="DT155" s="999"/>
      <c r="DU155" s="999"/>
      <c r="DV155" s="1000"/>
    </row>
    <row r="156" spans="1:126" ht="16">
      <c r="A156" s="989">
        <v>12</v>
      </c>
      <c r="B156" s="990"/>
      <c r="C156" s="990"/>
      <c r="D156" s="990"/>
      <c r="E156" s="991"/>
      <c r="F156" s="939" t="str">
        <f>"Bridge"&amp;IF('5-Bridge'!C22="Yes"," (CS-1)","")</f>
        <v>Bridge</v>
      </c>
      <c r="G156" s="940"/>
      <c r="H156" s="940"/>
      <c r="I156" s="940"/>
      <c r="J156" s="940"/>
      <c r="K156" s="940"/>
      <c r="L156" s="940"/>
      <c r="M156" s="940"/>
      <c r="N156" s="940"/>
      <c r="O156" s="940"/>
      <c r="P156" s="940"/>
      <c r="Q156" s="940"/>
      <c r="R156" s="941"/>
      <c r="S156" s="1001" t="s">
        <v>1674</v>
      </c>
      <c r="T156" s="1001"/>
      <c r="U156" s="1001"/>
      <c r="V156" s="1001"/>
      <c r="W156" s="1001"/>
      <c r="X156" s="1001"/>
      <c r="Y156" s="1001"/>
      <c r="Z156" s="1001"/>
      <c r="AA156" s="1001"/>
      <c r="AB156" s="1001"/>
      <c r="AC156" s="1001"/>
      <c r="AD156" s="1001"/>
      <c r="AE156" s="1001"/>
      <c r="AF156" s="1001"/>
      <c r="AG156" s="1001"/>
      <c r="AH156" s="1001"/>
      <c r="AI156" s="1001"/>
      <c r="AJ156" s="1006"/>
      <c r="AK156" s="1005" t="s">
        <v>1675</v>
      </c>
      <c r="AL156" s="1001"/>
      <c r="AM156" s="1001"/>
      <c r="AN156" s="1001"/>
      <c r="AO156" s="1001"/>
      <c r="AP156" s="1001"/>
      <c r="AQ156" s="1001"/>
      <c r="AR156" s="1001"/>
      <c r="AS156" s="1001"/>
      <c r="AT156" s="1001"/>
      <c r="AU156" s="1001"/>
      <c r="AV156" s="1001"/>
      <c r="AW156" s="1001"/>
      <c r="AX156" s="1001"/>
      <c r="AY156" s="1001"/>
      <c r="AZ156" s="1001"/>
      <c r="BA156" s="1001"/>
      <c r="BB156" s="1006"/>
      <c r="BC156" s="1001" t="s">
        <v>1441</v>
      </c>
      <c r="BD156" s="1001"/>
      <c r="BE156" s="1001"/>
      <c r="BF156" s="1001"/>
      <c r="BG156" s="1001"/>
      <c r="BH156" s="1001"/>
      <c r="BI156" s="1001"/>
      <c r="BJ156" s="1001"/>
      <c r="BK156" s="1001"/>
      <c r="BL156" s="1001"/>
      <c r="BM156" s="1001"/>
      <c r="BN156" s="1001"/>
      <c r="BO156" s="1001"/>
      <c r="BP156" s="1001"/>
      <c r="BQ156" s="1001"/>
      <c r="BR156" s="1001"/>
      <c r="BS156" s="1001"/>
      <c r="BT156" s="1001"/>
      <c r="BU156" s="1005" t="s">
        <v>1676</v>
      </c>
      <c r="BV156" s="1001"/>
      <c r="BW156" s="1001"/>
      <c r="BX156" s="1001"/>
      <c r="BY156" s="1001"/>
      <c r="BZ156" s="1001"/>
      <c r="CA156" s="1001"/>
      <c r="CB156" s="1001"/>
      <c r="CC156" s="1001"/>
      <c r="CD156" s="1001"/>
      <c r="CE156" s="1001"/>
      <c r="CF156" s="1001"/>
      <c r="CG156" s="1001"/>
      <c r="CH156" s="1001"/>
      <c r="CI156" s="1001"/>
      <c r="CJ156" s="1001"/>
      <c r="CK156" s="1001"/>
      <c r="CL156" s="1006"/>
      <c r="CM156" s="1001" t="s">
        <v>90</v>
      </c>
      <c r="CN156" s="1001"/>
      <c r="CO156" s="1001"/>
      <c r="CP156" s="1001"/>
      <c r="CQ156" s="1001"/>
      <c r="CR156" s="1001"/>
      <c r="CS156" s="1001"/>
      <c r="CT156" s="1001"/>
      <c r="CU156" s="1001"/>
      <c r="CV156" s="1001"/>
      <c r="CW156" s="1001"/>
      <c r="CX156" s="1001"/>
      <c r="CY156" s="1001"/>
      <c r="CZ156" s="1001"/>
      <c r="DA156" s="1001"/>
      <c r="DB156" s="1001"/>
      <c r="DC156" s="1001"/>
      <c r="DD156" s="1001"/>
      <c r="DE156" s="1005" t="s">
        <v>1676</v>
      </c>
      <c r="DF156" s="1001"/>
      <c r="DG156" s="1001"/>
      <c r="DH156" s="1001"/>
      <c r="DI156" s="1001"/>
      <c r="DJ156" s="1001"/>
      <c r="DK156" s="1001"/>
      <c r="DL156" s="1001"/>
      <c r="DM156" s="1001"/>
      <c r="DN156" s="1001"/>
      <c r="DO156" s="1001"/>
      <c r="DP156" s="1001"/>
      <c r="DQ156" s="1001"/>
      <c r="DR156" s="1001"/>
      <c r="DS156" s="1001"/>
      <c r="DT156" s="1001"/>
      <c r="DU156" s="1001"/>
      <c r="DV156" s="1006"/>
    </row>
    <row r="157" spans="1:126" ht="17" thickBot="1">
      <c r="A157" s="992"/>
      <c r="B157" s="993"/>
      <c r="C157" s="993"/>
      <c r="D157" s="993"/>
      <c r="E157" s="994"/>
      <c r="F157" s="942"/>
      <c r="G157" s="943"/>
      <c r="H157" s="943"/>
      <c r="I157" s="943"/>
      <c r="J157" s="943"/>
      <c r="K157" s="943"/>
      <c r="L157" s="943"/>
      <c r="M157" s="943"/>
      <c r="N157" s="943"/>
      <c r="O157" s="943"/>
      <c r="P157" s="943"/>
      <c r="Q157" s="943"/>
      <c r="R157" s="944"/>
      <c r="S157" s="1002" t="s">
        <v>672</v>
      </c>
      <c r="T157" s="1002"/>
      <c r="U157" s="1002"/>
      <c r="V157" s="1002"/>
      <c r="W157" s="1002"/>
      <c r="X157" s="1002"/>
      <c r="Y157" s="1002"/>
      <c r="Z157" s="1002"/>
      <c r="AA157" s="1002"/>
      <c r="AB157" s="1002"/>
      <c r="AC157" s="1002"/>
      <c r="AD157" s="1002"/>
      <c r="AE157" s="1002"/>
      <c r="AF157" s="1002"/>
      <c r="AG157" s="1002"/>
      <c r="AH157" s="1002"/>
      <c r="AI157" s="1002"/>
      <c r="AJ157" s="1008"/>
      <c r="AK157" s="1007" t="s">
        <v>1439</v>
      </c>
      <c r="AL157" s="1002"/>
      <c r="AM157" s="1002"/>
      <c r="AN157" s="1002"/>
      <c r="AO157" s="1002"/>
      <c r="AP157" s="1002"/>
      <c r="AQ157" s="1002"/>
      <c r="AR157" s="1002"/>
      <c r="AS157" s="1002"/>
      <c r="AT157" s="1002"/>
      <c r="AU157" s="1002"/>
      <c r="AV157" s="1002"/>
      <c r="AW157" s="1002"/>
      <c r="AX157" s="1002"/>
      <c r="AY157" s="1002"/>
      <c r="AZ157" s="1002"/>
      <c r="BA157" s="1002"/>
      <c r="BB157" s="1008"/>
      <c r="BC157" s="1009">
        <v>-0.5</v>
      </c>
      <c r="BD157" s="1009"/>
      <c r="BE157" s="1009"/>
      <c r="BF157" s="1009"/>
      <c r="BG157" s="1009"/>
      <c r="BH157" s="1009"/>
      <c r="BI157" s="1009"/>
      <c r="BJ157" s="1009"/>
      <c r="BK157" s="1009"/>
      <c r="BL157" s="1009"/>
      <c r="BM157" s="1009"/>
      <c r="BN157" s="1009"/>
      <c r="BO157" s="1009"/>
      <c r="BP157" s="1009"/>
      <c r="BQ157" s="1009"/>
      <c r="BR157" s="1009"/>
      <c r="BS157" s="1009"/>
      <c r="BT157" s="1009"/>
      <c r="BU157" s="1007" t="s">
        <v>1442</v>
      </c>
      <c r="BV157" s="1002"/>
      <c r="BW157" s="1002"/>
      <c r="BX157" s="1002"/>
      <c r="BY157" s="1002"/>
      <c r="BZ157" s="1002"/>
      <c r="CA157" s="1002"/>
      <c r="CB157" s="1002"/>
      <c r="CC157" s="1002"/>
      <c r="CD157" s="1002"/>
      <c r="CE157" s="1002"/>
      <c r="CF157" s="1002"/>
      <c r="CG157" s="1002"/>
      <c r="CH157" s="1002"/>
      <c r="CI157" s="1002"/>
      <c r="CJ157" s="1002"/>
      <c r="CK157" s="1002"/>
      <c r="CL157" s="1008"/>
      <c r="CM157" s="1002" t="s">
        <v>679</v>
      </c>
      <c r="CN157" s="1002"/>
      <c r="CO157" s="1002"/>
      <c r="CP157" s="1002"/>
      <c r="CQ157" s="1002"/>
      <c r="CR157" s="1002"/>
      <c r="CS157" s="1002"/>
      <c r="CT157" s="1002"/>
      <c r="CU157" s="1002"/>
      <c r="CV157" s="1002"/>
      <c r="CW157" s="1002"/>
      <c r="CX157" s="1002"/>
      <c r="CY157" s="1002"/>
      <c r="CZ157" s="1002"/>
      <c r="DA157" s="1002"/>
      <c r="DB157" s="1002"/>
      <c r="DC157" s="1002"/>
      <c r="DD157" s="1002"/>
      <c r="DE157" s="1007" t="s">
        <v>1444</v>
      </c>
      <c r="DF157" s="1002"/>
      <c r="DG157" s="1002"/>
      <c r="DH157" s="1002"/>
      <c r="DI157" s="1002"/>
      <c r="DJ157" s="1002"/>
      <c r="DK157" s="1002"/>
      <c r="DL157" s="1002"/>
      <c r="DM157" s="1002"/>
      <c r="DN157" s="1002"/>
      <c r="DO157" s="1002"/>
      <c r="DP157" s="1002"/>
      <c r="DQ157" s="1002"/>
      <c r="DR157" s="1002"/>
      <c r="DS157" s="1002"/>
      <c r="DT157" s="1002"/>
      <c r="DU157" s="1002"/>
      <c r="DV157" s="1008"/>
    </row>
    <row r="158" spans="1:126">
      <c r="A158" s="1003" t="s">
        <v>1714</v>
      </c>
      <c r="B158" s="1003"/>
      <c r="C158" s="1003"/>
      <c r="D158" s="1003"/>
      <c r="E158" s="1003"/>
      <c r="F158" s="1003"/>
      <c r="G158" s="1003"/>
      <c r="H158" s="1003"/>
      <c r="I158" s="1003"/>
      <c r="J158" s="1003"/>
      <c r="K158" s="1003"/>
      <c r="L158" s="1003"/>
      <c r="M158" s="1003"/>
      <c r="N158" s="1003"/>
      <c r="O158" s="1003"/>
      <c r="P158" s="1003"/>
      <c r="Q158" s="1003"/>
      <c r="R158" s="1003"/>
      <c r="S158" s="1003"/>
      <c r="T158" s="1003"/>
      <c r="U158" s="1003"/>
      <c r="V158" s="1003"/>
      <c r="W158" s="1003"/>
      <c r="X158" s="1003"/>
      <c r="Y158" s="1003"/>
      <c r="Z158" s="1003"/>
      <c r="AA158" s="1003"/>
      <c r="AB158" s="1003"/>
      <c r="AC158" s="1003"/>
      <c r="AD158" s="1003"/>
      <c r="AE158" s="1003"/>
      <c r="AF158" s="1003"/>
      <c r="AG158" s="1003"/>
      <c r="AH158" s="1003"/>
      <c r="AI158" s="1003"/>
      <c r="AJ158" s="1003"/>
      <c r="AK158" s="1003"/>
      <c r="AL158" s="1003"/>
      <c r="AM158" s="1003"/>
      <c r="AN158" s="1003"/>
      <c r="AO158" s="1003"/>
      <c r="AP158" s="1003"/>
      <c r="AQ158" s="1003"/>
      <c r="AR158" s="1003"/>
      <c r="AS158" s="1003"/>
      <c r="AT158" s="1003"/>
      <c r="AU158" s="1003"/>
      <c r="AV158" s="1003"/>
      <c r="AW158" s="1003"/>
      <c r="AX158" s="1003"/>
      <c r="AY158" s="1003"/>
      <c r="AZ158" s="1003"/>
      <c r="BA158" s="1003"/>
      <c r="BB158" s="1003"/>
      <c r="BC158" s="1003"/>
      <c r="BD158" s="1003"/>
      <c r="BE158" s="1003"/>
      <c r="BF158" s="1003"/>
      <c r="BG158" s="1003"/>
      <c r="BH158" s="1003"/>
      <c r="BI158" s="1003"/>
      <c r="BJ158" s="1003"/>
      <c r="BK158" s="1003"/>
      <c r="BL158" s="1003"/>
      <c r="BM158" s="1003"/>
      <c r="BN158" s="1003"/>
      <c r="BO158" s="1003"/>
      <c r="BP158" s="1003"/>
      <c r="BQ158" s="1003"/>
      <c r="BR158" s="1003"/>
      <c r="BS158" s="1003"/>
      <c r="BT158" s="1003"/>
      <c r="BU158" s="1003"/>
      <c r="BV158" s="1003"/>
      <c r="BW158" s="1003"/>
      <c r="BX158" s="1003"/>
      <c r="BY158" s="1003"/>
      <c r="BZ158" s="1003"/>
      <c r="CA158" s="1003"/>
      <c r="CB158" s="1003"/>
      <c r="CC158" s="1003"/>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row>
    <row r="159" spans="1:126" ht="16">
      <c r="A159" s="1004" t="s">
        <v>742</v>
      </c>
      <c r="B159" s="1004"/>
      <c r="C159" s="1004"/>
      <c r="D159" s="1004"/>
      <c r="E159" s="1004"/>
      <c r="F159" s="1004"/>
      <c r="G159" s="1004"/>
      <c r="H159" s="1004"/>
      <c r="I159" s="1004"/>
      <c r="J159" s="1004"/>
      <c r="K159" s="1004"/>
      <c r="L159" s="1004"/>
      <c r="M159" s="1004"/>
      <c r="N159" s="1004"/>
      <c r="O159" s="1004"/>
      <c r="P159" s="1004"/>
      <c r="Q159" s="1004"/>
      <c r="R159" s="1004"/>
      <c r="S159" s="1004"/>
      <c r="T159" s="1004"/>
      <c r="U159" s="1004"/>
      <c r="V159" s="1004"/>
      <c r="W159" s="1004"/>
      <c r="X159" s="1004"/>
      <c r="Y159" s="1004"/>
      <c r="Z159" s="1004"/>
      <c r="AA159" s="1004"/>
      <c r="AB159" s="1004"/>
      <c r="AC159" s="1004"/>
      <c r="AD159" s="1004"/>
      <c r="AE159" s="1004"/>
      <c r="AF159" s="1004"/>
      <c r="AG159" s="1004"/>
      <c r="AH159" s="1004"/>
      <c r="AI159" s="1004"/>
      <c r="AJ159" s="1004"/>
      <c r="AK159" s="1004"/>
      <c r="AL159" s="1004"/>
      <c r="AM159" s="1004"/>
      <c r="AN159" s="1004"/>
      <c r="AO159" s="1004"/>
      <c r="AP159" s="1004"/>
      <c r="AQ159" s="1004"/>
      <c r="AR159" s="1004"/>
      <c r="AS159" s="1004"/>
      <c r="AT159" s="1004"/>
      <c r="AU159" s="1004"/>
      <c r="AV159" s="1004"/>
      <c r="AW159" s="1004"/>
      <c r="AX159" s="1004"/>
      <c r="AY159" s="1004"/>
      <c r="AZ159" s="1004"/>
      <c r="BA159" s="1004"/>
      <c r="BB159" s="1004"/>
      <c r="BC159" s="1004"/>
      <c r="BD159" s="1004"/>
      <c r="BE159" s="1004"/>
      <c r="BF159" s="1004"/>
      <c r="BG159" s="1004"/>
      <c r="BH159" s="1004"/>
      <c r="BI159" s="1004"/>
      <c r="BJ159" s="1004"/>
      <c r="BK159" s="1004"/>
      <c r="BL159" s="1004"/>
      <c r="BM159" s="1004"/>
      <c r="BN159" s="1004"/>
      <c r="BO159" s="1004"/>
      <c r="BP159" s="1004"/>
      <c r="BQ159" s="1004"/>
      <c r="BR159" s="1004"/>
      <c r="BS159" s="1004"/>
      <c r="BT159" s="1004"/>
      <c r="BU159" s="1004"/>
      <c r="BV159" s="1004"/>
      <c r="BW159" s="1004"/>
      <c r="BX159" s="1004"/>
      <c r="BY159" s="1004"/>
      <c r="BZ159" s="1004"/>
      <c r="CA159" s="1004"/>
      <c r="CB159" s="1004"/>
      <c r="CC159" s="1004"/>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 ref="S142:AJ142"/>
    <mergeCell ref="S143:AJ143"/>
    <mergeCell ref="S144:AJ145"/>
    <mergeCell ref="S146:AJ146"/>
    <mergeCell ref="S147:AJ147"/>
    <mergeCell ref="S150:AJ150"/>
    <mergeCell ref="S151:AJ151"/>
    <mergeCell ref="S154:AJ154"/>
    <mergeCell ref="S155:AJ155"/>
    <mergeCell ref="S152:AJ153"/>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76:DU78"/>
    <mergeCell ref="DR79:DU81"/>
    <mergeCell ref="DR82:DU84"/>
    <mergeCell ref="DR85:DU87"/>
    <mergeCell ref="DR88:DU90"/>
    <mergeCell ref="DR91:DU93"/>
    <mergeCell ref="X97:AX97"/>
    <mergeCell ref="AZ97:BW97"/>
    <mergeCell ref="BY97:DA97"/>
    <mergeCell ref="DC97:DH97"/>
    <mergeCell ref="DI97:DT97"/>
    <mergeCell ref="DR94:DU94"/>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A158:DV158"/>
    <mergeCell ref="A159:DV159"/>
    <mergeCell ref="BU156:CL156"/>
    <mergeCell ref="BU157:CL157"/>
    <mergeCell ref="BC156:BT156"/>
    <mergeCell ref="BC157:BT157"/>
    <mergeCell ref="S156:AJ156"/>
    <mergeCell ref="S157:AJ157"/>
    <mergeCell ref="F156:R157"/>
    <mergeCell ref="DE156:DV156"/>
    <mergeCell ref="DE157:DV157"/>
    <mergeCell ref="BC154:BT154"/>
    <mergeCell ref="BC155:BT155"/>
    <mergeCell ref="F154:R155"/>
    <mergeCell ref="A154:E155"/>
    <mergeCell ref="A156:E157"/>
    <mergeCell ref="BU154:CL155"/>
    <mergeCell ref="F152:R153"/>
    <mergeCell ref="A152:E153"/>
    <mergeCell ref="CM156:DD156"/>
    <mergeCell ref="CM157:DD157"/>
    <mergeCell ref="AK154:BB15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dimension ref="A1:J468"/>
  <sheetViews>
    <sheetView topLeftCell="A58" zoomScaleNormal="100" workbookViewId="0">
      <selection activeCell="J1" sqref="E1:J1048576"/>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Survey and Exploration Ship</v>
      </c>
      <c r="B1" s="529"/>
      <c r="C1" s="407">
        <f>Tonnage</f>
        <v>1000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Needle Streamlined, Standard Hull: 400</v>
      </c>
      <c r="I2" s="237" t="str">
        <f>""</f>
        <v/>
      </c>
      <c r="J2" s="387">
        <f>'1-Hull'!F6</f>
        <v>120000000</v>
      </c>
    </row>
    <row r="3" spans="1:10" ht="16">
      <c r="A3" s="400" t="s">
        <v>574</v>
      </c>
      <c r="B3" s="463" t="str">
        <f>H2</f>
        <v>Needle Streamlined, Standard Hull: 400</v>
      </c>
      <c r="D3" s="4">
        <f>J2</f>
        <v>120000000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Aerofins</v>
      </c>
      <c r="C4" s="4">
        <f>INDEX(F:J,MATCH(2,F:F,0),4)</f>
        <v>50</v>
      </c>
      <c r="D4" s="4">
        <f>INDEX(F:J,MATCH(2,F:F,0),5)</f>
        <v>10000000</v>
      </c>
      <c r="E4" s="73">
        <f t="shared" ref="E4" si="2">IF(H4="",E3,E3+1)</f>
        <v>2</v>
      </c>
      <c r="F4" s="73">
        <f t="shared" ref="F4" si="3">IF(E4=E3,"",E4)</f>
        <v>2</v>
      </c>
      <c r="G4" s="397"/>
      <c r="H4" s="12" t="str">
        <f>IF('1-Hull'!A$13='1-Hull'!S$24,"",'1-Hull'!S$25)</f>
        <v>Aerofins</v>
      </c>
      <c r="I4" s="4">
        <f>'1-Hull'!H$13</f>
        <v>50</v>
      </c>
      <c r="J4" s="265">
        <f>'1-Hull'!F$13</f>
        <v>10000000</v>
      </c>
    </row>
    <row r="5" spans="1:10" ht="15" customHeight="1">
      <c r="A5" s="400" t="str">
        <f>IF(INDEX(F:J,MATCH(3,F:F,0),2)=0,"",INDEX(F:J,MATCH(3,F:F,0),2))</f>
        <v/>
      </c>
      <c r="B5" s="463" t="str">
        <f>INDEX(F:J,MATCH(3,F:F,0),3)</f>
        <v>Heat Shielding</v>
      </c>
      <c r="C5" s="4">
        <f>INDEX(F:J,MATCH(3,F:F,0),4)</f>
        <v>0</v>
      </c>
      <c r="D5" s="4">
        <f>INDEX(F:J,MATCH(3,F:F,0),5)</f>
        <v>200000000</v>
      </c>
      <c r="E5" s="73">
        <f t="shared" ref="E5:E68" si="4">IF(H5="",E4,E4+1)</f>
        <v>2</v>
      </c>
      <c r="F5" s="73" t="str">
        <f t="shared" ref="F5:F68" si="5">IF(E5=E4,"",E5)</f>
        <v/>
      </c>
      <c r="G5" s="397"/>
      <c r="H5" s="12" t="str">
        <f>IF('1-Hull'!A$14='1-Hull'!S$26,"",'1-Hull'!S$27)</f>
        <v/>
      </c>
      <c r="I5" s="4">
        <f>'1-Hull'!H$14</f>
        <v>0</v>
      </c>
      <c r="J5" s="265">
        <f>'1-Hull'!F$14</f>
        <v>0</v>
      </c>
    </row>
    <row r="6" spans="1:10" ht="16">
      <c r="A6" s="400" t="str">
        <f>IF(MAX(F:F)&lt;4,"",IF(INDEX(F:J,MATCH(4,F:F,0),2)=0,"",INDEX(F:J,MATCH(4,F:F,0),2)))</f>
        <v/>
      </c>
      <c r="B6" s="463" t="str">
        <f>IF(MAX(F:F)&lt;4,"",INDEX(F:J,MATCH(4,F:F,0),3))</f>
        <v>Radiation Shielding: Reduce Rads by 1000</v>
      </c>
      <c r="C6" s="4">
        <f>IF(MAX(F:F)&lt;4,"",INDEX(F:J,MATCH(4,F:F,0),4))</f>
        <v>0</v>
      </c>
      <c r="D6" s="4">
        <f>IF(MAX(F:F)&lt;4,"",INDEX(F:J,MATCH(4,F:F,0),5))</f>
        <v>50000000</v>
      </c>
      <c r="E6" s="73">
        <f t="shared" si="4"/>
        <v>3</v>
      </c>
      <c r="F6" s="73">
        <f t="shared" si="5"/>
        <v>3</v>
      </c>
      <c r="G6" s="397"/>
      <c r="H6" s="12" t="str">
        <f>IF('1-Hull'!A$15='1-Hull'!S$28,"",'1-Hull'!S$29)</f>
        <v>Heat Shielding</v>
      </c>
      <c r="I6" s="4">
        <f>'1-Hull'!H$15</f>
        <v>0</v>
      </c>
      <c r="J6" s="265">
        <f>'1-Hull'!F$15</f>
        <v>200000000</v>
      </c>
    </row>
    <row r="7" spans="1:10" ht="16">
      <c r="A7" s="400" t="str">
        <f>IF(MAX(F:F)&lt;5,"",IF(INDEX(F:J,MATCH(5,F:F,0),2)=0,"",INDEX(F:J,MATCH(5,F:F,0),2)))</f>
        <v>M-Drive</v>
      </c>
      <c r="B7" s="463" t="str">
        <f>IF(MAX(F:F)&lt;5,"",INDEX(F:J,MATCH(5,F:F,0),3))</f>
        <v>M-Drive: 2 Efficient, Small, Easy to Repair</v>
      </c>
      <c r="C7" s="4">
        <f>IF(MAX(F:F)&lt;5,"",INDEX(F:J,MATCH(5,F:F,0),4))</f>
        <v>18</v>
      </c>
      <c r="D7" s="4">
        <f>IF(MAX(F:F)&lt;5,"",INDEX(F:J,MATCH(5,F:F,0),5))</f>
        <v>120000000</v>
      </c>
      <c r="E7" s="73">
        <f t="shared" si="4"/>
        <v>3</v>
      </c>
      <c r="F7" s="73" t="str">
        <f t="shared" si="5"/>
        <v/>
      </c>
      <c r="G7" s="397"/>
      <c r="H7" s="12" t="str">
        <f>IF('1-Hull'!$A$16='1-Hull'!$S$30,"",'1-Hull'!$S$48)</f>
        <v/>
      </c>
      <c r="I7" s="4">
        <f>'1-Hull'!H$16</f>
        <v>0</v>
      </c>
      <c r="J7" s="265">
        <f>'1-Hull'!F$16</f>
        <v>0</v>
      </c>
    </row>
    <row r="8" spans="1:10" ht="16">
      <c r="A8" s="400" t="str">
        <f>IF(MAX(F:F)&lt;6,"",IF(INDEX(F:J,MATCH(6,F:F,0),2)=0,"",INDEX(F:J,MATCH(6,F:F,0),2)))</f>
        <v>FTL</v>
      </c>
      <c r="B8" s="463" t="str">
        <f>IF(MAX(F:F)&lt;6,"",INDEX(F:J,MATCH(6,F:F,0),3))</f>
        <v>Jump Drive: 3 Small, Easy to Repair</v>
      </c>
      <c r="C8" s="4">
        <f>IF(MAX(F:F)&lt;6,"",INDEX(F:J,MATCH(6,F:F,0),4))</f>
        <v>72</v>
      </c>
      <c r="D8" s="4">
        <f>IF(MAX(F:F)&lt;6,"",INDEX(F:J,MATCH(6,F:F,0),5))</f>
        <v>300000000</v>
      </c>
      <c r="E8" s="73">
        <f t="shared" si="4"/>
        <v>3</v>
      </c>
      <c r="F8" s="73" t="str">
        <f t="shared" si="5"/>
        <v/>
      </c>
      <c r="G8" s="397"/>
      <c r="H8" s="12" t="str">
        <f>IF('1-Hull'!$A$17='1-Hull'!$S$30,"",'1-Hull'!$A$17)</f>
        <v/>
      </c>
      <c r="I8" s="4">
        <f>'1-Hull'!H$17</f>
        <v>0</v>
      </c>
      <c r="J8" s="265">
        <f>'1-Hull'!F$17</f>
        <v>0</v>
      </c>
    </row>
    <row r="9" spans="1:10" ht="16">
      <c r="A9" s="400" t="str">
        <f>IF(MAX(F:F)&lt;7,"",IF(INDEX(F:J,MATCH(7,F:F,0),2)=0,"",INDEX(F:J,MATCH(7,F:F,0),2)))</f>
        <v>Power Plant</v>
      </c>
      <c r="B9" s="463" t="str">
        <f>IF(MAX(F:F)&lt;7,"",INDEX(F:J,MATCH(7,F:F,0),3))</f>
        <v>Fusion TL 12 Output:850 Small, Easy to repair</v>
      </c>
      <c r="C9" s="4">
        <f>IF(MAX(F:F)&lt;7,"",INDEX(F:J,MATCH(7,F:F,0),4))</f>
        <v>51</v>
      </c>
      <c r="D9" s="4">
        <f>IF(MAX(F:F)&lt;7,"",INDEX(F:J,MATCH(7,F:F,0),5))</f>
        <v>141666666.66666666</v>
      </c>
      <c r="E9" s="73">
        <f t="shared" si="4"/>
        <v>3</v>
      </c>
      <c r="F9" s="73" t="str">
        <f t="shared" si="5"/>
        <v/>
      </c>
      <c r="G9" s="397"/>
      <c r="H9" s="12" t="str">
        <f>IF('1-Hull'!$A$18='1-Hull'!$S$32,"",'1-Hull'!$A$18)</f>
        <v/>
      </c>
      <c r="I9" s="4">
        <f>'1-Hull'!H$19</f>
        <v>0</v>
      </c>
      <c r="J9" s="265">
        <f>'1-Hull'!F$18</f>
        <v>0</v>
      </c>
    </row>
    <row r="10" spans="1:10" ht="16">
      <c r="A10" s="400" t="str">
        <f>IF(MAX(F:F)&lt;8,"",IF(INDEX(F:J,MATCH(8,F:F,0),2)=0,"",INDEX(F:J,MATCH(8,F:F,0),2)))</f>
        <v>Fuel</v>
      </c>
      <c r="B10" s="463" t="str">
        <f>IF(MAX(F:F)&lt;8,"",INDEX(F:J,MATCH(8,F:F,0),3))</f>
        <v>3 Jumps Available x 1 pc, 8 Weeks of Operation</v>
      </c>
      <c r="C10" s="4">
        <f>IF(MAX(F:F)&lt;8,"",INDEX(F:J,MATCH(8,F:F,0),4))</f>
        <v>312</v>
      </c>
      <c r="D10" s="4" t="str">
        <f>IF(MAX(F:F)&lt;8,"",INDEX(F:J,MATCH(8,F:F,0),5))</f>
        <v/>
      </c>
      <c r="E10" s="73">
        <f t="shared" si="4"/>
        <v>3</v>
      </c>
      <c r="F10" s="73" t="str">
        <f t="shared" si="5"/>
        <v/>
      </c>
      <c r="G10" s="397"/>
      <c r="H10" s="12" t="str">
        <f>IF('1-Hull'!$A$19='1-Hull'!$S$37,"",'1-Hull'!$A$19)</f>
        <v/>
      </c>
      <c r="I10" s="4">
        <f>'1-Hull'!H$19</f>
        <v>0</v>
      </c>
      <c r="J10" s="265">
        <f>'1-Hull'!F$19</f>
        <v>0</v>
      </c>
    </row>
    <row r="11" spans="1:10" ht="16">
      <c r="A11" s="400" t="str">
        <f>IF(MAX(F:F)&lt;9,"",IF(INDEX(F:J,MATCH(9,F:F,0),2)=0,"",INDEX(F:J,MATCH(9,F:F,0),2)))</f>
        <v>Bridge</v>
      </c>
      <c r="B11" s="463" t="str">
        <f>IF(MAX(F:F)&lt;9,"",INDEX(F:J,MATCH(9,F:F,0),3))</f>
        <v>Standard Bridge</v>
      </c>
      <c r="C11" s="4">
        <f>IF(MAX(F:F)&lt;9,"",INDEX(F:J,MATCH(9,F:F,0),4))</f>
        <v>20</v>
      </c>
      <c r="D11" s="4">
        <f>IF(MAX(F:F)&lt;9,"",INDEX(F:J,MATCH(9,F:F,0),5))</f>
        <v>5000000</v>
      </c>
      <c r="E11" s="73">
        <f t="shared" si="4"/>
        <v>3</v>
      </c>
      <c r="F11" s="73" t="str">
        <f t="shared" si="5"/>
        <v/>
      </c>
      <c r="G11" s="397"/>
      <c r="H11" s="12" t="str">
        <f>IF('1-Hull'!$A$20='1-Hull'!$S$40,"",'1-Hull'!$A$20)</f>
        <v/>
      </c>
      <c r="I11" s="4">
        <f>'1-Hull'!H$20</f>
        <v>0</v>
      </c>
      <c r="J11" s="265">
        <f>'1-Hull'!F$20</f>
        <v>0</v>
      </c>
    </row>
    <row r="12" spans="1:10" ht="16">
      <c r="A12" s="400" t="str">
        <f>IF(MAX(F:F)&lt;10,"",IF(INDEX(F:J,MATCH(10,F:F,0),2)=0,"",INDEX(F:J,MATCH(10,F:F,0),2)))</f>
        <v/>
      </c>
      <c r="B12" s="463" t="str">
        <f>IF(MAX(F:F)&lt;10,"",INDEX(F:J,MATCH(10,F:F,0),3))</f>
        <v>Robot Brain Interfaces Installed</v>
      </c>
      <c r="C12" s="4">
        <f>IF(MAX(F:F)&lt;10,"",INDEX(F:J,MATCH(10,F:F,0),4))</f>
        <v>0</v>
      </c>
      <c r="D12" s="4">
        <f>IF(MAX(F:F)&lt;10,"",INDEX(F:J,MATCH(10,F:F,0),5))</f>
        <v>5000000</v>
      </c>
      <c r="E12" s="73">
        <f t="shared" si="4"/>
        <v>4</v>
      </c>
      <c r="F12" s="73">
        <f t="shared" si="5"/>
        <v>4</v>
      </c>
      <c r="G12" s="397"/>
      <c r="H12" s="12" t="str">
        <f>IF('1-Hull'!$A$21='1-Hull'!$S$45,"",'1-Hull'!$A$21&amp;": "&amp;'1-Hull'!B21)</f>
        <v>Radiation Shielding: Reduce Rads by 1000</v>
      </c>
      <c r="I12" s="4">
        <f>'1-Hull'!H$21</f>
        <v>0</v>
      </c>
      <c r="J12" s="265">
        <f>'1-Hull'!F$21</f>
        <v>50000000</v>
      </c>
    </row>
    <row r="13" spans="1:10" ht="16">
      <c r="A13" s="400" t="str">
        <f>IF(MAX(F:F)&lt;11,"",IF(INDEX(F:J,MATCH(11,F:F,0),2)=0,"",INDEX(F:J,MATCH(11,F:F,0),2)))</f>
        <v>Computer</v>
      </c>
      <c r="B13" s="463" t="str">
        <f>IF(MAX(F:F)&lt;11,"",INDEX(F:J,MATCH(11,F:F,0),3))</f>
        <v>Core/ 60 /bis</v>
      </c>
      <c r="C13" s="4">
        <f>IF(MAX(F:F)&lt;11,"",INDEX(F:J,MATCH(11,F:F,0),4))</f>
        <v>0</v>
      </c>
      <c r="D13" s="4">
        <f>IF(MAX(F:F)&lt;11,"",INDEX(F:J,MATCH(11,F:F,0),5))</f>
        <v>112500000</v>
      </c>
      <c r="E13" s="73">
        <f t="shared" si="4"/>
        <v>4</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Software</v>
      </c>
      <c r="B14" s="463" t="str">
        <f>IF(MAX(F:F)&lt;12,"",INDEX(F:J,MATCH(12,F:F,0),3))</f>
        <v>Library</v>
      </c>
      <c r="C14" s="4">
        <f>IF(MAX(F:F)&lt;12,"",INDEX(F:J,MATCH(12,F:F,0),4))</f>
        <v>0</v>
      </c>
      <c r="D14" s="4">
        <f>IF(MAX(F:F)&lt;12,"",INDEX(F:J,MATCH(12,F:F,0),5))</f>
        <v>0</v>
      </c>
      <c r="E14" s="73">
        <f t="shared" si="4"/>
        <v>4</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Manoeuvre/0</v>
      </c>
      <c r="C15" s="4">
        <f>IF(MAX(F:F)&lt;13,"",INDEX(F:J,MATCH(13,F:F,0),4))</f>
        <v>0</v>
      </c>
      <c r="D15" s="4">
        <f>IF(MAX(F:F)&lt;13,"",INDEX(F:J,MATCH(13,F:F,0),5))</f>
        <v>0</v>
      </c>
      <c r="E15" s="73">
        <f t="shared" si="4"/>
        <v>4</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Intellect</v>
      </c>
      <c r="C16" s="4">
        <f>IF(MAX(F:F)&lt;14,"",INDEX(F:J,MATCH(14,F:F,0),4))</f>
        <v>0</v>
      </c>
      <c r="D16" s="4">
        <f>IF(MAX(F:F)&lt;14,"",INDEX(F:J,MATCH(14,F:F,0),5))</f>
        <v>0</v>
      </c>
      <c r="E16" s="73">
        <f t="shared" si="4"/>
        <v>4</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Anti-Hijack/1</v>
      </c>
      <c r="C17" s="4">
        <f>IF(MAX(F:F)&lt;15,"",INDEX(F:J,MATCH(15,F:F,0),4))</f>
        <v>0</v>
      </c>
      <c r="D17" s="4">
        <f>IF(MAX(F:F)&lt;15,"",INDEX(F:J,MATCH(15,F:F,0),5))</f>
        <v>6000000</v>
      </c>
      <c r="E17" s="73">
        <f t="shared" si="4"/>
        <v>4</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Basic Fire Control/1</v>
      </c>
      <c r="C18" s="4">
        <f>IF(MAX(F:F)&lt;16,"",INDEX(F:J,MATCH(16,F:F,0),4))</f>
        <v>0</v>
      </c>
      <c r="D18" s="4">
        <f>IF(MAX(F:F)&lt;16,"",INDEX(F:J,MATCH(16,F:F,0),5))</f>
        <v>2000000</v>
      </c>
      <c r="E18" s="73">
        <f t="shared" si="4"/>
        <v>4</v>
      </c>
      <c r="F18" s="73" t="str">
        <f t="shared" si="5"/>
        <v/>
      </c>
      <c r="G18" s="399" t="str">
        <f>IF(J18=0,"","Armor")</f>
        <v/>
      </c>
      <c r="H18" s="393" t="str">
        <f>IF('1-Hull'!$D$10=0,"",IF('1-Hull'!$B$9='1-Hull'!$S$18,"Intrinsic",'1-Hull'!$B$9)&amp;" Armor: "&amp;'1-Hull'!$D$10)</f>
        <v/>
      </c>
      <c r="I18" s="420">
        <f>'1-Hull'!$H$9</f>
        <v>0</v>
      </c>
      <c r="J18" s="388">
        <f>'1-Hull'!$F$9</f>
        <v>0</v>
      </c>
    </row>
    <row r="19" spans="1:10" ht="15" customHeight="1">
      <c r="A19" s="400" t="str">
        <f>IF(MAX(F:F)&lt;17,"",IF(INDEX(F:J,MATCH(17,F:F,0),2)=0,"",INDEX(F:J,MATCH(17,F:F,0),2)))</f>
        <v/>
      </c>
      <c r="B19" s="463" t="str">
        <f>IF(MAX(F:F)&lt;17,"",INDEX(F:J,MATCH(17,F:F,0),3))</f>
        <v>Evade/1</v>
      </c>
      <c r="C19" s="4">
        <f>IF(MAX(F:F)&lt;17,"",INDEX(F:J,MATCH(17,F:F,0),4))</f>
        <v>0</v>
      </c>
      <c r="D19" s="4">
        <f>IF(MAX(F:F)&lt;17,"",INDEX(F:J,MATCH(17,F:F,0),5))</f>
        <v>1000000</v>
      </c>
      <c r="E19" s="73">
        <f t="shared" si="4"/>
        <v>5</v>
      </c>
      <c r="F19" s="73">
        <f t="shared" si="5"/>
        <v>5</v>
      </c>
      <c r="G19" s="401" t="str">
        <f>IF(H19="","","M-Drive")</f>
        <v>M-Drive</v>
      </c>
      <c r="H19" s="391" t="str">
        <f>IF('2-Drives'!$B$11='2-Drives'!$S$2,"",'2-Drives'!$S$91)</f>
        <v>M-Drive: 2 Efficient, Small, Easy to Repair</v>
      </c>
      <c r="I19" s="237">
        <f>SUM('2-Drives'!H11:H17)</f>
        <v>18</v>
      </c>
      <c r="J19" s="387">
        <f>SUM('2-Drives'!F11:F17)</f>
        <v>120000000</v>
      </c>
    </row>
    <row r="20" spans="1:10" ht="16">
      <c r="A20" s="400" t="str">
        <f>IF(MAX(F:F)&lt;18,"",IF(INDEX(F:J,MATCH(18,F:F,0),2)=0,"",INDEX(F:J,MATCH(18,F:F,0),2)))</f>
        <v/>
      </c>
      <c r="B20" s="463" t="str">
        <f>IF(MAX(F:F)&lt;18,"",INDEX(F:J,MATCH(18,F:F,0),3))</f>
        <v>Jump Control/3</v>
      </c>
      <c r="C20" s="4">
        <f>IF(MAX(F:F)&lt;18,"",INDEX(F:J,MATCH(18,F:F,0),4))</f>
        <v>0</v>
      </c>
      <c r="D20" s="4">
        <f>IF(MAX(F:F)&lt;18,"",INDEX(F:J,MATCH(18,F:F,0),5))</f>
        <v>0</v>
      </c>
      <c r="E20" s="73">
        <f t="shared" si="4"/>
        <v>5</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Launch Solution/1</v>
      </c>
      <c r="C21" s="4">
        <f>IF(MAX(F:F)&lt;19,"",INDEX(F:J,MATCH(19,F:F,0),4))</f>
        <v>0</v>
      </c>
      <c r="D21" s="4">
        <f>IF(MAX(F:F)&lt;19,"",INDEX(F:J,MATCH(19,F:F,0),5))</f>
        <v>10000000</v>
      </c>
      <c r="E21" s="73">
        <f t="shared" si="4"/>
        <v>5</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Virtual Crew/1 Crew: 5</v>
      </c>
      <c r="C22" s="4">
        <f>IF(MAX(F:F)&lt;20,"",INDEX(F:J,MATCH(20,F:F,0),4))</f>
        <v>0</v>
      </c>
      <c r="D22" s="4">
        <f>IF(MAX(F:F)&lt;20,"",INDEX(F:J,MATCH(20,F:F,0),5))</f>
        <v>5000000</v>
      </c>
      <c r="E22" s="73">
        <f t="shared" si="4"/>
        <v>5</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Virtual Gunner/0 Gunners: 3</v>
      </c>
      <c r="C23" s="4">
        <f>IF(MAX(F:F)&lt;21,"",INDEX(F:J,MATCH(21,F:F,0),4))</f>
        <v>0</v>
      </c>
      <c r="D23" s="4">
        <f>IF(MAX(F:F)&lt;21,"",INDEX(F:J,MATCH(21,F:F,0),5))</f>
        <v>1000000</v>
      </c>
      <c r="E23" s="73">
        <f t="shared" si="4"/>
        <v>5</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Science (General)</v>
      </c>
      <c r="C24" s="4">
        <f>IF(MAX(F:F)&lt;22,"",INDEX(F:J,MATCH(22,F:F,0),4))</f>
        <v>0</v>
      </c>
      <c r="D24" s="4">
        <f>IF(MAX(F:F)&lt;22,"",INDEX(F:J,MATCH(22,F:F,0),5))</f>
        <v>25000000</v>
      </c>
      <c r="E24" s="73">
        <f t="shared" si="4"/>
        <v>6</v>
      </c>
      <c r="F24" s="73">
        <f t="shared" si="5"/>
        <v>6</v>
      </c>
      <c r="G24" s="401" t="str">
        <f>IF(H24="","","FTL")</f>
        <v>FTL</v>
      </c>
      <c r="H24" s="391" t="str">
        <f>IF('2-Drives'!$B$25='2-Drives'!$S$5,"",'2-Drives'!$S$101)</f>
        <v>Jump Drive: 3 Small, Easy to Repair</v>
      </c>
      <c r="I24" s="237">
        <f>SUM('2-Drives'!H25:H30)</f>
        <v>72</v>
      </c>
      <c r="J24" s="387">
        <f>SUM('2-Drives'!F25:F30)</f>
        <v>300000000</v>
      </c>
    </row>
    <row r="25" spans="1:10" ht="16">
      <c r="A25" s="400" t="str">
        <f>IF(MAX(F:F)&lt;23,"",IF(INDEX(F:J,MATCH(23,F:F,0),2)=0,"",INDEX(F:J,MATCH(23,F:F,0),2)))</f>
        <v/>
      </c>
      <c r="B25" s="463" t="str">
        <f>IF(MAX(F:F)&lt;23,"",INDEX(F:J,MATCH(23,F:F,0),3))</f>
        <v>Science (Specific), 1 Iteration(s)</v>
      </c>
      <c r="C25" s="4">
        <f>IF(MAX(F:F)&lt;23,"",INDEX(F:J,MATCH(23,F:F,0),4))</f>
        <v>0</v>
      </c>
      <c r="D25" s="4">
        <f>IF(MAX(F:F)&lt;23,"",INDEX(F:J,MATCH(23,F:F,0),5))</f>
        <v>20000000</v>
      </c>
      <c r="E25" s="73">
        <f t="shared" si="4"/>
        <v>6</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Mentor/1, 1 Iteration(s)</v>
      </c>
      <c r="C26" s="4">
        <f>IF(MAX(F:F)&lt;24,"",INDEX(F:J,MATCH(24,F:F,0),4))</f>
        <v>0</v>
      </c>
      <c r="D26" s="4">
        <f>IF(MAX(F:F)&lt;24,"",INDEX(F:J,MATCH(24,F:F,0),5))</f>
        <v>2000000</v>
      </c>
      <c r="E26" s="73">
        <f t="shared" si="4"/>
        <v>7</v>
      </c>
      <c r="F26" s="73">
        <f t="shared" si="5"/>
        <v>7</v>
      </c>
      <c r="G26" s="401" t="str">
        <f>IF(H26="","","Power Plant")</f>
        <v>Power Plant</v>
      </c>
      <c r="H26" s="391" t="str">
        <f>IF('3-Pwr Plant'!$D$11=0,"",'3-Pwr Plant'!$B$11&amp;" Output:"&amp;'3-Pwr Plant'!$D$11+'3-Pwr Plant'!$L$12&amp;" "&amp;'3-Pwr Plant'!$Z$12)</f>
        <v>Fusion TL 12 Output:850 Small, Easy to repair</v>
      </c>
      <c r="I26" s="237">
        <f>SUM('3-Pwr Plant'!H11:H14)</f>
        <v>51</v>
      </c>
      <c r="J26" s="387">
        <f>SUM('3-Pwr Plant'!F11:F14)</f>
        <v>141666666.66666666</v>
      </c>
    </row>
    <row r="27" spans="1:10" ht="16">
      <c r="A27" s="400" t="str">
        <f>IF(MAX(F:F)&lt;25,"",IF(INDEX(F:J,MATCH(25,F:F,0),2)=0,"",INDEX(F:J,MATCH(25,F:F,0),2)))</f>
        <v/>
      </c>
      <c r="B27" s="463" t="str">
        <f>IF(MAX(F:F)&lt;25,"",INDEX(F:J,MATCH(25,F:F,0),3))</f>
        <v>Research Assist/1, 1 Iteration(s)</v>
      </c>
      <c r="C27" s="4">
        <f>IF(MAX(F:F)&lt;25,"",INDEX(F:J,MATCH(25,F:F,0),4))</f>
        <v>0</v>
      </c>
      <c r="D27" s="4">
        <f>IF(MAX(F:F)&lt;25,"",INDEX(F:J,MATCH(25,F:F,0),5))</f>
        <v>2000000</v>
      </c>
      <c r="E27" s="73">
        <f t="shared" si="4"/>
        <v>7</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Planetology/1</v>
      </c>
      <c r="C28" s="4">
        <f>IF(MAX(F:F)&lt;26,"",INDEX(F:J,MATCH(26,F:F,0),4))</f>
        <v>0</v>
      </c>
      <c r="D28" s="4">
        <f>IF(MAX(F:F)&lt;26,"",INDEX(F:J,MATCH(26,F:F,0),5))</f>
        <v>1000000</v>
      </c>
      <c r="E28" s="73">
        <f t="shared" si="4"/>
        <v>7</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Sensors</v>
      </c>
      <c r="B29" s="463" t="str">
        <f>IF(MAX(F:F)&lt;27,"",INDEX(F:J,MATCH(27,F:F,0),3))</f>
        <v>Main Sensor Array: Class IV - Improved  x3</v>
      </c>
      <c r="C29" s="4">
        <f>IF(MAX(F:F)&lt;27,"",INDEX(F:J,MATCH(27,F:F,0),4))</f>
        <v>9</v>
      </c>
      <c r="D29" s="4">
        <f>IF(MAX(F:F)&lt;27,"",INDEX(F:J,MATCH(27,F:F,0),5))</f>
        <v>12900000</v>
      </c>
      <c r="E29" s="73">
        <f t="shared" si="4"/>
        <v>7</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1x Deep Penetration Scanners</v>
      </c>
      <c r="C30" s="4">
        <f>IF(MAX(F:F)&lt;28,"",INDEX(F:J,MATCH(28,F:F,0),4))</f>
        <v>1</v>
      </c>
      <c r="D30" s="4">
        <f>IF(MAX(F:F)&lt;28,"",INDEX(F:J,MATCH(28,F:F,0),5))</f>
        <v>1000000</v>
      </c>
      <c r="E30" s="73">
        <f t="shared" si="4"/>
        <v>7</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3x Enhanced Signal Processing</v>
      </c>
      <c r="C31" s="4">
        <f>IF(MAX(F:F)&lt;29,"",INDEX(F:J,MATCH(29,F:F,0),4))</f>
        <v>6</v>
      </c>
      <c r="D31" s="4">
        <f>IF(MAX(F:F)&lt;29,"",INDEX(F:J,MATCH(29,F:F,0),5))</f>
        <v>24000000</v>
      </c>
      <c r="E31" s="73">
        <f t="shared" si="4"/>
        <v>7</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1x Extended Arrays</v>
      </c>
      <c r="C32" s="4">
        <f>IF(MAX(F:F)&lt;30,"",INDEX(F:J,MATCH(30,F:F,0),4))</f>
        <v>18</v>
      </c>
      <c r="D32" s="4">
        <f>IF(MAX(F:F)&lt;30,"",INDEX(F:J,MATCH(30,F:F,0),5))</f>
        <v>25800000</v>
      </c>
      <c r="E32" s="73">
        <f t="shared" si="4"/>
        <v>8</v>
      </c>
      <c r="F32" s="73">
        <f t="shared" si="5"/>
        <v>8</v>
      </c>
      <c r="G32" s="401" t="str">
        <f>IF(H32="","","Fuel")</f>
        <v>Fuel</v>
      </c>
      <c r="H32" s="391" t="str">
        <f>IF('4-Fuel'!$H$10=0,"",'4-Fuel'!$B$9&amp;" "&amp;'4-Fuel'!A9&amp;", "&amp;'4-Fuel'!$C$10&amp;" Weeks of Operation"&amp;IF('4-Fuel'!$B$8=0,"",", "&amp;"Reaction Hours: "&amp;'4-Fuel'!$B$8)&amp;IF('4-Fuel'!C26='4-Fuel'!T7,"",", F/C Bay"))</f>
        <v>3 Jumps Available x 1 pc, 8 Weeks of Operation</v>
      </c>
      <c r="I32" s="237">
        <f>SUM('4-Fuel'!H8:H10)</f>
        <v>312</v>
      </c>
      <c r="J32" s="387" t="str">
        <f>""</f>
        <v/>
      </c>
    </row>
    <row r="33" spans="1:10" ht="16">
      <c r="A33" s="400" t="str">
        <f>IF(MAX(F:F)&lt;31,"",IF(INDEX(F:J,MATCH(31,F:F,0),2)=0,"",INDEX(F:J,MATCH(31,F:F,0),2)))</f>
        <v/>
      </c>
      <c r="B33" s="463" t="str">
        <f>IF(MAX(F:F)&lt;31,"",INDEX(F:J,MATCH(31,F:F,0),3))</f>
        <v>1x Extension Net</v>
      </c>
      <c r="C33" s="4">
        <f>IF(MAX(F:F)&lt;31,"",INDEX(F:J,MATCH(31,F:F,0),4))</f>
        <v>10</v>
      </c>
      <c r="D33" s="4">
        <f>IF(MAX(F:F)&lt;31,"",INDEX(F:J,MATCH(31,F:F,0),5))</f>
        <v>10000000</v>
      </c>
      <c r="E33" s="73">
        <f t="shared" si="4"/>
        <v>8</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1x Improved Signal Processing</v>
      </c>
      <c r="C34" s="4">
        <f>IF(MAX(F:F)&lt;32,"",INDEX(F:J,MATCH(32,F:F,0),4))</f>
        <v>1</v>
      </c>
      <c r="D34" s="4">
        <f>IF(MAX(F:F)&lt;32,"",INDEX(F:J,MATCH(32,F:F,0),5))</f>
        <v>4000000</v>
      </c>
      <c r="E34" s="73">
        <f t="shared" si="4"/>
        <v>8</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3x Life Scanner</v>
      </c>
      <c r="C35" s="4">
        <f>IF(MAX(F:F)&lt;33,"",INDEX(F:J,MATCH(33,F:F,0),4))</f>
        <v>3</v>
      </c>
      <c r="D35" s="4">
        <f>IF(MAX(F:F)&lt;33,"",INDEX(F:J,MATCH(33,F:F,0),5))</f>
        <v>6000000</v>
      </c>
      <c r="E35" s="73">
        <f t="shared" si="4"/>
        <v>8</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1x Life Scanner Analysis Suite</v>
      </c>
      <c r="C36" s="4">
        <f>IF(MAX(F:F)&lt;34,"",INDEX(F:J,MATCH(34,F:F,0),4))</f>
        <v>1</v>
      </c>
      <c r="D36" s="4">
        <f>IF(MAX(F:F)&lt;34,"",INDEX(F:J,MATCH(34,F:F,0),5))</f>
        <v>4000000</v>
      </c>
      <c r="E36" s="73">
        <f t="shared" si="4"/>
        <v>8</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1x Mineral Detection Suite</v>
      </c>
      <c r="C37" s="4">
        <f>IF(MAX(F:F)&lt;35,"",INDEX(F:J,MATCH(35,F:F,0),4))</f>
        <v>1</v>
      </c>
      <c r="D37" s="4">
        <f>IF(MAX(F:F)&lt;35,"",INDEX(F:J,MATCH(35,F:F,0),5))</f>
        <v>5000000</v>
      </c>
      <c r="E37" s="73">
        <f t="shared" si="4"/>
        <v>8</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1x Shallow Penetration Suite</v>
      </c>
      <c r="C38" s="4">
        <f>IF(MAX(F:F)&lt;36,"",INDEX(F:J,MATCH(36,F:F,0),4))</f>
        <v>10</v>
      </c>
      <c r="D38" s="4">
        <f>IF(MAX(F:F)&lt;36,"",INDEX(F:J,MATCH(36,F:F,0),5))</f>
        <v>5000000</v>
      </c>
      <c r="E38" s="73">
        <f t="shared" si="4"/>
        <v>8</v>
      </c>
      <c r="F38" s="73" t="str">
        <f t="shared" si="5"/>
        <v/>
      </c>
      <c r="G38" s="397"/>
      <c r="H38" s="12" t="str">
        <f>IF('4-Fuel'!C28='4-Fuel'!$S$40,"",'4-Fuel'!A24&amp;" "&amp;'4-Fuel'!B28)</f>
        <v/>
      </c>
      <c r="I38" s="4">
        <f>'4-Fuel'!H28</f>
        <v>0</v>
      </c>
      <c r="J38" s="265">
        <f>'4-Fuel'!F28</f>
        <v>0</v>
      </c>
    </row>
    <row r="39" spans="1:10" ht="16">
      <c r="A39" s="400" t="str">
        <f>IF(MAX(F:F)&lt;37,"",IF(INDEX(F:J,MATCH(37,F:F,0),2)=0,"",INDEX(F:J,MATCH(37,F:F,0),2)))</f>
        <v>Weapons</v>
      </c>
      <c r="B39" s="463" t="str">
        <f>IF(MAX(F:F)&lt;37,"",INDEX(F:J,MATCH(37,F:F,0),3))</f>
        <v xml:space="preserve">5x Triple Turret: Particle Beam </v>
      </c>
      <c r="C39" s="4">
        <f>IF(MAX(F:F)&lt;37,"",INDEX(F:J,MATCH(37,F:F,0),4))</f>
        <v>5</v>
      </c>
      <c r="D39" s="4">
        <f>IF(MAX(F:F)&lt;37,"",INDEX(F:J,MATCH(37,F:F,0),5))</f>
        <v>65000000</v>
      </c>
      <c r="E39" s="73">
        <f t="shared" si="4"/>
        <v>8</v>
      </c>
      <c r="F39" s="73" t="str">
        <f t="shared" si="5"/>
        <v/>
      </c>
      <c r="G39" s="397"/>
      <c r="H39" s="12" t="str">
        <f>IF('4-Fuel'!$A$32='4-Fuel'!$S$13,"",'4-Fuel'!$C$32&amp;" Ton "&amp;'4-Fuel'!$A$31)</f>
        <v/>
      </c>
      <c r="I39" s="4">
        <f>'4-Fuel'!H32</f>
        <v>0</v>
      </c>
      <c r="J39" s="265">
        <f>'4-Fuel'!F32</f>
        <v>0</v>
      </c>
    </row>
    <row r="40" spans="1:10" ht="16">
      <c r="A40" s="400" t="str">
        <f>IF(MAX(F:F)&lt;38,"",IF(INDEX(F:J,MATCH(38,F:F,0),2)=0,"",INDEX(F:J,MATCH(38,F:F,0),2)))</f>
        <v>Screens</v>
      </c>
      <c r="B40" s="463" t="str">
        <f>IF(MAX(F:F)&lt;38,"",INDEX(F:J,MATCH(38,F:F,0),3))</f>
        <v>0x Nuclear Damper Energy Efficient, Easy to Repair</v>
      </c>
      <c r="C40" s="4">
        <f>IF(MAX(F:F)&lt;38,"",INDEX(F:J,MATCH(38,F:F,0),4))</f>
        <v>0</v>
      </c>
      <c r="D40" s="4">
        <f>IF(MAX(F:F)&lt;38,"",INDEX(F:J,MATCH(38,F:F,0),5))</f>
        <v>0</v>
      </c>
      <c r="E40" s="73">
        <f t="shared" si="4"/>
        <v>8</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0x Deflector Screens Energy Efficient, Resilient, Easy to Repair</v>
      </c>
      <c r="C41" s="4">
        <f>IF(MAX(F:F)&lt;39,"",INDEX(F:J,MATCH(39,F:F,0),4))</f>
        <v>0</v>
      </c>
      <c r="D41" s="4">
        <f>IF(MAX(F:F)&lt;39,"",INDEX(F:J,MATCH(39,F:F,0),5))</f>
        <v>0</v>
      </c>
      <c r="E41" s="73">
        <f t="shared" si="4"/>
        <v>8</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Craft</v>
      </c>
      <c r="B42" s="463" t="str">
        <f>IF(MAX(F:F)&lt;40,"",INDEX(F:J,MATCH(40,F:F,0),3))</f>
        <v>1x 24 ton Internal Docking Space</v>
      </c>
      <c r="C42" s="4">
        <f>IF(MAX(F:F)&lt;40,"",INDEX(F:J,MATCH(40,F:F,0),4))</f>
        <v>27</v>
      </c>
      <c r="D42" s="4">
        <f>IF(MAX(F:F)&lt;40,"",INDEX(F:J,MATCH(40,F:F,0),5))</f>
        <v>6750000</v>
      </c>
      <c r="E42" s="73">
        <f t="shared" si="4"/>
        <v>9</v>
      </c>
      <c r="F42" s="73">
        <f t="shared" si="5"/>
        <v>9</v>
      </c>
      <c r="G42" s="401" t="s">
        <v>78</v>
      </c>
      <c r="H42" s="391" t="str">
        <f>'5-Bridge'!$A$9</f>
        <v>Standard Bridge</v>
      </c>
      <c r="I42" s="237">
        <f>'5-Bridge'!H9</f>
        <v>20</v>
      </c>
      <c r="J42" s="387">
        <f>'5-Bridge'!F9</f>
        <v>5000000</v>
      </c>
    </row>
    <row r="43" spans="1:10" ht="16">
      <c r="A43" s="400" t="str">
        <f>IF(MAX(F:F)&lt;41,"",IF(INDEX(F:J,MATCH(41,F:F,0),2)=0,"",INDEX(F:J,MATCH(41,F:F,0),2)))</f>
        <v/>
      </c>
      <c r="B43" s="463" t="str">
        <f>IF(MAX(F:F)&lt;41,"",INDEX(F:J,MATCH(41,F:F,0),3))</f>
        <v>3x Docking Clamp Type II</v>
      </c>
      <c r="C43" s="4">
        <f>IF(MAX(F:F)&lt;41,"",INDEX(F:J,MATCH(41,F:F,0),4))</f>
        <v>15</v>
      </c>
      <c r="D43" s="4">
        <f>IF(MAX(F:F)&lt;41,"",INDEX(F:J,MATCH(41,F:F,0),5))</f>
        <v>3000000</v>
      </c>
      <c r="E43" s="73">
        <f t="shared" si="4"/>
        <v>9</v>
      </c>
      <c r="F43" s="73" t="str">
        <f t="shared" si="5"/>
        <v/>
      </c>
      <c r="G43" s="397"/>
      <c r="H43" s="12" t="str">
        <f>IF('5-Bridge'!$A$10='5-Bridge'!$S$13,'5-Bridge'!$A$8&amp;" "&amp;'5-Bridge'!$A$10,"")</f>
        <v/>
      </c>
      <c r="J43" s="265">
        <f>'5-Bridge'!F10</f>
        <v>0</v>
      </c>
    </row>
    <row r="44" spans="1:10" ht="16">
      <c r="A44" s="400" t="str">
        <f>IF(MAX(F:F)&lt;42,"",IF(INDEX(F:J,MATCH(42,F:F,0),2)=0,"",INDEX(F:J,MATCH(42,F:F,0),2)))</f>
        <v/>
      </c>
      <c r="B44" s="463" t="str">
        <f>IF(MAX(F:F)&lt;42,"",INDEX(F:J,MATCH(42,F:F,0),3))</f>
        <v>1x 3 ton Full Hangar Bay</v>
      </c>
      <c r="C44" s="4">
        <f>IF(MAX(F:F)&lt;42,"",INDEX(F:J,MATCH(42,F:F,0),4))</f>
        <v>6</v>
      </c>
      <c r="D44" s="4">
        <f>IF(MAX(F:F)&lt;42,"",INDEX(F:J,MATCH(42,F:F,0),5))</f>
        <v>1200000</v>
      </c>
      <c r="E44" s="73">
        <f t="shared" si="4"/>
        <v>9</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Zhodoni Insight Scout Sled x3 (22.5 tons)</v>
      </c>
      <c r="C45" s="4">
        <f>IF(MAX(F:F)&lt;43,"",INDEX(F:J,MATCH(43,F:F,0),4))</f>
        <v>0</v>
      </c>
      <c r="D45" s="4">
        <f>IF(MAX(F:F)&lt;43,"",INDEX(F:J,MATCH(43,F:F,0),5))</f>
        <v>8550000</v>
      </c>
      <c r="E45" s="73">
        <f t="shared" si="4"/>
        <v>9</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Zhodani Brechatsnech Belt Survey Vessel x1 (60 tons)</v>
      </c>
      <c r="C46" s="4">
        <f>IF(MAX(F:F)&lt;44,"",INDEX(F:J,MATCH(44,F:F,0),4))</f>
        <v>0</v>
      </c>
      <c r="D46" s="4">
        <f>IF(MAX(F:F)&lt;44,"",INDEX(F:J,MATCH(44,F:F,0),5))</f>
        <v>37070000</v>
      </c>
      <c r="E46" s="73">
        <f t="shared" si="4"/>
        <v>9</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
      </c>
      <c r="B47" s="463" t="str">
        <f>IF(MAX(F:F)&lt;45,"",INDEX(F:J,MATCH(45,F:F,0),3))</f>
        <v>Zhodani Neishetsienz Gas Giant Survey Vessel x1 (60 tons)</v>
      </c>
      <c r="C47" s="4">
        <f>IF(MAX(F:F)&lt;45,"",INDEX(F:J,MATCH(45,F:F,0),4))</f>
        <v>0</v>
      </c>
      <c r="D47" s="4">
        <f>IF(MAX(F:F)&lt;45,"",INDEX(F:J,MATCH(45,F:F,0),5))</f>
        <v>65550000</v>
      </c>
      <c r="E47" s="73">
        <f t="shared" si="4"/>
        <v>9</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Zhodani Drabr Chtor Terrestrial Survey Vessel x1 (80 tons)</v>
      </c>
      <c r="C48" s="4">
        <f>IF(MAX(F:F)&lt;46,"",INDEX(F:J,MATCH(46,F:F,0),4))</f>
        <v>0</v>
      </c>
      <c r="D48" s="4">
        <f>IF(MAX(F:F)&lt;46,"",INDEX(F:J,MATCH(46,F:F,0),5))</f>
        <v>48995000</v>
      </c>
      <c r="E48" s="73">
        <f t="shared" si="4"/>
        <v>10</v>
      </c>
      <c r="F48" s="73">
        <f t="shared" si="5"/>
        <v>10</v>
      </c>
      <c r="G48" s="397"/>
      <c r="H48" s="12" t="str">
        <f>IF('5-Bridge'!$A$24='5-Bridge'!$S$47,"",'5-Bridge'!$A$24)</f>
        <v>Robot Brain Interfaces Installed</v>
      </c>
      <c r="J48" s="265">
        <f>'5-Bridge'!F24</f>
        <v>5000000</v>
      </c>
    </row>
    <row r="49" spans="1:10" ht="16">
      <c r="A49" s="400" t="str">
        <f>IF(MAX(F:F)&lt;47,"",IF(INDEX(F:J,MATCH(47,F:F,0),2)=0,"",INDEX(F:J,MATCH(47,F:F,0),2)))</f>
        <v>Systems</v>
      </c>
      <c r="B49" s="463" t="str">
        <f>IF(MAX(F:F)&lt;47,"",INDEX(F:J,MATCH(47,F:F,0),3))</f>
        <v>Probe Drones: 50 Probes</v>
      </c>
      <c r="C49" s="4">
        <f>IF(MAX(F:F)&lt;47,"",INDEX(F:J,MATCH(47,F:F,0),4))</f>
        <v>10</v>
      </c>
      <c r="D49" s="4">
        <f>IF(MAX(F:F)&lt;47,"",INDEX(F:J,MATCH(47,F:F,0),5))</f>
        <v>5000000</v>
      </c>
      <c r="E49" s="73">
        <f t="shared" si="4"/>
        <v>10</v>
      </c>
      <c r="F49" s="73" t="str">
        <f t="shared" si="5"/>
        <v/>
      </c>
      <c r="G49" s="397"/>
      <c r="H49" s="12" t="str">
        <f>'5-Bridge'!$S$58</f>
        <v/>
      </c>
      <c r="J49" s="265">
        <f>SUM('5-Bridge'!F27,'5-Bridge'!F30)</f>
        <v>0</v>
      </c>
    </row>
    <row r="50" spans="1:10" ht="16">
      <c r="A50" s="400" t="str">
        <f>IF(MAX(F:F)&lt;48,"",IF(INDEX(F:J,MATCH(48,F:F,0),2)=0,"",INDEX(F:J,MATCH(48,F:F,0),2)))</f>
        <v/>
      </c>
      <c r="B50" s="463" t="str">
        <f>IF(MAX(F:F)&lt;48,"",INDEX(F:J,MATCH(48,F:F,0),3))</f>
        <v>Advanced Probe Drones: 50 Probes</v>
      </c>
      <c r="C50" s="4">
        <f>IF(MAX(F:F)&lt;48,"",INDEX(F:J,MATCH(48,F:F,0),4))</f>
        <v>10</v>
      </c>
      <c r="D50" s="4">
        <f>IF(MAX(F:F)&lt;48,"",INDEX(F:J,MATCH(48,F:F,0),5))</f>
        <v>8000000</v>
      </c>
      <c r="E50" s="73">
        <f t="shared" si="4"/>
        <v>10</v>
      </c>
      <c r="F50" s="73" t="str">
        <f t="shared" si="5"/>
        <v/>
      </c>
      <c r="G50" s="397"/>
      <c r="H50" s="12" t="str">
        <f>IF('5-Bridge'!$C$22='5-Bridge'!$S$25,"","Armored Bulkheads")</f>
        <v/>
      </c>
      <c r="I50" s="4">
        <f>'5-Bridge'!H22</f>
        <v>0</v>
      </c>
      <c r="J50" s="265">
        <f>'5-Bridge'!F22</f>
        <v>0</v>
      </c>
    </row>
    <row r="51" spans="1:10" ht="16">
      <c r="A51" s="400" t="str">
        <f>IF(MAX(F:F)&lt;49,"",IF(INDEX(F:J,MATCH(49,F:F,0),2)=0,"",INDEX(F:J,MATCH(49,F:F,0),2)))</f>
        <v/>
      </c>
      <c r="B51" s="463" t="str">
        <f>IF(MAX(F:F)&lt;49,"",INDEX(F:J,MATCH(49,F:F,0),3))</f>
        <v>Repair Drones</v>
      </c>
      <c r="C51" s="4">
        <f>IF(MAX(F:F)&lt;49,"",INDEX(F:J,MATCH(49,F:F,0),4))</f>
        <v>10</v>
      </c>
      <c r="D51" s="4">
        <f>IF(MAX(F:F)&lt;49,"",INDEX(F:J,MATCH(49,F:F,0),5))</f>
        <v>2000000</v>
      </c>
      <c r="E51" s="73">
        <f t="shared" si="4"/>
        <v>10</v>
      </c>
      <c r="F51" s="73" t="str">
        <f t="shared" si="5"/>
        <v/>
      </c>
      <c r="G51" s="398"/>
      <c r="H51" s="12" t="str">
        <f>IF('7-Sensors'!$C$12=0,"",'7-Sensors'!$C$12&amp;"x "&amp;"Additional "&amp;IF('7-Sensors'!$E$13="No","","Armored ")&amp;"Sensor Stations")</f>
        <v/>
      </c>
      <c r="I51" s="4">
        <f>'7-Sensors'!$H$12</f>
        <v>0</v>
      </c>
      <c r="J51" s="265">
        <f>'7-Sensors'!$F$12</f>
        <v>0</v>
      </c>
    </row>
    <row r="52" spans="1:10" ht="16">
      <c r="A52" s="400" t="str">
        <f>IF(MAX(F:F)&lt;50,"",IF(INDEX(F:J,MATCH(50,F:F,0),2)=0,"",INDEX(F:J,MATCH(50,F:F,0),2)))</f>
        <v/>
      </c>
      <c r="B52" s="463" t="str">
        <f>IF(MAX(F:F)&lt;50,"",INDEX(F:J,MATCH(50,F:F,0),3))</f>
        <v>Fuel Scoop Included Free w/ Streamlining</v>
      </c>
      <c r="C52" s="4">
        <f>IF(MAX(F:F)&lt;50,"",INDEX(F:J,MATCH(50,F:F,0),4))</f>
        <v>0</v>
      </c>
      <c r="D52" s="4">
        <f>IF(MAX(F:F)&lt;50,"",INDEX(F:J,MATCH(50,F:F,0),5))</f>
        <v>0</v>
      </c>
      <c r="E52" s="73">
        <f t="shared" si="4"/>
        <v>11</v>
      </c>
      <c r="F52" s="73">
        <f t="shared" si="5"/>
        <v>11</v>
      </c>
      <c r="G52" s="401" t="str">
        <f>IF(H52="","","Computer")</f>
        <v>Computer</v>
      </c>
      <c r="H52" s="391" t="str">
        <f>'6-Comp'!$B$9&amp;IF('6-Comp'!$B$10='6-Comp'!$S$21,""," /bis")&amp;IF('6-Comp'!$B$11='6-Comp'!$S$21,"","/fib")</f>
        <v>Core/ 60 /bis</v>
      </c>
      <c r="I52" s="237"/>
      <c r="J52" s="387">
        <f>SUM('6-Comp'!F9:F11)</f>
        <v>112500000</v>
      </c>
    </row>
    <row r="53" spans="1:10" ht="16">
      <c r="A53" s="400" t="str">
        <f>IF(MAX(F:F)&lt;51,"",IF(INDEX(F:J,MATCH(51,F:F,0),2)=0,"",INDEX(F:J,MATCH(51,F:F,0),2)))</f>
        <v/>
      </c>
      <c r="B53" s="463" t="str">
        <f>IF(MAX(F:F)&lt;51,"",INDEX(F:J,MATCH(51,F:F,0),3))</f>
        <v>Fuel Processor 320 Tons Per Day</v>
      </c>
      <c r="C53" s="4">
        <f>IF(MAX(F:F)&lt;51,"",INDEX(F:J,MATCH(51,F:F,0),4))</f>
        <v>16</v>
      </c>
      <c r="D53" s="4">
        <f>IF(MAX(F:F)&lt;51,"",INDEX(F:J,MATCH(51,F:F,0),5))</f>
        <v>800000</v>
      </c>
      <c r="E53" s="73">
        <f t="shared" si="4"/>
        <v>11</v>
      </c>
      <c r="F53" s="73" t="str">
        <f t="shared" si="5"/>
        <v/>
      </c>
      <c r="G53" s="398"/>
      <c r="H53" s="392" t="str">
        <f>IF('6-Comp'!$B$13="","",'6-Comp'!$B$13&amp;IF('6-Comp'!$B$14='6-Comp'!$S$21,""," /bis")&amp;IF('6-Comp'!$B$15='6-Comp'!$S$21,"","/fib"))</f>
        <v/>
      </c>
      <c r="I53" s="403"/>
      <c r="J53" s="266">
        <f>SUM('6-Comp'!F13:F15)</f>
        <v>0</v>
      </c>
    </row>
    <row r="54" spans="1:10" ht="16">
      <c r="A54" s="400" t="str">
        <f>IF(MAX(F:F)&lt;52,"",IF(INDEX(F:J,MATCH(52,F:F,0),2)=0,"",INDEX(F:J,MATCH(52,F:F,0),2)))</f>
        <v/>
      </c>
      <c r="B54" s="463" t="str">
        <f>IF(MAX(F:F)&lt;52,"",INDEX(F:J,MATCH(52,F:F,0),3))</f>
        <v xml:space="preserve">10x 2 ton Airlock </v>
      </c>
      <c r="C54" s="4">
        <f>IF(MAX(F:F)&lt;52,"",INDEX(F:J,MATCH(52,F:F,0),4))</f>
        <v>0</v>
      </c>
      <c r="D54" s="4">
        <f>IF(MAX(F:F)&lt;52,"",INDEX(F:J,MATCH(52,F:F,0),5))</f>
        <v>0</v>
      </c>
      <c r="E54" s="73">
        <f t="shared" si="4"/>
        <v>12</v>
      </c>
      <c r="F54" s="73">
        <f t="shared" si="5"/>
        <v>12</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Armory for 50 Crew/10 Marines</v>
      </c>
      <c r="C55" s="4">
        <f>IF(MAX(F:F)&lt;53,"",INDEX(F:J,MATCH(53,F:F,0),4))</f>
        <v>2</v>
      </c>
      <c r="D55" s="4">
        <f>IF(MAX(F:F)&lt;53,"",INDEX(F:J,MATCH(53,F:F,0),5))</f>
        <v>500000</v>
      </c>
      <c r="E55" s="73">
        <f t="shared" si="4"/>
        <v>13</v>
      </c>
      <c r="F55" s="73">
        <f t="shared" si="5"/>
        <v>13</v>
      </c>
      <c r="G55" s="397"/>
      <c r="H55" s="12" t="str">
        <f>'6-Comp'!B35</f>
        <v>Manoeuvre/0</v>
      </c>
      <c r="J55" s="265"/>
    </row>
    <row r="56" spans="1:10" ht="16">
      <c r="A56" s="400" t="str">
        <f>IF(MAX(F:F)&lt;54,"",IF(INDEX(F:J,MATCH(54,F:F,0),2)=0,"",INDEX(F:J,MATCH(54,F:F,0),2)))</f>
        <v/>
      </c>
      <c r="B56" s="463" t="str">
        <f>IF(MAX(F:F)&lt;54,"",INDEX(F:J,MATCH(54,F:F,0),3))</f>
        <v>1x Briefing Room</v>
      </c>
      <c r="C56" s="4">
        <f>IF(MAX(F:F)&lt;54,"",INDEX(F:J,MATCH(54,F:F,0),4))</f>
        <v>4</v>
      </c>
      <c r="D56" s="4">
        <f>IF(MAX(F:F)&lt;54,"",INDEX(F:J,MATCH(54,F:F,0),5))</f>
        <v>500000</v>
      </c>
      <c r="E56" s="73">
        <f t="shared" si="4"/>
        <v>14</v>
      </c>
      <c r="F56" s="73">
        <f t="shared" si="5"/>
        <v>14</v>
      </c>
      <c r="G56" s="397"/>
      <c r="H56" s="12" t="str">
        <f>'6-Comp'!B31</f>
        <v>Intellect</v>
      </c>
      <c r="J56" s="265"/>
    </row>
    <row r="57" spans="1:10" ht="16">
      <c r="A57" s="400" t="str">
        <f>IF(MAX(F:F)&lt;55,"",IF(INDEX(F:J,MATCH(55,F:F,0),2)=0,"",INDEX(F:J,MATCH(55,F:F,0),2)))</f>
        <v/>
      </c>
      <c r="B57" s="463" t="str">
        <f>IF(MAX(F:F)&lt;55,"",INDEX(F:J,MATCH(55,F:F,0),3))</f>
        <v>Laboratory for 12 Scientists</v>
      </c>
      <c r="C57" s="4">
        <f>IF(MAX(F:F)&lt;55,"",INDEX(F:J,MATCH(55,F:F,0),4))</f>
        <v>48</v>
      </c>
      <c r="D57" s="4">
        <f>IF(MAX(F:F)&lt;55,"",INDEX(F:J,MATCH(55,F:F,0),5))</f>
        <v>12000000</v>
      </c>
      <c r="E57" s="73">
        <f t="shared" si="4"/>
        <v>14</v>
      </c>
      <c r="F57" s="73" t="str">
        <f t="shared" si="5"/>
        <v/>
      </c>
      <c r="G57" s="397"/>
      <c r="H57" s="12" t="str">
        <f>'6-Comp'!B21</f>
        <v/>
      </c>
      <c r="J57" s="265">
        <f>'6-Comp'!F21</f>
        <v>0</v>
      </c>
    </row>
    <row r="58" spans="1:10" ht="16">
      <c r="A58" s="400" t="str">
        <f>IF(MAX(F:F)&lt;56,"",IF(INDEX(F:J,MATCH(56,F:F,0),2)=0,"",INDEX(F:J,MATCH(56,F:F,0),2)))</f>
        <v/>
      </c>
      <c r="B58" s="463" t="str">
        <f>IF(MAX(F:F)&lt;56,"",INDEX(F:J,MATCH(56,F:F,0),3))</f>
        <v>2x Library</v>
      </c>
      <c r="C58" s="4">
        <f>IF(MAX(F:F)&lt;56,"",INDEX(F:J,MATCH(56,F:F,0),4))</f>
        <v>8</v>
      </c>
      <c r="D58" s="4">
        <f>IF(MAX(F:F)&lt;56,"",INDEX(F:J,MATCH(56,F:F,0),5))</f>
        <v>8000000</v>
      </c>
      <c r="E58" s="73">
        <f t="shared" si="4"/>
        <v>15</v>
      </c>
      <c r="F58" s="73">
        <f t="shared" si="5"/>
        <v>15</v>
      </c>
      <c r="G58" s="397"/>
      <c r="H58" s="12" t="str">
        <f>'6-Comp'!B22</f>
        <v>Anti-Hijack/1</v>
      </c>
      <c r="J58" s="265">
        <f>'6-Comp'!F22</f>
        <v>6000000</v>
      </c>
    </row>
    <row r="59" spans="1:10" ht="16">
      <c r="A59" s="400" t="str">
        <f>IF(MAX(F:F)&lt;57,"",IF(INDEX(F:J,MATCH(57,F:F,0),2)=0,"",INDEX(F:J,MATCH(57,F:F,0),2)))</f>
        <v/>
      </c>
      <c r="B59" s="463" t="str">
        <f>IF(MAX(F:F)&lt;57,"",INDEX(F:J,MATCH(57,F:F,0),3))</f>
        <v>2x Medical Bay</v>
      </c>
      <c r="C59" s="4">
        <f>IF(MAX(F:F)&lt;57,"",INDEX(F:J,MATCH(57,F:F,0),4))</f>
        <v>8</v>
      </c>
      <c r="D59" s="4">
        <f>IF(MAX(F:F)&lt;57,"",INDEX(F:J,MATCH(57,F:F,0),5))</f>
        <v>4000000</v>
      </c>
      <c r="E59" s="73">
        <f t="shared" si="4"/>
        <v>15</v>
      </c>
      <c r="F59" s="73" t="str">
        <f t="shared" si="5"/>
        <v/>
      </c>
      <c r="G59" s="397"/>
      <c r="H59" s="12" t="str">
        <f>'6-Comp'!B23</f>
        <v/>
      </c>
      <c r="J59" s="265">
        <f>'6-Comp'!F23</f>
        <v>0</v>
      </c>
    </row>
    <row r="60" spans="1:10" ht="16">
      <c r="A60" s="400" t="str">
        <f>IF(MAX(F:F)&lt;58,"",IF(INDEX(F:J,MATCH(58,F:F,0),2)=0,"",INDEX(F:J,MATCH(58,F:F,0),2)))</f>
        <v>Staterooms</v>
      </c>
      <c r="B60" s="463" t="str">
        <f>IF(MAX(F:F)&lt;58,"",INDEX(F:J,MATCH(58,F:F,0),3))</f>
        <v>14x Middle Staterooms - Single</v>
      </c>
      <c r="C60" s="4">
        <f>IF(MAX(F:F)&lt;58,"",INDEX(F:J,MATCH(58,F:F,0),4))</f>
        <v>56</v>
      </c>
      <c r="D60" s="4">
        <f>IF(MAX(F:F)&lt;58,"",INDEX(F:J,MATCH(58,F:F,0),5))</f>
        <v>7000000</v>
      </c>
      <c r="E60" s="73">
        <f t="shared" si="4"/>
        <v>16</v>
      </c>
      <c r="F60" s="73">
        <f t="shared" si="5"/>
        <v>16</v>
      </c>
      <c r="G60" s="397"/>
      <c r="H60" s="12" t="str">
        <f>'6-Comp'!B24</f>
        <v>Basic Fire Control/1</v>
      </c>
      <c r="J60" s="265">
        <f>'6-Comp'!F24</f>
        <v>2000000</v>
      </c>
    </row>
    <row r="61" spans="1:10" ht="16">
      <c r="A61" s="400" t="str">
        <f>IF(MAX(F:F)&lt;59,"",IF(INDEX(F:J,MATCH(59,F:F,0),2)=0,"",INDEX(F:J,MATCH(59,F:F,0),2)))</f>
        <v/>
      </c>
      <c r="B61" s="463" t="str">
        <f>IF(MAX(F:F)&lt;59,"",INDEX(F:J,MATCH(59,F:F,0),3))</f>
        <v>20x Middle Staterooms - Double</v>
      </c>
      <c r="C61" s="4">
        <f>IF(MAX(F:F)&lt;59,"",INDEX(F:J,MATCH(59,F:F,0),4))</f>
        <v>80</v>
      </c>
      <c r="D61" s="4">
        <f>IF(MAX(F:F)&lt;59,"",INDEX(F:J,MATCH(59,F:F,0),5))</f>
        <v>10000000</v>
      </c>
      <c r="E61" s="73">
        <f t="shared" si="4"/>
        <v>16</v>
      </c>
      <c r="F61" s="73" t="str">
        <f t="shared" si="5"/>
        <v/>
      </c>
      <c r="G61" s="397"/>
      <c r="H61" s="12" t="str">
        <f>'6-Comp'!B25</f>
        <v/>
      </c>
      <c r="J61" s="265">
        <f>'6-Comp'!F25</f>
        <v>0</v>
      </c>
    </row>
    <row r="62" spans="1:10" ht="16">
      <c r="A62" s="400" t="str">
        <f>IF(MAX(F:F)&lt;60,"",IF(INDEX(F:J,MATCH(60,F:F,0),2)=0,"",INDEX(F:J,MATCH(60,F:F,0),2)))</f>
        <v>Entertainment</v>
      </c>
      <c r="B62" s="463" t="str">
        <f>IF(MAX(F:F)&lt;60,"",INDEX(F:J,MATCH(60,F:F,0),3))</f>
        <v>Luxury Advanced Entertainment System</v>
      </c>
      <c r="C62" s="4">
        <f>IF(MAX(F:F)&lt;60,"",INDEX(F:J,MATCH(60,F:F,0),4))</f>
        <v>0</v>
      </c>
      <c r="D62" s="4">
        <f>IF(MAX(F:F)&lt;60,"",INDEX(F:J,MATCH(60,F:F,0),5))</f>
        <v>10000</v>
      </c>
      <c r="E62" s="73">
        <f t="shared" si="4"/>
        <v>16</v>
      </c>
      <c r="F62" s="73" t="str">
        <f t="shared" si="5"/>
        <v/>
      </c>
      <c r="G62" s="397"/>
      <c r="H62" s="12" t="str">
        <f>'6-Comp'!B26</f>
        <v/>
      </c>
      <c r="J62" s="265">
        <f>'6-Comp'!F26</f>
        <v>0</v>
      </c>
    </row>
    <row r="63" spans="1:10" ht="16">
      <c r="A63" s="400" t="str">
        <f>IF(MAX(F:F)&lt;61,"",IF(INDEX(F:J,MATCH(61,F:F,0),2)=0,"",INDEX(F:J,MATCH(61,F:F,0),2)))</f>
        <v/>
      </c>
      <c r="B63" s="463" t="str">
        <f>IF(MAX(F:F)&lt;61,"",INDEX(F:J,MATCH(61,F:F,0),3))</f>
        <v>Gourmet Kitchen: 24 diner capacity</v>
      </c>
      <c r="C63" s="4">
        <f>IF(MAX(F:F)&lt;61,"",INDEX(F:J,MATCH(61,F:F,0),4))</f>
        <v>24</v>
      </c>
      <c r="D63" s="4">
        <f>IF(MAX(F:F)&lt;61,"",INDEX(F:J,MATCH(61,F:F,0),5))</f>
        <v>4800000</v>
      </c>
      <c r="E63" s="73">
        <f t="shared" si="4"/>
        <v>16</v>
      </c>
      <c r="F63" s="73" t="str">
        <f t="shared" si="5"/>
        <v/>
      </c>
      <c r="G63" s="397"/>
      <c r="H63" s="12" t="str">
        <f>'6-Comp'!B27</f>
        <v/>
      </c>
      <c r="J63" s="265">
        <f>'6-Comp'!F27</f>
        <v>0</v>
      </c>
    </row>
    <row r="64" spans="1:10" ht="16">
      <c r="A64" s="400" t="str">
        <f>IF(MAX(F:F)&lt;62,"",IF(INDEX(F:J,MATCH(62,F:F,0),2)=0,"",INDEX(F:J,MATCH(62,F:F,0),2)))</f>
        <v/>
      </c>
      <c r="B64" s="463" t="str">
        <f>IF(MAX(F:F)&lt;62,"",INDEX(F:J,MATCH(62,F:F,0),3))</f>
        <v>Hot Tub: Seating for 9</v>
      </c>
      <c r="C64" s="4">
        <f>IF(MAX(F:F)&lt;62,"",INDEX(F:J,MATCH(62,F:F,0),4))</f>
        <v>2.25</v>
      </c>
      <c r="D64" s="4">
        <f>IF(MAX(F:F)&lt;62,"",INDEX(F:J,MATCH(62,F:F,0),5))</f>
        <v>27000</v>
      </c>
      <c r="E64" s="73">
        <f t="shared" si="4"/>
        <v>16</v>
      </c>
      <c r="F64" s="73" t="str">
        <f t="shared" si="5"/>
        <v/>
      </c>
      <c r="G64" s="397"/>
      <c r="H64" s="12" t="str">
        <f>'6-Comp'!B28</f>
        <v/>
      </c>
      <c r="J64" s="265">
        <f>'6-Comp'!F28</f>
        <v>0</v>
      </c>
    </row>
    <row r="65" spans="1:10" ht="16">
      <c r="A65" s="400" t="str">
        <f>IF(MAX(F:F)&lt;63,"",IF(INDEX(F:J,MATCH(63,F:F,0),2)=0,"",INDEX(F:J,MATCH(63,F:F,0),2)))</f>
        <v>Cargo</v>
      </c>
      <c r="B65" s="463" t="str">
        <f>IF(MAX(F:F)&lt;63,"",INDEX(F:J,MATCH(63,F:F,0),3))</f>
        <v>1x 25 Ton Cargo Bay: Port Cargo Hold</v>
      </c>
      <c r="C65" s="4">
        <f>IF(MAX(F:F)&lt;63,"",INDEX(F:J,MATCH(63,F:F,0),4))</f>
        <v>25</v>
      </c>
      <c r="D65" s="4">
        <f>IF(MAX(F:F)&lt;63,"",INDEX(F:J,MATCH(63,F:F,0),5))</f>
        <v>0</v>
      </c>
      <c r="E65" s="73">
        <f t="shared" si="4"/>
        <v>16</v>
      </c>
      <c r="F65" s="73" t="str">
        <f t="shared" si="5"/>
        <v/>
      </c>
      <c r="G65" s="397"/>
      <c r="H65" s="12" t="str">
        <f>'6-Comp'!B29</f>
        <v/>
      </c>
      <c r="J65" s="265">
        <f>'6-Comp'!F29</f>
        <v>0</v>
      </c>
    </row>
    <row r="66" spans="1:10" ht="16">
      <c r="A66" s="400" t="str">
        <f>IF(MAX(F:F)&lt;64,"",IF(INDEX(F:J,MATCH(64,F:F,0),2)=0,"",INDEX(F:J,MATCH(64,F:F,0),2)))</f>
        <v/>
      </c>
      <c r="B66" s="463" t="str">
        <f>IF(MAX(F:F)&lt;64,"",INDEX(F:J,MATCH(64,F:F,0),3))</f>
        <v xml:space="preserve">1x  Standard Loading Belts </v>
      </c>
      <c r="C66" s="4">
        <f>IF(MAX(F:F)&lt;64,"",INDEX(F:J,MATCH(64,F:F,0),4))</f>
        <v>1</v>
      </c>
      <c r="D66" s="4">
        <f>IF(MAX(F:F)&lt;64,"",INDEX(F:J,MATCH(64,F:F,0),5))</f>
        <v>3000</v>
      </c>
      <c r="E66" s="73">
        <f t="shared" si="4"/>
        <v>17</v>
      </c>
      <c r="F66" s="73">
        <f t="shared" si="5"/>
        <v>17</v>
      </c>
      <c r="G66" s="397"/>
      <c r="H66" s="12" t="str">
        <f>'6-Comp'!B30</f>
        <v>Evade/1</v>
      </c>
      <c r="J66" s="265">
        <f>'6-Comp'!F30</f>
        <v>1000000</v>
      </c>
    </row>
    <row r="67" spans="1:10" ht="16">
      <c r="A67" s="400" t="str">
        <f>IF(MAX(F:F)&lt;65,"",IF(INDEX(F:J,MATCH(65,F:F,0),2)=0,"",INDEX(F:J,MATCH(65,F:F,0),2)))</f>
        <v/>
      </c>
      <c r="B67" s="463" t="str">
        <f>IF(MAX(F:F)&lt;65,"",INDEX(F:J,MATCH(65,F:F,0),3))</f>
        <v>1x 25 Ton Cargo Bay: Starboard Cargo Hold</v>
      </c>
      <c r="C67" s="4">
        <f>IF(MAX(F:F)&lt;65,"",INDEX(F:J,MATCH(65,F:F,0),4))</f>
        <v>25</v>
      </c>
      <c r="D67" s="4">
        <f>IF(MAX(F:F)&lt;65,"",INDEX(F:J,MATCH(65,F:F,0),5))</f>
        <v>0</v>
      </c>
      <c r="E67" s="73">
        <f t="shared" si="4"/>
        <v>18</v>
      </c>
      <c r="F67" s="73">
        <f t="shared" si="5"/>
        <v>18</v>
      </c>
      <c r="G67" s="397"/>
      <c r="H67" s="12" t="str">
        <f>'6-Comp'!B32&amp;IF(SUM('2-Drives'!E28:E30)&lt;0," Prototype","")</f>
        <v>Jump Control/3</v>
      </c>
      <c r="J67" s="265">
        <f>'6-Comp'!F32</f>
        <v>0</v>
      </c>
    </row>
    <row r="68" spans="1:10" ht="16">
      <c r="A68" s="400" t="str">
        <f>IF(MAX(F:F)&lt;66,"",IF(INDEX(F:J,MATCH(66,F:F,0),2)=0,"",INDEX(F:J,MATCH(66,F:F,0),2)))</f>
        <v/>
      </c>
      <c r="B68" s="463" t="str">
        <f>IF(MAX(F:F)&lt;66,"",INDEX(F:J,MATCH(66,F:F,0),3))</f>
        <v xml:space="preserve">1x  Standard Loading Belts </v>
      </c>
      <c r="C68" s="4">
        <f>IF(MAX(F:F)&lt;66,"",INDEX(F:J,MATCH(66,F:F,0),4))</f>
        <v>1</v>
      </c>
      <c r="D68" s="4">
        <f>IF(MAX(F:F)&lt;66,"",INDEX(F:J,MATCH(66,F:F,0),5))</f>
        <v>3000</v>
      </c>
      <c r="E68" s="73">
        <f t="shared" si="4"/>
        <v>19</v>
      </c>
      <c r="F68" s="73">
        <f t="shared" si="5"/>
        <v>19</v>
      </c>
      <c r="G68" s="397"/>
      <c r="H68" s="12" t="str">
        <f>'6-Comp'!B33</f>
        <v>Launch Solution/1</v>
      </c>
      <c r="J68" s="265">
        <f>'6-Comp'!F33</f>
        <v>10000000</v>
      </c>
    </row>
    <row r="69" spans="1:10" ht="16">
      <c r="A69" s="400" t="str">
        <f>IF(MAX(F:F)&lt;67,"",IF(INDEX(F:J,MATCH(67,F:F,0),2)=0,"",INDEX(F:J,MATCH(67,F:F,0),2)))</f>
        <v/>
      </c>
      <c r="B69" s="463" t="str">
        <f>IF(MAX(F:F)&lt;67,"",INDEX(F:J,MATCH(67,F:F,0),3))</f>
        <v>1x 25 Ton Cargo Bay: Bio Containment Hold</v>
      </c>
      <c r="C69" s="4">
        <f>IF(MAX(F:F)&lt;67,"",INDEX(F:J,MATCH(67,F:F,0),4))</f>
        <v>25</v>
      </c>
      <c r="D69" s="4">
        <f>IF(MAX(F:F)&lt;67,"",INDEX(F:J,MATCH(67,F:F,0),5))</f>
        <v>0</v>
      </c>
      <c r="E69" s="73">
        <f t="shared" ref="E69:E132" si="6">IF(H69="",E68,E68+1)</f>
        <v>19</v>
      </c>
      <c r="F69" s="73" t="str">
        <f t="shared" ref="F69:F132" si="7">IF(E69=E68,"",E69)</f>
        <v/>
      </c>
      <c r="G69" s="397"/>
      <c r="H69" s="12" t="str">
        <f>'6-Comp'!B36</f>
        <v/>
      </c>
      <c r="J69" s="265">
        <f>'6-Comp'!F36</f>
        <v>0</v>
      </c>
    </row>
    <row r="70" spans="1:10" ht="16">
      <c r="A70" s="400" t="str">
        <f>IF(MAX(F:F)&lt;68,"",IF(INDEX(F:J,MATCH(68,F:F,0),2)=0,"",INDEX(F:J,MATCH(68,F:F,0),2)))</f>
        <v/>
      </c>
      <c r="B70" s="463" t="str">
        <f>IF(MAX(F:F)&lt;68,"",INDEX(F:J,MATCH(68,F:F,0),3))</f>
        <v xml:space="preserve">0x  Standard Loading Belts </v>
      </c>
      <c r="C70" s="4">
        <f>IF(MAX(F:F)&lt;68,"",INDEX(F:J,MATCH(68,F:F,0),4))</f>
        <v>0</v>
      </c>
      <c r="D70" s="4">
        <f>IF(MAX(F:F)&lt;68,"",INDEX(F:J,MATCH(68,F:F,0),5))</f>
        <v>0</v>
      </c>
      <c r="E70" s="73">
        <f t="shared" si="6"/>
        <v>19</v>
      </c>
      <c r="F70" s="73" t="str">
        <f t="shared" si="7"/>
        <v/>
      </c>
      <c r="G70" s="397"/>
      <c r="H70" s="12" t="str">
        <f>'6-Comp'!B37</f>
        <v/>
      </c>
      <c r="J70" s="265">
        <f>'6-Comp'!F37</f>
        <v>0</v>
      </c>
    </row>
    <row r="71" spans="1:10" ht="16">
      <c r="A71" s="400" t="str">
        <f>IF(MAX(F:F)&lt;69,"",IF(INDEX(F:J,MATCH(69,F:F,0),2)=0,"",INDEX(F:J,MATCH(69,F:F,0),2)))</f>
        <v/>
      </c>
      <c r="B71" s="463" t="str">
        <f>IF(MAX(F:F)&lt;69,"",INDEX(F:J,MATCH(69,F:F,0),3))</f>
        <v>Armored Bulkhead for 1x 25 Ton Cargo Bay: Bio Containment Hold</v>
      </c>
      <c r="C71" s="4">
        <f>IF(MAX(F:F)&lt;69,"",INDEX(F:J,MATCH(69,F:F,0),4))</f>
        <v>2.5</v>
      </c>
      <c r="D71" s="4">
        <f>IF(MAX(F:F)&lt;69,"",INDEX(F:J,MATCH(69,F:F,0),5))</f>
        <v>500000</v>
      </c>
      <c r="E71" s="73">
        <f t="shared" si="6"/>
        <v>20</v>
      </c>
      <c r="F71" s="73">
        <f t="shared" si="7"/>
        <v>20</v>
      </c>
      <c r="G71" s="397"/>
      <c r="H71" s="12" t="str">
        <f>IF('6-Comp'!B39=0,"",'6-Comp'!B38&amp;" Crew: "&amp;'6-Comp'!B39)</f>
        <v>Virtual Crew/1 Crew: 5</v>
      </c>
      <c r="J71" s="265">
        <f>IF('6-Comp'!B39=0,0,'6-Comp'!F38)</f>
        <v>5000000</v>
      </c>
    </row>
    <row r="72" spans="1:10" ht="16">
      <c r="A72" s="400" t="str">
        <f>IF(MAX(F:F)&lt;70,"",IF(INDEX(F:J,MATCH(70,F:F,0),2)=0,"",INDEX(F:J,MATCH(70,F:F,0),2)))</f>
        <v>Total</v>
      </c>
      <c r="B72" s="463">
        <f>IF(MAX(F:F)&lt;70,"",INDEX(F:J,MATCH(70,F:F,0),3))</f>
        <v>1536124666.6666665</v>
      </c>
      <c r="C72" s="4" t="str">
        <f>IF(MAX(F:F)&lt;70,"",INDEX(F:J,MATCH(70,F:F,0),4))</f>
        <v>CR</v>
      </c>
      <c r="D72" s="4" t="str">
        <f>IF(MAX(F:F)&lt;70,"",INDEX(F:J,MATCH(70,F:F,0),5))</f>
        <v/>
      </c>
      <c r="E72" s="73">
        <f t="shared" si="6"/>
        <v>21</v>
      </c>
      <c r="F72" s="73">
        <f t="shared" si="7"/>
        <v>21</v>
      </c>
      <c r="G72" s="397"/>
      <c r="H72" s="12" t="str">
        <f>IF('6-Comp'!B41=0,"",'6-Comp'!B40&amp;" Gunners: "&amp;'6-Comp'!B41)</f>
        <v>Virtual Gunner/0 Gunners: 3</v>
      </c>
      <c r="J72" s="265">
        <f>IF('6-Comp'!B41=0,0,'6-Comp'!F40)</f>
        <v>1000000</v>
      </c>
    </row>
    <row r="73" spans="1:10" ht="16">
      <c r="A73" s="400" t="str">
        <f>IF(MAX(F:F)&lt;71,"",IF(INDEX(F:J,MATCH(71,F:F,0),2)=0,"",INDEX(F:J,MATCH(71,F:F,0),2)))</f>
        <v>Ship's Expenses</v>
      </c>
      <c r="B73" s="463" t="str">
        <f>IF(MAX(F:F)&lt;71,"",INDEX(F:J,MATCH(71,F:F,0),3))</f>
        <v>Mortgage:</v>
      </c>
      <c r="C73" s="4" t="str">
        <f>IF(MAX(F:F)&lt;71,"",INDEX(F:J,MATCH(71,F:F,0),4))</f>
        <v/>
      </c>
      <c r="D73" s="4">
        <f>IF(MAX(F:F)&lt;71,"",INDEX(F:J,MATCH(71,F:F,0),5))</f>
        <v>6400519.444444444</v>
      </c>
      <c r="E73" s="73">
        <f t="shared" si="6"/>
        <v>21</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Maintenance Cost</v>
      </c>
      <c r="C74" s="4" t="str">
        <f>IF(MAX(F:F)&lt;72,"",INDEX(F:J,MATCH(72,F:F,0),4))</f>
        <v/>
      </c>
      <c r="D74" s="4">
        <f>IF(MAX(F:F)&lt;72,"",INDEX(F:J,MATCH(72,F:F,0),5))</f>
        <v>128010</v>
      </c>
      <c r="E74" s="73">
        <f t="shared" si="6"/>
        <v>21</v>
      </c>
      <c r="F74" s="73" t="str">
        <f t="shared" si="7"/>
        <v/>
      </c>
      <c r="G74" s="397"/>
      <c r="H74" s="12" t="str">
        <f>IF('6-Comp'!B44='6-Comp'!S97,"",'6-Comp'!A44)</f>
        <v/>
      </c>
      <c r="J74" s="265">
        <f>'6-Comp'!F44</f>
        <v>0</v>
      </c>
    </row>
    <row r="75" spans="1:10" ht="16">
      <c r="A75" s="400" t="str">
        <f>IF(MAX(F:F)&lt;73,"",IF(INDEX(F:J,MATCH(73,F:F,0),2)=0,"",INDEX(F:J,MATCH(73,F:F,0),2)))</f>
        <v/>
      </c>
      <c r="B75" s="463" t="str">
        <f>IF(MAX(F:F)&lt;73,"",INDEX(F:J,MATCH(73,F:F,0),3))</f>
        <v>Life Support:</v>
      </c>
      <c r="C75" s="4" t="str">
        <f>IF(MAX(F:F)&lt;73,"",INDEX(F:J,MATCH(73,F:F,0),4))</f>
        <v/>
      </c>
      <c r="D75" s="4">
        <f>IF(MAX(F:F)&lt;73,"",INDEX(F:J,MATCH(73,F:F,0),5))</f>
        <v>88000</v>
      </c>
      <c r="E75" s="73">
        <f t="shared" si="6"/>
        <v>22</v>
      </c>
      <c r="F75" s="73">
        <f t="shared" si="7"/>
        <v>22</v>
      </c>
      <c r="G75" s="397"/>
      <c r="H75" s="12" t="str">
        <f>IF('6-Comp'!B48="","",'6-Comp'!B48)</f>
        <v>Science (General)</v>
      </c>
      <c r="J75" s="265">
        <f>'6-Comp'!F48</f>
        <v>25000000</v>
      </c>
    </row>
    <row r="76" spans="1:10" ht="16">
      <c r="A76" s="400" t="str">
        <f>IF(MAX(F:F)&lt;74,"",IF(INDEX(F:J,MATCH(74,F:F,0),2)=0,"",INDEX(F:J,MATCH(74,F:F,0),2)))</f>
        <v/>
      </c>
      <c r="B76" s="463" t="str">
        <f>IF(MAX(F:F)&lt;74,"",INDEX(F:J,MATCH(74,F:F,0),3))</f>
        <v>Crew Salaries:</v>
      </c>
      <c r="C76" s="4" t="str">
        <f>IF(MAX(F:F)&lt;74,"",INDEX(F:J,MATCH(74,F:F,0),4))</f>
        <v/>
      </c>
      <c r="D76" s="4">
        <f>IF(MAX(F:F)&lt;74,"",INDEX(F:J,MATCH(74,F:F,0),5))</f>
        <v>183000</v>
      </c>
      <c r="E76" s="73">
        <f t="shared" si="6"/>
        <v>23</v>
      </c>
      <c r="F76" s="73">
        <f t="shared" si="7"/>
        <v>23</v>
      </c>
      <c r="G76" s="397"/>
      <c r="H76" s="12" t="str">
        <f>IF('6-Comp'!B49="","",'6-Comp'!B49&amp;", "&amp;'6-Comp'!C49&amp;" Iteration(s)")</f>
        <v>Science (Specific), 1 Iteration(s)</v>
      </c>
      <c r="J76" s="265">
        <f>'6-Comp'!F49</f>
        <v>20000000</v>
      </c>
    </row>
    <row r="77" spans="1:10" ht="16">
      <c r="A77" s="400" t="str">
        <f>IF(MAX(F:F)&lt;75,"",IF(INDEX(F:J,MATCH(75,F:F,0),2)=0,"",INDEX(F:J,MATCH(75,F:F,0),2)))</f>
        <v/>
      </c>
      <c r="B77" s="463" t="str">
        <f>IF(MAX(F:F)&lt;75,"",INDEX(F:J,MATCH(75,F:F,0),3))</f>
        <v>Total Expenses:</v>
      </c>
      <c r="C77" s="4" t="str">
        <f>IF(MAX(F:F)&lt;75,"",INDEX(F:J,MATCH(75,F:F,0),4))</f>
        <v/>
      </c>
      <c r="D77" s="4">
        <f>IF(MAX(F:F)&lt;75,"",INDEX(F:J,MATCH(75,F:F,0),5))</f>
        <v>6799529.444444444</v>
      </c>
      <c r="E77" s="73">
        <f t="shared" si="6"/>
        <v>24</v>
      </c>
      <c r="F77" s="73">
        <f t="shared" si="7"/>
        <v>24</v>
      </c>
      <c r="G77" s="397"/>
      <c r="H77" s="12" t="str">
        <f>IF('6-Comp'!B50="","",'6-Comp'!B50&amp;", "&amp;'6-Comp'!C50&amp;" Iteration(s)")</f>
        <v>Mentor/1, 1 Iteration(s)</v>
      </c>
      <c r="J77" s="265">
        <f>'6-Comp'!F50</f>
        <v>2000000</v>
      </c>
    </row>
    <row r="78" spans="1:10" ht="16">
      <c r="A78" s="400" t="str">
        <f>IF(MAX(F:F)&lt;76,"",IF(INDEX(F:J,MATCH(76,F:F,0),2)=0,"",INDEX(F:J,MATCH(76,F:F,0),2)))</f>
        <v>Crew</v>
      </c>
      <c r="B78" s="463" t="str">
        <f>IF(MAX(F:F)&lt;76,"",INDEX(F:J,MATCH(76,F:F,0),3))</f>
        <v>13x PILOT</v>
      </c>
      <c r="C78" s="4" t="str">
        <f>IF(MAX(F:F)&lt;76,"",INDEX(F:J,MATCH(76,F:F,0),4))</f>
        <v/>
      </c>
      <c r="D78" s="4">
        <f>IF(MAX(F:F)&lt;76,"",INDEX(F:J,MATCH(76,F:F,0),5))</f>
        <v>78000</v>
      </c>
      <c r="E78" s="73">
        <f t="shared" si="6"/>
        <v>25</v>
      </c>
      <c r="F78" s="73">
        <f t="shared" si="7"/>
        <v>25</v>
      </c>
      <c r="G78" s="397"/>
      <c r="H78" s="12" t="str">
        <f>IF('6-Comp'!B51="","",'6-Comp'!B51&amp;", "&amp;'6-Comp'!C51&amp;" Iteration(s)")</f>
        <v>Research Assist/1, 1 Iteration(s)</v>
      </c>
      <c r="J78" s="265">
        <f>'6-Comp'!F51</f>
        <v>2000000</v>
      </c>
    </row>
    <row r="79" spans="1:10" ht="16">
      <c r="A79" s="400" t="str">
        <f>IF(MAX(F:F)&lt;77,"",IF(INDEX(F:J,MATCH(77,F:F,0),2)=0,"",INDEX(F:J,MATCH(77,F:F,0),2)))</f>
        <v/>
      </c>
      <c r="B79" s="463" t="str">
        <f>IF(MAX(F:F)&lt;77,"",INDEX(F:J,MATCH(77,F:F,0),3))</f>
        <v>1x ASTROGATOR</v>
      </c>
      <c r="C79" s="4" t="str">
        <f>IF(MAX(F:F)&lt;77,"",INDEX(F:J,MATCH(77,F:F,0),4))</f>
        <v/>
      </c>
      <c r="D79" s="4">
        <f>IF(MAX(F:F)&lt;77,"",INDEX(F:J,MATCH(77,F:F,0),5))</f>
        <v>5000</v>
      </c>
      <c r="E79" s="73">
        <f t="shared" si="6"/>
        <v>25</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4x ENGINEER</v>
      </c>
      <c r="C80" s="4" t="str">
        <f>IF(MAX(F:F)&lt;78,"",INDEX(F:J,MATCH(78,F:F,0),4))</f>
        <v/>
      </c>
      <c r="D80" s="4">
        <f>IF(MAX(F:F)&lt;78,"",INDEX(F:J,MATCH(78,F:F,0),5))</f>
        <v>16000</v>
      </c>
      <c r="E80" s="73">
        <f t="shared" si="6"/>
        <v>26</v>
      </c>
      <c r="F80" s="73">
        <f t="shared" si="7"/>
        <v>26</v>
      </c>
      <c r="G80" s="397"/>
      <c r="H80" s="12" t="str">
        <f>IF('6-Comp'!B53="","",'6-Comp'!B53)</f>
        <v>Planetology/1</v>
      </c>
      <c r="J80" s="265">
        <f>'6-Comp'!F53</f>
        <v>1000000</v>
      </c>
    </row>
    <row r="81" spans="1:10" ht="16">
      <c r="A81" s="400" t="str">
        <f>IF(MAX(F:F)&lt;79,"",IF(INDEX(F:J,MATCH(79,F:F,0),2)=0,"",INDEX(F:J,MATCH(79,F:F,0),2)))</f>
        <v/>
      </c>
      <c r="B81" s="463" t="str">
        <f>IF(MAX(F:F)&lt;79,"",INDEX(F:J,MATCH(79,F:F,0),3))</f>
        <v>1x MAINTENANCE</v>
      </c>
      <c r="C81" s="4" t="str">
        <f>IF(MAX(F:F)&lt;79,"",INDEX(F:J,MATCH(79,F:F,0),4))</f>
        <v/>
      </c>
      <c r="D81" s="4">
        <f>IF(MAX(F:F)&lt;79,"",INDEX(F:J,MATCH(79,F:F,0),5))</f>
        <v>1000</v>
      </c>
      <c r="E81" s="73">
        <f t="shared" si="6"/>
        <v>26</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1x MEDIC</v>
      </c>
      <c r="C82" s="4" t="str">
        <f>IF(MAX(F:F)&lt;80,"",INDEX(F:J,MATCH(80,F:F,0),4))</f>
        <v/>
      </c>
      <c r="D82" s="4">
        <f>IF(MAX(F:F)&lt;80,"",INDEX(F:J,MATCH(80,F:F,0),5))</f>
        <v>4000</v>
      </c>
      <c r="E82" s="73">
        <f t="shared" si="6"/>
        <v>27</v>
      </c>
      <c r="F82" s="73">
        <f t="shared" si="7"/>
        <v>27</v>
      </c>
      <c r="G82" s="401" t="str">
        <f>IF(H82="","","Sensors")</f>
        <v>Sensors</v>
      </c>
      <c r="H82" s="391" t="str">
        <f>IF('7-Sensors'!C8=0,"","Main Sensor Array: "&amp;'7-Sensors'!B8&amp;" x"&amp;'7-Sensors'!C8)&amp;IF(Tech_Level=7," Prototype","")</f>
        <v>Main Sensor Array: Class IV - Improved  x3</v>
      </c>
      <c r="I82" s="237">
        <f>'7-Sensors'!H8</f>
        <v>9</v>
      </c>
      <c r="J82" s="387">
        <f>'7-Sensors'!F8</f>
        <v>12900000</v>
      </c>
    </row>
    <row r="83" spans="1:10" ht="16">
      <c r="A83" s="400" t="str">
        <f>IF(MAX(F:F)&lt;81,"",IF(INDEX(F:J,MATCH(81,F:F,0),2)=0,"",INDEX(F:J,MATCH(81,F:F,0),2)))</f>
        <v/>
      </c>
      <c r="B83" s="463" t="str">
        <f>IF(MAX(F:F)&lt;81,"",INDEX(F:J,MATCH(81,F:F,0),3))</f>
        <v>2x GUNNER</v>
      </c>
      <c r="C83" s="4" t="str">
        <f>IF(MAX(F:F)&lt;81,"",INDEX(F:J,MATCH(81,F:F,0),4))</f>
        <v/>
      </c>
      <c r="D83" s="4">
        <f>IF(MAX(F:F)&lt;81,"",INDEX(F:J,MATCH(81,F:F,0),5))</f>
        <v>4000</v>
      </c>
      <c r="E83" s="73">
        <f t="shared" si="6"/>
        <v>27</v>
      </c>
      <c r="F83" s="73" t="str">
        <f t="shared" si="7"/>
        <v/>
      </c>
      <c r="G83" s="397" t="str">
        <f>IF(H83="","",IF(G82="","Sensors",""))</f>
        <v/>
      </c>
      <c r="H83" s="12" t="str">
        <f>IF(OR('7-Sensors'!B11="None",'7-Sensors'!C11=0),"","Aux Sensor Array: "&amp;'7-Sensors'!B11&amp;" x"&amp;'7-Sensors'!C11)</f>
        <v/>
      </c>
      <c r="I83" s="4">
        <f>'7-Sensors'!H11</f>
        <v>0</v>
      </c>
      <c r="J83" s="265">
        <f>'7-Sensors'!F11</f>
        <v>0</v>
      </c>
    </row>
    <row r="84" spans="1:10" ht="16">
      <c r="A84" s="400" t="str">
        <f>IF(MAX(F:F)&lt;82,"",IF(INDEX(F:J,MATCH(82,F:F,0),2)=0,"",INDEX(F:J,MATCH(82,F:F,0),2)))</f>
        <v/>
      </c>
      <c r="B84" s="463" t="str">
        <f>IF(MAX(F:F)&lt;82,"",INDEX(F:J,MATCH(82,F:F,0),3))</f>
        <v>1x SENSOP, 1 Sensor Actions per Round</v>
      </c>
      <c r="C84" s="4" t="str">
        <f>IF(MAX(F:F)&lt;82,"",INDEX(F:J,MATCH(82,F:F,0),4))</f>
        <v/>
      </c>
      <c r="D84" s="4">
        <f>IF(MAX(F:F)&lt;82,"",INDEX(F:J,MATCH(82,F:F,0),5))</f>
        <v>4000</v>
      </c>
      <c r="E84" s="73">
        <f t="shared" si="6"/>
        <v>27</v>
      </c>
      <c r="F84" s="73" t="str">
        <f t="shared" si="7"/>
        <v/>
      </c>
      <c r="G84" s="397" t="str">
        <f>IF(H84="","",IF(AND(G82="",,G83=""),"Sensors",""))</f>
        <v/>
      </c>
      <c r="H84" s="12" t="str">
        <f>IF('7-Sensors'!B16=0,"",'7-Sensors'!B16&amp;"x "&amp;'7-Sensors'!A16)</f>
        <v/>
      </c>
      <c r="I84" s="4">
        <f>'7-Sensors'!H16</f>
        <v>0</v>
      </c>
      <c r="J84" s="265">
        <f>'7-Sensors'!F16</f>
        <v>0</v>
      </c>
    </row>
    <row r="85" spans="1:10" ht="16">
      <c r="A85" s="400" t="str">
        <f>IF(MAX(F:F)&lt;83,"",IF(INDEX(F:J,MATCH(83,F:F,0),2)=0,"",INDEX(F:J,MATCH(83,F:F,0),2)))</f>
        <v/>
      </c>
      <c r="B85" s="463" t="str">
        <f>IF(MAX(F:F)&lt;83,"",INDEX(F:J,MATCH(83,F:F,0),3))</f>
        <v>1x OFFICERS</v>
      </c>
      <c r="C85" s="4" t="str">
        <f>IF(MAX(F:F)&lt;83,"",INDEX(F:J,MATCH(83,F:F,0),4))</f>
        <v/>
      </c>
      <c r="D85" s="4">
        <f>IF(MAX(F:F)&lt;83,"",INDEX(F:J,MATCH(83,F:F,0),5))</f>
        <v>5000</v>
      </c>
      <c r="E85" s="73">
        <f t="shared" si="6"/>
        <v>28</v>
      </c>
      <c r="F85" s="73">
        <f t="shared" si="7"/>
        <v>28</v>
      </c>
      <c r="G85" s="397" t="str">
        <f>IF(H85="","",IF(AND(G82="",G83="",G84=""),"Sensors",""))</f>
        <v/>
      </c>
      <c r="H85" s="12" t="str">
        <f>IF('7-Sensors'!B17=0,"",'7-Sensors'!B17&amp;"x "&amp;'7-Sensors'!A17)</f>
        <v>1x Deep Penetration Scanners</v>
      </c>
      <c r="I85" s="4">
        <f>'7-Sensors'!H17</f>
        <v>1</v>
      </c>
      <c r="J85" s="265">
        <f>'7-Sensors'!F17</f>
        <v>1000000</v>
      </c>
    </row>
    <row r="86" spans="1:10" ht="16">
      <c r="A86" s="400" t="str">
        <f>IF(MAX(F:F)&lt;84,"",IF(INDEX(F:J,MATCH(84,F:F,0),2)=0,"",INDEX(F:J,MATCH(84,F:F,0),2)))</f>
        <v/>
      </c>
      <c r="B86" s="463" t="str">
        <f>IF(MAX(F:F)&lt;84,"",INDEX(F:J,MATCH(84,F:F,0),3))</f>
        <v>18x GENERAL CREW</v>
      </c>
      <c r="C86" s="4" t="str">
        <f>IF(MAX(F:F)&lt;84,"",INDEX(F:J,MATCH(84,F:F,0),4))</f>
        <v/>
      </c>
      <c r="D86" s="4">
        <f>IF(MAX(F:F)&lt;84,"",INDEX(F:J,MATCH(84,F:F,0),5))</f>
        <v>18000</v>
      </c>
      <c r="E86" s="73">
        <f t="shared" si="6"/>
        <v>28</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12x SCIENTISTS</v>
      </c>
      <c r="C87" s="4" t="str">
        <f>IF(MAX(F:F)&lt;85,"",INDEX(F:J,MATCH(85,F:F,0),4))</f>
        <v/>
      </c>
      <c r="D87" s="4">
        <f>IF(MAX(F:F)&lt;85,"",INDEX(F:J,MATCH(85,F:F,0),5))</f>
        <v>48000</v>
      </c>
      <c r="E87" s="73">
        <f t="shared" si="6"/>
        <v>29</v>
      </c>
      <c r="F87" s="73">
        <f t="shared" si="7"/>
        <v>29</v>
      </c>
      <c r="G87" s="397" t="str">
        <f>IF(H87="","",IF(AND(G82="",G83="",G84="",G86="",G85=""),"Sensors",""))</f>
        <v/>
      </c>
      <c r="H87" s="12" t="str">
        <f>IF('7-Sensors'!B19=0,"",'7-Sensors'!B19&amp;"x "&amp;'7-Sensors'!A19)</f>
        <v>3x Enhanced Signal Processing</v>
      </c>
      <c r="I87" s="4">
        <f>'7-Sensors'!H19</f>
        <v>6</v>
      </c>
      <c r="J87" s="265">
        <f>'7-Sensors'!F19</f>
        <v>24000000</v>
      </c>
    </row>
    <row r="88" spans="1:10" ht="16">
      <c r="A88" s="400" t="str">
        <f>IF(MAX(F:F)&lt;86,"",IF(INDEX(F:J,MATCH(86,F:F,0),2)=0,"",INDEX(F:J,MATCH(86,F:F,0),2)))</f>
        <v>Power</v>
      </c>
      <c r="B88" s="463" t="str">
        <f>IF(MAX(F:F)&lt;86,"",INDEX(F:J,MATCH(86,F:F,0),3))</f>
        <v>Power Distribution: Normal (Battle Load)</v>
      </c>
      <c r="C88" s="4" t="str">
        <f>IF(MAX(F:F)&lt;86,"",INDEX(F:J,MATCH(86,F:F,0),4))</f>
        <v>Available:</v>
      </c>
      <c r="D88" s="4" t="str">
        <f>IF(MAX(F:F)&lt;86,"",INDEX(F:J,MATCH(86,F:F,0),5))</f>
        <v>850 PP</v>
      </c>
      <c r="E88" s="73">
        <f t="shared" si="6"/>
        <v>30</v>
      </c>
      <c r="F88" s="73">
        <f t="shared" si="7"/>
        <v>30</v>
      </c>
      <c r="G88" s="397" t="str">
        <f>IF(H88="","",IF(AND(G82="",G83="",G84="",G85="",G87="",G86=""),"Sensors",""))</f>
        <v/>
      </c>
      <c r="H88" s="12" t="str">
        <f>IF('7-Sensors'!B20=0,"",'7-Sensors'!B20&amp;"x "&amp;'7-Sensors'!A20)</f>
        <v>1x Extended Arrays</v>
      </c>
      <c r="I88" s="4">
        <f>'7-Sensors'!H20</f>
        <v>18</v>
      </c>
      <c r="J88" s="265">
        <f>'7-Sensors'!F20</f>
        <v>25800000</v>
      </c>
    </row>
    <row r="89" spans="1:10" ht="16">
      <c r="A89" s="400" t="str">
        <f>IF(MAX(F:F)&lt;87,"",IF(INDEX(F:J,MATCH(87,F:F,0),2)=0,"",INDEX(F:J,MATCH(87,F:F,0),2)))</f>
        <v/>
      </c>
      <c r="B89" s="463" t="str">
        <f>IF(MAX(F:F)&lt;87,"",INDEX(F:J,MATCH(87,F:F,0),3))</f>
        <v>Basic/Hull</v>
      </c>
      <c r="C89" s="4" t="str">
        <f>IF(MAX(F:F)&lt;87,"",INDEX(F:J,MATCH(87,F:F,0),4))</f>
        <v/>
      </c>
      <c r="D89" s="4" t="str">
        <f>IF(MAX(F:F)&lt;87,"",INDEX(F:J,MATCH(87,F:F,0),5))</f>
        <v>200/0 (100) PP</v>
      </c>
      <c r="E89" s="73">
        <f t="shared" si="6"/>
        <v>31</v>
      </c>
      <c r="F89" s="73">
        <f t="shared" si="7"/>
        <v>31</v>
      </c>
      <c r="G89" s="397" t="str">
        <f>IF(H89="","",IF(AND(G82="",G83="",G84="",G85="",G86="",G88="",G87=""),"Sensors",""))</f>
        <v/>
      </c>
      <c r="H89" s="12" t="str">
        <f>IF('7-Sensors'!B21=0,"",'7-Sensors'!B21&amp;"x "&amp;'7-Sensors'!A21)</f>
        <v>1x Extension Net</v>
      </c>
      <c r="I89" s="4">
        <f>'7-Sensors'!H21</f>
        <v>10</v>
      </c>
      <c r="J89" s="265">
        <f>'7-Sensors'!F21</f>
        <v>10000000</v>
      </c>
    </row>
    <row r="90" spans="1:10" ht="16">
      <c r="A90" s="400" t="str">
        <f>IF(MAX(F:F)&lt;88,"",IF(INDEX(F:J,MATCH(88,F:F,0),2)=0,"",INDEX(F:J,MATCH(88,F:F,0),2)))</f>
        <v/>
      </c>
      <c r="B90" s="463" t="str">
        <f>IF(MAX(F:F)&lt;88,"",INDEX(F:J,MATCH(88,F:F,0),3))</f>
        <v>Jump</v>
      </c>
      <c r="C90" s="4" t="str">
        <f>IF(MAX(F:F)&lt;88,"",INDEX(F:J,MATCH(88,F:F,0),4))</f>
        <v/>
      </c>
      <c r="D90" s="4" t="str">
        <f>IF(MAX(F:F)&lt;88,"",INDEX(F:J,MATCH(88,F:F,0),5))</f>
        <v>300/0 PP</v>
      </c>
      <c r="E90" s="73">
        <f t="shared" si="6"/>
        <v>32</v>
      </c>
      <c r="F90" s="73">
        <f t="shared" si="7"/>
        <v>32</v>
      </c>
      <c r="G90" s="397" t="str">
        <f>IF(H90="","",IF(AND(G82="",G83="",G84="",G85="",G86="",G87="",G89="",G88=""),"Sensors",""))</f>
        <v/>
      </c>
      <c r="H90" s="12" t="str">
        <f>IF('7-Sensors'!B22=0,"",'7-Sensors'!B22&amp;"x "&amp;'7-Sensors'!A22)</f>
        <v>1x Improved Signal Processing</v>
      </c>
      <c r="I90" s="4">
        <f>'7-Sensors'!H22</f>
        <v>1</v>
      </c>
      <c r="J90" s="265">
        <f>'7-Sensors'!F22</f>
        <v>4000000</v>
      </c>
    </row>
    <row r="91" spans="1:10" ht="16">
      <c r="A91" s="400" t="str">
        <f>IF(MAX(F:F)&lt;89,"",IF(INDEX(F:J,MATCH(89,F:F,0),2)=0,"",INDEX(F:J,MATCH(89,F:F,0),2)))</f>
        <v/>
      </c>
      <c r="B91" s="463" t="str">
        <f>IF(MAX(F:F)&lt;89,"",INDEX(F:J,MATCH(89,F:F,0),3))</f>
        <v>Maneuver</v>
      </c>
      <c r="C91" s="4" t="str">
        <f>IF(MAX(F:F)&lt;89,"",INDEX(F:J,MATCH(89,F:F,0),4))</f>
        <v/>
      </c>
      <c r="D91" s="4" t="str">
        <f>IF(MAX(F:F)&lt;89,"",INDEX(F:J,MATCH(89,F:F,0),5))</f>
        <v>150 (150/0) PP</v>
      </c>
      <c r="E91" s="73">
        <f t="shared" si="6"/>
        <v>33</v>
      </c>
      <c r="F91" s="73">
        <f t="shared" si="7"/>
        <v>33</v>
      </c>
      <c r="G91" s="397" t="str">
        <f>IF(H91="","",IF(AND(G82="",G83="",G84="",G85="",G86="",G87="",G88="",G90="",G89=""),"Sensors",""))</f>
        <v/>
      </c>
      <c r="H91" s="12" t="str">
        <f>IF('7-Sensors'!B23=0,"",'7-Sensors'!B23&amp;"x "&amp;'7-Sensors'!A23)</f>
        <v>3x Life Scanner</v>
      </c>
      <c r="I91" s="4">
        <f>'7-Sensors'!H23</f>
        <v>3</v>
      </c>
      <c r="J91" s="265">
        <f>'7-Sensors'!F23</f>
        <v>6000000</v>
      </c>
    </row>
    <row r="92" spans="1:10" ht="16">
      <c r="A92" s="400" t="str">
        <f>IF(MAX(F:F)&lt;90,"",IF(INDEX(F:J,MATCH(90,F:F,0),2)=0,"",INDEX(F:J,MATCH(90,F:F,0),2)))</f>
        <v/>
      </c>
      <c r="B92" s="463" t="str">
        <f>IF(MAX(F:F)&lt;90,"",INDEX(F:J,MATCH(90,F:F,0),3))</f>
        <v>Fuel</v>
      </c>
      <c r="C92" s="4" t="str">
        <f>IF(MAX(F:F)&lt;90,"",INDEX(F:J,MATCH(90,F:F,0),4))</f>
        <v/>
      </c>
      <c r="D92" s="4" t="str">
        <f>IF(MAX(F:F)&lt;90,"",INDEX(F:J,MATCH(90,F:F,0),5))</f>
        <v>16 PP</v>
      </c>
      <c r="E92" s="73">
        <f t="shared" si="6"/>
        <v>34</v>
      </c>
      <c r="F92" s="73">
        <f t="shared" si="7"/>
        <v>34</v>
      </c>
      <c r="G92" s="397" t="str">
        <f>IF(H92="","",IF(AND(G82="",G83="",G84="",G85="",G86="",G87="",G88="",G89="",G91="",G90=""),"Sensors",""))</f>
        <v/>
      </c>
      <c r="H92" s="12" t="str">
        <f>IF('7-Sensors'!B24=0,"",'7-Sensors'!B24&amp;"x "&amp;'7-Sensors'!A24)</f>
        <v>1x Life Scanner Analysis Suite</v>
      </c>
      <c r="I92" s="4">
        <f>'7-Sensors'!H24</f>
        <v>1</v>
      </c>
      <c r="J92" s="265">
        <f>'7-Sensors'!F24</f>
        <v>4000000</v>
      </c>
    </row>
    <row r="93" spans="1:10" ht="16">
      <c r="A93" s="400" t="str">
        <f>IF(MAX(F:F)&lt;91,"",IF(INDEX(F:J,MATCH(91,F:F,0),2)=0,"",INDEX(F:J,MATCH(91,F:F,0),2)))</f>
        <v/>
      </c>
      <c r="B93" s="463" t="str">
        <f>IF(MAX(F:F)&lt;91,"",INDEX(F:J,MATCH(91,F:F,0),3))</f>
        <v>Sensors</v>
      </c>
      <c r="C93" s="4" t="str">
        <f>IF(MAX(F:F)&lt;91,"",INDEX(F:J,MATCH(91,F:F,0),4))</f>
        <v/>
      </c>
      <c r="D93" s="4" t="str">
        <f>IF(MAX(F:F)&lt;91,"",INDEX(F:J,MATCH(91,F:F,0),5))</f>
        <v>49 PP</v>
      </c>
      <c r="E93" s="73">
        <f t="shared" si="6"/>
        <v>34</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Weapons</v>
      </c>
      <c r="C94" s="4" t="str">
        <f>IF(MAX(F:F)&lt;92,"",INDEX(F:J,MATCH(92,F:F,0),4))</f>
        <v/>
      </c>
      <c r="D94" s="4" t="str">
        <f>IF(MAX(F:F)&lt;92,"",INDEX(F:J,MATCH(92,F:F,0),5))</f>
        <v>125 (125) PP</v>
      </c>
      <c r="E94" s="73">
        <f t="shared" si="6"/>
        <v>34</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Optional Components</v>
      </c>
      <c r="C95" s="4" t="str">
        <f>IF(MAX(F:F)&lt;93,"",INDEX(F:J,MATCH(93,F:F,0),4))</f>
        <v/>
      </c>
      <c r="D95" s="4" t="str">
        <f>IF(MAX(F:F)&lt;93,"",INDEX(F:J,MATCH(93,F:F,0),5))</f>
        <v>2 PP</v>
      </c>
      <c r="E95" s="73">
        <f t="shared" si="6"/>
        <v>34</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Miscellaneous</v>
      </c>
      <c r="C96" s="4" t="str">
        <f>IF(MAX(F:F)&lt;94,"",INDEX(F:J,MATCH(94,F:F,0),4))</f>
        <v/>
      </c>
      <c r="D96" s="4" t="str">
        <f>IF(MAX(F:F)&lt;94,"",INDEX(F:J,MATCH(94,F:F,0),5))</f>
        <v>2 PP</v>
      </c>
      <c r="E96" s="73">
        <f t="shared" si="6"/>
        <v>34</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Maximum Load (Battle Load)</v>
      </c>
      <c r="C97" s="4" t="str">
        <f>IF(MAX(F:F)&lt;95,"",INDEX(F:J,MATCH(95,F:F,0),4))</f>
        <v/>
      </c>
      <c r="D97" s="4" t="str">
        <f>IF(MAX(F:F)&lt;95,"",INDEX(F:J,MATCH(95,F:F,0),5))</f>
        <v>844 (424)</v>
      </c>
      <c r="E97" s="73">
        <f t="shared" si="6"/>
        <v>35</v>
      </c>
      <c r="F97" s="73">
        <f t="shared" si="7"/>
        <v>35</v>
      </c>
      <c r="G97" s="397" t="str">
        <f>IF(H97="","",IF(AND(G82="",G83="",G84="",G85="",G86="",G87="",G88="",G89="",G90="",G91="",G92="",G93="",G94="",G96="",G95=""),"Sensors",""))</f>
        <v/>
      </c>
      <c r="H97" s="12" t="str">
        <f>IF('7-Sensors'!B29=0,"",'7-Sensors'!B29&amp;"x "&amp;'7-Sensors'!A29)</f>
        <v>1x Mineral Detection Suite</v>
      </c>
      <c r="I97" s="4">
        <f>'7-Sensors'!H29</f>
        <v>1</v>
      </c>
      <c r="J97" s="265">
        <f>'7-Sensors'!F29</f>
        <v>5000000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35</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36</v>
      </c>
      <c r="F99" s="73">
        <f t="shared" si="7"/>
        <v>36</v>
      </c>
      <c r="G99" s="397" t="str">
        <f>IF(H99="","",IF(AND(G82="",G83="",G84="",G85="",G86="",G87="",G88="",G89="",G90="",G91="",G92="",G93="",G94="",G95="",G96="",G98="",G97=""),"Sensors",""))</f>
        <v/>
      </c>
      <c r="H99" s="12" t="str">
        <f>IF('7-Sensors'!B31=0,"",'7-Sensors'!B31&amp;"x "&amp;'7-Sensors'!A31)</f>
        <v>1x Shallow Penetration Suite</v>
      </c>
      <c r="I99" s="4">
        <f>'7-Sensors'!H31</f>
        <v>10</v>
      </c>
      <c r="J99" s="265">
        <f>'7-Sensors'!F31</f>
        <v>5000000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36</v>
      </c>
      <c r="F100" s="73" t="str">
        <f t="shared" si="7"/>
        <v/>
      </c>
      <c r="G100" s="397" t="str">
        <f>IF(H100="","",IF(AND(G82="",G83="",G84="",G85="",G86="",G87="",G88="",G89="",G90="",G91="",G92="",G93="",G94="",G95="",G96="",G97="",G99="",G98=""),"Sensors",""))</f>
        <v/>
      </c>
      <c r="H100" s="12" t="str">
        <f>IF('7-Sensors'!B33="Installed",'7-Sensors'!A33,"")</f>
        <v/>
      </c>
      <c r="I100" s="4">
        <f>'7-Sensors'!H33</f>
        <v>0</v>
      </c>
      <c r="J100" s="265">
        <f>'7-Sensors'!F33</f>
        <v>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36</v>
      </c>
      <c r="F101" s="73" t="str">
        <f t="shared" si="7"/>
        <v/>
      </c>
      <c r="G101" s="397" t="str">
        <f>IF(H101="","",IF(AND(G82="",G83="",G84="",G85="",G86="",G87="",G88="",G89="",G90="",G91="",G92="",G93="",G94="",G95="",G96="",G97="",G98="",G100="",G99=""),"Sensors",""))</f>
        <v/>
      </c>
      <c r="H101" s="392" t="str">
        <f>IF('7-Sensors'!B34="Installed",'7-Sensors'!A34,"")</f>
        <v/>
      </c>
      <c r="I101" s="403">
        <f>'7-Sensors'!H34</f>
        <v>0</v>
      </c>
      <c r="J101" s="266">
        <f>'7-Sensors'!F34</f>
        <v>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37</v>
      </c>
      <c r="F102" s="73">
        <f t="shared" si="7"/>
        <v>37</v>
      </c>
      <c r="G102" s="401" t="str">
        <f>IF(H102="","","Weapons")</f>
        <v>Weapons</v>
      </c>
      <c r="H102" s="391" t="str">
        <f>'8a-Weapons'!AM113</f>
        <v xml:space="preserve">5x Triple Turret: Particle Beam </v>
      </c>
      <c r="I102" s="237">
        <f>'8a-Weapons'!N12</f>
        <v>5</v>
      </c>
      <c r="J102" s="387">
        <f>'8a-Weapons'!L12</f>
        <v>65000000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37</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37</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
      </c>
      <c r="C105" s="4" t="str">
        <f>IF(MAX(F:F)&lt;103,"",INDEX(F:J,MATCH(103,F:F,0),4))</f>
        <v/>
      </c>
      <c r="D105" s="4" t="str">
        <f>IF(MAX(F:F)&lt;103,"",INDEX(F:J,MATCH(103,F:F,0),5))</f>
        <v/>
      </c>
      <c r="E105" s="73">
        <f t="shared" si="6"/>
        <v>37</v>
      </c>
      <c r="F105" s="73" t="str">
        <f t="shared" si="7"/>
        <v/>
      </c>
      <c r="G105" s="397" t="str">
        <f>IF(H105="","",IF(AND(G104="",G103="",G102=""),"Weapons",""))</f>
        <v/>
      </c>
      <c r="H105" s="12" t="str">
        <f>'8a-Weapons'!AM116</f>
        <v/>
      </c>
      <c r="I105" s="4">
        <f>'8a-Weapons'!N15</f>
        <v>0</v>
      </c>
      <c r="J105" s="265">
        <f>'8a-Weapons'!L15</f>
        <v>0</v>
      </c>
    </row>
    <row r="106" spans="1:10" ht="16">
      <c r="A106" s="400" t="str">
        <f>IF(MAX(F:F)&lt;104,"",IF(INDEX(F:J,MATCH(104,F:F,0),2)=0,"",INDEX(F:J,MATCH(104,F:F,0),2)))</f>
        <v/>
      </c>
      <c r="B106" s="463" t="str">
        <f>IF(MAX(F:F)&lt;104,"",INDEX(F:J,MATCH(104,F:F,0),3))</f>
        <v/>
      </c>
      <c r="C106" s="4" t="str">
        <f>IF(MAX(F:F)&lt;104,"",INDEX(F:J,MATCH(104,F:F,0),4))</f>
        <v/>
      </c>
      <c r="D106" s="4" t="str">
        <f>IF(MAX(F:F)&lt;104,"",INDEX(F:J,MATCH(104,F:F,0),5))</f>
        <v/>
      </c>
      <c r="E106" s="73">
        <f t="shared" si="6"/>
        <v>37</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37</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37</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37</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37</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37</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37</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37</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37</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37</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37</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37</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37</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37</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37</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37</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37</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37</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37</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37</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38</v>
      </c>
      <c r="F126" s="73">
        <f t="shared" si="7"/>
        <v>38</v>
      </c>
      <c r="G126" s="401" t="str">
        <f>IF(H126="","","Screens")</f>
        <v>Screens</v>
      </c>
      <c r="H126" s="391" t="str">
        <f>IF('8b-Screens'!B9='8b-Screens'!S9,"",'8b-Screens'!E9&amp;"x "&amp;'8b-Screens'!B9&amp;IF('8b-Screens'!A9='8b-Screens'!S1,""," Hardened")&amp;IF('8b-Screens'!A11='8b-Screens'!S1,""," Armored")&amp;" "&amp;'8b-Screens'!T58)</f>
        <v>0x Nuclear Damper Energy Efficient, Easy to Repair</v>
      </c>
      <c r="I126" s="237">
        <f>'8b-Screens'!H9</f>
        <v>0</v>
      </c>
      <c r="J126" s="387">
        <f>'8b-Screens'!F9</f>
        <v>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39</v>
      </c>
      <c r="F127" s="73">
        <f t="shared" si="7"/>
        <v>39</v>
      </c>
      <c r="G127" s="397" t="str">
        <f>IF(H127="","",IF(G126="","Screens",""))</f>
        <v/>
      </c>
      <c r="H127" s="12" t="str">
        <f>IF('8b-Screens'!B14='8b-Screens'!S9,"",'8b-Screens'!E14&amp;"x "&amp;'8b-Screens'!B14&amp;IF('8b-Screens'!A14='8b-Screens'!S1,""," Hardened")&amp;IF('8b-Screens'!A16='8b-Screens'!S1,""," Armored")&amp;" "&amp;'8b-Screens'!V58)</f>
        <v>0x Deflector Screens Energy Efficient, Resilient, Easy to Repair</v>
      </c>
      <c r="I127" s="4">
        <f>'8b-Screens'!H14</f>
        <v>0</v>
      </c>
      <c r="J127" s="265">
        <f>'8b-Screens'!F14</f>
        <v>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39</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39</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39</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39</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39</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39</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40</v>
      </c>
      <c r="F134" s="73">
        <f t="shared" si="9"/>
        <v>40</v>
      </c>
      <c r="G134" s="401" t="str">
        <f>IF('9a-Optional'!H35=0,"","Craft")</f>
        <v>Craft</v>
      </c>
      <c r="H134" s="391" t="str">
        <f>IF('9a-Optional'!H35=0,"",'9a-Optional'!C35&amp;"x "&amp;'9a-Optional'!D35&amp;" ton "&amp;'9a-Optional'!A35)</f>
        <v>1x 24 ton Internal Docking Space</v>
      </c>
      <c r="I134" s="237">
        <f>'9a-Optional'!H35</f>
        <v>27</v>
      </c>
      <c r="J134" s="387">
        <f>'9a-Optional'!F35</f>
        <v>6750000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40</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40</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40</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40</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40</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40</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41</v>
      </c>
      <c r="F141" s="73">
        <f t="shared" si="9"/>
        <v>41</v>
      </c>
      <c r="G141" s="397" t="str">
        <f>IF('9a-Optional'!H42=0,"",IF(AND(G134="",G135="",G136="",G137="",G138="",G139="",G140=""),"Craft",""))</f>
        <v/>
      </c>
      <c r="H141" s="12" t="str">
        <f>IF(I141=0,"",'9a-Optional'!C43&amp;"x "&amp;'9a-Optional'!A43)</f>
        <v>3x Docking Clamp Type II</v>
      </c>
      <c r="I141" s="4">
        <f>'9a-Optional'!H43</f>
        <v>15</v>
      </c>
      <c r="J141" s="265">
        <f>'9a-Optional'!F43</f>
        <v>3000000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41</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41</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41</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42</v>
      </c>
      <c r="F145" s="73">
        <f t="shared" si="9"/>
        <v>42</v>
      </c>
      <c r="G145" s="397" t="str">
        <f>IF('9a-Optional'!H46=0,"",IF(AND(G134="",G135="",G136="",G137="",G138="",G139="",G140="",G141="",G142="",G143="",G144=""),"Craft",""))</f>
        <v/>
      </c>
      <c r="H145" s="12" t="str">
        <f>IF('9a-Optional'!H48=0,"",'9a-Optional'!C48&amp;"x "&amp;'9a-Optional'!D48&amp;" ton "&amp;'9a-Optional'!A48)</f>
        <v>1x 3 ton Full Hangar Bay</v>
      </c>
      <c r="I145" s="4">
        <f>'9a-Optional'!H48</f>
        <v>6</v>
      </c>
      <c r="J145" s="265">
        <f>'9a-Optional'!F48</f>
        <v>1200000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42</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42</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42</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42</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42</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42</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42</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42</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42</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42</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42</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42</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42</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42</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42</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43</v>
      </c>
      <c r="F161" s="73">
        <f t="shared" si="9"/>
        <v>43</v>
      </c>
      <c r="G161" s="397" t="str">
        <f>IF(H161="","",IF(AND(G134="",G135="",G136="",G137="",G138="",G139="",G140="",G141="",G142="",G143="",G144="",G145="",G146="",G147="",G148="",G149="",G150="",G151="",G152="",G153="",G154="",G155="",G156="",G157="",G158="",G159="",G160=""),"Craft",""))</f>
        <v/>
      </c>
      <c r="H161" s="12" t="str">
        <f>'9a-Optional'!AZ2</f>
        <v>Zhodoni Insight Scout Sled x3 (22.5 tons)</v>
      </c>
      <c r="J161" s="265">
        <f>'9a-Optional'!BA2</f>
        <v>8550000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44</v>
      </c>
      <c r="F162" s="73">
        <f t="shared" si="9"/>
        <v>44</v>
      </c>
      <c r="G162" s="397" t="str">
        <f>IF(H162="","",IF(AND(G134="",G135="",G136="",G137="",G138="",G139="",G140="",G141="",G142="",G143="",G144="",G145="",G146="",G147="",G148="",G149="",G150="",G151="",G152="",G153="",G154="",G155="",G156="",G157="",G158="",G159="",G160="",G161=""),"Craft",""))</f>
        <v/>
      </c>
      <c r="H162" s="12" t="str">
        <f>'9a-Optional'!AZ3</f>
        <v>Zhodani Brechatsnech Belt Survey Vessel x1 (60 tons)</v>
      </c>
      <c r="J162" s="265">
        <f>'9a-Optional'!BA3</f>
        <v>37070000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45</v>
      </c>
      <c r="F163" s="73">
        <f t="shared" si="9"/>
        <v>45</v>
      </c>
      <c r="G163" s="397" t="str">
        <f>IF(H163="","",IF(AND(G134="",G135="",G136="",G137="",G138="",G139="",G140="",G141="",G142="",G143="",G144="",G145="",G146="",G147="",G148="",G149="",G150="",G151="",G152="",G153="",G154="",G155="",G156="",G157="",G158="",G159="",G160="",G161="",G162=""),"Craft",""))</f>
        <v/>
      </c>
      <c r="H163" s="12" t="str">
        <f>'9a-Optional'!AZ4</f>
        <v>Zhodani Neishetsienz Gas Giant Survey Vessel x1 (60 tons)</v>
      </c>
      <c r="J163" s="265">
        <f>'9a-Optional'!BA4</f>
        <v>65550000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46</v>
      </c>
      <c r="F164" s="73">
        <f t="shared" si="9"/>
        <v>46</v>
      </c>
      <c r="G164" s="397" t="str">
        <f>IF(H164="","",IF(AND(G134="",G135="",G136="",G137="",G138="",G139="",G140="",G141="",G142="",G143="",G144="",G145="",G146="",G147="",G148="",G149="",G150="",G151="",G152="",G153="",G154="",G155="",G156="",G157="",G158="",G159="",G160="",G161="",G162="",G163=""),"Craft",""))</f>
        <v/>
      </c>
      <c r="H164" s="12" t="str">
        <f>'9a-Optional'!AZ5</f>
        <v>Zhodani Drabr Chtor Terrestrial Survey Vessel x1 (80 tons)</v>
      </c>
      <c r="J164" s="265">
        <f>'9a-Optional'!BA5</f>
        <v>48995000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46</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46</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46</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46</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46</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46</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46</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46</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46</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46</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46</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46</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46</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46</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46</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46</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46</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46</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46</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46</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46</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46</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46</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46</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46</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47</v>
      </c>
      <c r="F190" s="73">
        <f t="shared" si="9"/>
        <v>47</v>
      </c>
      <c r="G190" s="401" t="str">
        <f>IF(H190="","","Systems")</f>
        <v>Systems</v>
      </c>
      <c r="H190" s="391" t="str">
        <f>IF('9a-Optional'!H10=0,"",'9a-Optional'!A10&amp;": "&amp;'9a-Optional'!D10)</f>
        <v>Probe Drones: 50 Probes</v>
      </c>
      <c r="I190" s="237">
        <f>'9a-Optional'!H10</f>
        <v>10</v>
      </c>
      <c r="J190" s="387">
        <f>'9a-Optional'!F10</f>
        <v>5000000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48</v>
      </c>
      <c r="F191" s="73">
        <f t="shared" si="9"/>
        <v>48</v>
      </c>
      <c r="G191" s="397" t="str">
        <f>IF(H191="","",IF(G190="","Systems",""))</f>
        <v/>
      </c>
      <c r="H191" s="12" t="str">
        <f>IF('9a-Optional'!H11=0,"",'9a-Optional'!A11&amp;": "&amp;'9a-Optional'!D11)</f>
        <v>Advanced Probe Drones: 50 Probes</v>
      </c>
      <c r="I191" s="4">
        <f>'9a-Optional'!H11</f>
        <v>10</v>
      </c>
      <c r="J191" s="265">
        <f>'9a-Optional'!F11</f>
        <v>8000000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48</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49</v>
      </c>
      <c r="F193" s="73">
        <f t="shared" si="9"/>
        <v>49</v>
      </c>
      <c r="G193" s="397" t="str">
        <f>IF(H193="","",IF(AND(G190="",G191="",G192=""),"Systems",""))</f>
        <v/>
      </c>
      <c r="H193" s="12" t="str">
        <f>IF('9a-Optional'!H13=0,"",'9a-Optional'!A13)</f>
        <v>Repair Drones</v>
      </c>
      <c r="I193" s="4">
        <f>'9a-Optional'!H13</f>
        <v>10</v>
      </c>
      <c r="J193" s="265">
        <f>'9a-Optional'!F13</f>
        <v>2000000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50</v>
      </c>
      <c r="F194" s="73">
        <f t="shared" si="9"/>
        <v>50</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51</v>
      </c>
      <c r="F195" s="73">
        <f t="shared" si="9"/>
        <v>51</v>
      </c>
      <c r="G195" s="397" t="str">
        <f>IF(H195="","",IF(AND(G192="",G193="",G191="",G190="",G194=""),"Systems",""))</f>
        <v/>
      </c>
      <c r="H195" s="12" t="str">
        <f>IF('4-Fuel'!$C$16=0,"",'4-Fuel'!$A$16&amp;" "&amp;'4-Fuel'!$B$16&amp;" Tons Per Day")</f>
        <v>Fuel Processor 320 Tons Per Day</v>
      </c>
      <c r="I195" s="4">
        <f>'4-Fuel'!$H$16</f>
        <v>16</v>
      </c>
      <c r="J195" s="265">
        <f>'4-Fuel'!$F$16</f>
        <v>800000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51</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51</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51</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51</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51</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51</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51</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52</v>
      </c>
      <c r="F203" s="73">
        <f t="shared" si="13"/>
        <v>52</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10x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52</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52</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52</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52</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52</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52</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52</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52</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52</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53</v>
      </c>
      <c r="F213" s="73">
        <f t="shared" si="13"/>
        <v>53</v>
      </c>
      <c r="G213" s="397" t="str">
        <f>IF(H213="","",IF(AND(G190="",G191="",G192="",G193="",G194="",G195="",G196="",G197="",G198="",G199="",G200="",G201="",G202="",G203="",G204="",G205="",G206="",G207="",G208="",G209="",G210="",G211="",G212=""),"Systems",""))</f>
        <v/>
      </c>
      <c r="H213" s="12" t="str">
        <f>IF('9b-Optional'!C18=0,"",'9b-Optional'!B18&amp;" for "&amp;'9b-Optional'!D18)</f>
        <v>Armory for 50 Crew/10 Marines</v>
      </c>
      <c r="I213" s="4">
        <f>'9b-Optional'!H18</f>
        <v>2</v>
      </c>
      <c r="J213" s="265">
        <f>'9b-Optional'!F18</f>
        <v>500000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53</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54</v>
      </c>
      <c r="F215" s="73">
        <f t="shared" si="13"/>
        <v>54</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54</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54</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55</v>
      </c>
      <c r="F218" s="73">
        <f t="shared" si="13"/>
        <v>55</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Laboratory for 12 Scientists</v>
      </c>
      <c r="I218" s="4">
        <f>'9b-Optional'!H23</f>
        <v>48</v>
      </c>
      <c r="J218" s="265">
        <f>'9b-Optional'!F23</f>
        <v>12000000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56</v>
      </c>
      <c r="F219" s="73">
        <f t="shared" si="13"/>
        <v>56</v>
      </c>
      <c r="G219" s="397" t="str">
        <f>IF(H219="","",IF(AND(G190="",G191="",G192="",G193="",G194="",G195="",G196="",G197="",G198="",G199="",G200="",G201="",G202="",G203="",G204="",G205="",G206="",G207="",G208="",G209="",G210="",G211="",G212="",G213="",G214="",G215="",G216="",G217="",G218=""),"Systems",""))</f>
        <v/>
      </c>
      <c r="H219" s="12" t="str">
        <f>IF('9b-Optional'!C24=0,"",'9b-Optional'!C24&amp;"x "&amp;'9b-Optional'!B24)</f>
        <v>2x Library</v>
      </c>
      <c r="I219" s="4">
        <f>'9b-Optional'!H24</f>
        <v>8</v>
      </c>
      <c r="J219" s="265">
        <f>'9b-Optional'!F24</f>
        <v>8000000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57</v>
      </c>
      <c r="F220" s="73">
        <f t="shared" si="13"/>
        <v>57</v>
      </c>
      <c r="G220" s="397" t="str">
        <f>IF(H220="","",IF(AND(G190="",G191="",G192="",G193="",G194="",G195="",G196="",G197="",G198="",G199="",G200="",G201="",G202="",G203="",G204="",G205="",G206="",G207="",G208="",G209="",G210="",G211="",G212="",G213="",G214="",G215="",G216="",G217="",G218="",G219=""),"Systems",""))</f>
        <v/>
      </c>
      <c r="H220" s="12" t="str">
        <f>IF('9b-Optional'!C25=0,"",'9b-Optional'!C25&amp;"x "&amp;'9b-Optional'!B25)</f>
        <v>2x Medical Bay</v>
      </c>
      <c r="I220" s="4">
        <f>'9b-Optional'!H25</f>
        <v>8</v>
      </c>
      <c r="J220" s="265">
        <f>'9b-Optional'!F25</f>
        <v>4000000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57</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57</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57</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57</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57</v>
      </c>
      <c r="F225" s="73" t="str">
        <f t="shared" si="13"/>
        <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
      </c>
      <c r="I225" s="4">
        <f>'9b-Optional'!H31</f>
        <v>0</v>
      </c>
      <c r="J225" s="265">
        <f>'9b-Optional'!F31</f>
        <v>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57</v>
      </c>
      <c r="F226" s="73" t="str">
        <f t="shared" si="13"/>
        <v/>
      </c>
      <c r="G226" s="397" t="str">
        <f>IF(H226="","",IF(AND(G190="",G191="",G192="",G193="",G194="",G195="",G196="",G197="",G198="",G199="",G200="",G201="",G202="",G203="",G204="",G205="",G206="",G207="",G208="",G209="",G210="",G211="",G212="",G213="",G214="",G215="",G216="",G217="",G218="",G219="",G220="",G221="",G222="",G223="",G224="",G225=""),"Systems",""))</f>
        <v/>
      </c>
      <c r="H226" s="12" t="str">
        <f>IF('9b-Optional'!E32=0,"",'9b-Optional'!B32&amp;": "&amp;'9b-Optional'!D32)</f>
        <v/>
      </c>
      <c r="I226" s="4">
        <f>'9b-Optional'!H32</f>
        <v>0</v>
      </c>
      <c r="J226" s="265">
        <f>'9b-Optional'!F32</f>
        <v>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57</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57</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57</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57</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57</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57</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57</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57</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57</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57</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57</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57</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57</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57</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57</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57</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57</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57</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57</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57</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57</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57</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57</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57</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57</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57</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57</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57</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57</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57</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57</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57</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57</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57</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57</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57</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57</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57</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57</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57</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57</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57</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57</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57</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57</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57</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57</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57</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57</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57</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57</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57</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57</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57</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57</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57</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57</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57</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57</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57</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57</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57</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57</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57</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57</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58</v>
      </c>
      <c r="F292" s="73">
        <f t="shared" si="17"/>
        <v>58</v>
      </c>
      <c r="G292" s="397" t="str">
        <f>IF(H292="","",IF(AND(G285="",G286="",G287="",G288="",G289="",G290="",G291=""),"Staterooms",""))</f>
        <v>Staterooms</v>
      </c>
      <c r="H292" s="12" t="str">
        <f>IF('11-Staterooms'!C22=0,"",'11-Staterooms'!C22&amp;"x "&amp;'11-Staterooms'!A22)</f>
        <v>14x Middle Staterooms - Single</v>
      </c>
      <c r="I292" s="4">
        <f>'11-Staterooms'!H22</f>
        <v>56</v>
      </c>
      <c r="J292" s="265">
        <f>'11-Staterooms'!F22</f>
        <v>7000000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59</v>
      </c>
      <c r="F293" s="73">
        <f t="shared" si="17"/>
        <v>59</v>
      </c>
      <c r="G293" s="397" t="str">
        <f>IF(H293="","",IF(AND(G285="",G286="",G287="",G288="",G289="",G290="",G291="",G292=""),"Staterooms",""))</f>
        <v/>
      </c>
      <c r="H293" s="12" t="str">
        <f>IF('11-Staterooms'!C23=0,"",'11-Staterooms'!C23&amp;"x "&amp;'11-Staterooms'!A23)</f>
        <v>20x Middle Staterooms - Double</v>
      </c>
      <c r="I293" s="4">
        <f>'11-Staterooms'!H23</f>
        <v>80</v>
      </c>
      <c r="J293" s="265">
        <f>'11-Staterooms'!F23</f>
        <v>10000000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59</v>
      </c>
      <c r="F294" s="73" t="str">
        <f t="shared" si="17"/>
        <v/>
      </c>
      <c r="G294" s="397" t="str">
        <f>IF(H294="","",IF(AND(G285="",G286="",G287="",G288="",G289="",G290="",G291="",G292="",G293=""),"Staterooms",""))</f>
        <v/>
      </c>
      <c r="H294" s="12" t="str">
        <f>IF('11-Staterooms'!C24=0,"",'11-Staterooms'!C24&amp;"x "&amp;'11-Staterooms'!A24)</f>
        <v/>
      </c>
      <c r="I294" s="4">
        <f>'11-Staterooms'!H24</f>
        <v>0</v>
      </c>
      <c r="J294" s="265">
        <f>'11-Staterooms'!F24</f>
        <v>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59</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59</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59</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59</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59</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59</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59</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59</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59</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59</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59</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59</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59</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59</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59</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59</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59</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59</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59</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59</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59</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59</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59</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59</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59</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59</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59</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59</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59</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59</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59</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60</v>
      </c>
      <c r="F326" s="73">
        <f t="shared" si="23"/>
        <v>60</v>
      </c>
      <c r="G326" s="401" t="str">
        <f>IF(H326="","","Entertainment")</f>
        <v>Entertainment</v>
      </c>
      <c r="H326" s="391" t="str">
        <f>IF('11-Staterooms'!C62='11-Staterooms'!S54,"",'11-Staterooms'!C62&amp;" "&amp;'11-Staterooms'!B62)</f>
        <v>Luxury Advanced Entertainment System</v>
      </c>
      <c r="I326" s="237">
        <f>'11-Staterooms'!H62</f>
        <v>0</v>
      </c>
      <c r="J326" s="387">
        <f>'11-Staterooms'!F62</f>
        <v>10000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60</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61</v>
      </c>
      <c r="F328" s="73">
        <f t="shared" si="23"/>
        <v>61</v>
      </c>
      <c r="G328" s="397" t="str">
        <f>IF(H328="","",IF(AND(G326="",G327=""),"Entertainment",""))</f>
        <v/>
      </c>
      <c r="H328" s="12" t="str">
        <f>IF('11-Staterooms'!C64=0,"",'11-Staterooms'!B64&amp;": "&amp;'11-Staterooms'!D64)</f>
        <v>Gourmet Kitchen: 24 diner capacity</v>
      </c>
      <c r="I328" s="4">
        <f>'11-Staterooms'!H64</f>
        <v>24</v>
      </c>
      <c r="J328" s="265">
        <f>'11-Staterooms'!F64</f>
        <v>4800000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62</v>
      </c>
      <c r="F329" s="73">
        <f t="shared" si="23"/>
        <v>62</v>
      </c>
      <c r="G329" s="397" t="str">
        <f>IF(H329="","",IF(AND(G326="",G327="",G328=""),"Entertainment",""))</f>
        <v/>
      </c>
      <c r="H329" s="12" t="str">
        <f>IF('11-Staterooms'!C65=0,"",'11-Staterooms'!B65&amp;": "&amp;'11-Staterooms'!D65)</f>
        <v>Hot Tub: Seating for 9</v>
      </c>
      <c r="I329" s="4">
        <f>'11-Staterooms'!H65</f>
        <v>2.25</v>
      </c>
      <c r="J329" s="265">
        <f>'11-Staterooms'!F65</f>
        <v>27000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62</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62</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62</v>
      </c>
      <c r="F332" s="73" t="str">
        <f t="shared" si="23"/>
        <v/>
      </c>
      <c r="G332" s="397" t="str">
        <f>IF(H332="","",IF(AND(G326="",G327="",G328="",G329="",G330="",G331=""),"Entertainment",""))</f>
        <v/>
      </c>
      <c r="H332" s="12" t="str">
        <f>IF('11-Staterooms'!C68=0,"",'11-Staterooms'!B68)</f>
        <v/>
      </c>
      <c r="I332" s="4">
        <f>'11-Staterooms'!H68</f>
        <v>0</v>
      </c>
      <c r="J332" s="265">
        <f>'11-Staterooms'!F68</f>
        <v>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62</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62</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62</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62</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62</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62</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62</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62</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63</v>
      </c>
      <c r="F341" s="73">
        <f t="shared" si="23"/>
        <v>63</v>
      </c>
      <c r="G341" s="397" t="str">
        <f>IF(H341="","",IF(AND(G336="",G337="",G338="",G339="",G340=""),"Cargo",""))</f>
        <v>Cargo</v>
      </c>
      <c r="H341" s="12" t="str">
        <f>IF('12-Cargo'!H18=0,"",'12-Cargo'!C18&amp;"x "&amp;'12-Cargo'!D18&amp;" Ton "&amp;'12-Cargo'!A18&amp;": "&amp;'12-Cargo'!B18)</f>
        <v>1x 25 Ton Cargo Bay: Port Cargo Hold</v>
      </c>
      <c r="I341" s="4">
        <f>'12-Cargo'!H18</f>
        <v>25</v>
      </c>
      <c r="J341" s="265">
        <f>'12-Cargo'!F18</f>
        <v>0</v>
      </c>
    </row>
    <row r="342" spans="1:10" ht="16">
      <c r="E342" s="73">
        <f t="shared" si="22"/>
        <v>63</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64</v>
      </c>
      <c r="F343" s="73">
        <f t="shared" si="23"/>
        <v>64</v>
      </c>
      <c r="G343" s="397" t="str">
        <f>IF(H343="","",IF(AND(G336="",G337="",G338="",G339="",G340="",G341="",G342=""),"Cargo",""))</f>
        <v/>
      </c>
      <c r="H343" s="12" t="str">
        <f>IF('12-Cargo'!H18=0,"",IF('12-Cargo'!B20='12-Cargo'!S7,"",'12-Cargo'!C18*'12-Cargo'!C20&amp;"x "&amp;'12-Cargo'!B20&amp;" "&amp;'12-Cargo'!A20))</f>
        <v xml:space="preserve">1x  Standard Loading Belts </v>
      </c>
      <c r="I343" s="4">
        <f>'12-Cargo'!H20</f>
        <v>1</v>
      </c>
      <c r="J343" s="265">
        <f>'12-Cargo'!F20</f>
        <v>3000</v>
      </c>
    </row>
    <row r="344" spans="1:10" ht="16">
      <c r="E344" s="73">
        <f t="shared" si="22"/>
        <v>64</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65</v>
      </c>
      <c r="F345" s="73">
        <f t="shared" si="23"/>
        <v>65</v>
      </c>
      <c r="G345" s="397" t="str">
        <f>IF(H345="","",IF(AND(G336="",G337="",G338="",G339="",G340="",G341="",G342="",G343="",G344=""),"Cargo",""))</f>
        <v/>
      </c>
      <c r="H345" s="12" t="str">
        <f>IF('12-Cargo'!H22=0,"",'12-Cargo'!C22&amp;"x "&amp;'12-Cargo'!D22&amp;" Ton "&amp;'12-Cargo'!A22&amp;": "&amp;'12-Cargo'!B22)</f>
        <v>1x 25 Ton Cargo Bay: Starboard Cargo Hold</v>
      </c>
      <c r="I345" s="4">
        <f>'12-Cargo'!H22</f>
        <v>25</v>
      </c>
      <c r="J345" s="265">
        <f>'12-Cargo'!F22</f>
        <v>0</v>
      </c>
    </row>
    <row r="346" spans="1:10" ht="16">
      <c r="E346" s="73">
        <f t="shared" si="22"/>
        <v>65</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66</v>
      </c>
      <c r="F347" s="73">
        <f t="shared" si="23"/>
        <v>66</v>
      </c>
      <c r="G347" s="397" t="str">
        <f>IF(H347="","",IF(AND(G336="",G337="",G338="",G339="",G340="",G341="",G342="",G343="",G344="",G345="",G346=""),"Cargo",""))</f>
        <v/>
      </c>
      <c r="H347" s="12" t="str">
        <f>IF('12-Cargo'!H22=0,"",IF('12-Cargo'!B24='12-Cargo'!S7,"",'12-Cargo'!C22*'12-Cargo'!C24&amp;"x "&amp;'12-Cargo'!B24&amp;" "&amp;'12-Cargo'!A24))</f>
        <v xml:space="preserve">1x  Standard Loading Belts </v>
      </c>
      <c r="I347" s="4">
        <f>'12-Cargo'!H24</f>
        <v>1</v>
      </c>
      <c r="J347" s="265">
        <f>'12-Cargo'!F24</f>
        <v>3000</v>
      </c>
    </row>
    <row r="348" spans="1:10" ht="16">
      <c r="E348" s="73">
        <f t="shared" si="22"/>
        <v>66</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67</v>
      </c>
      <c r="F349" s="73">
        <f t="shared" si="23"/>
        <v>67</v>
      </c>
      <c r="G349" s="397" t="str">
        <f>IF(H349="","",IF(AND(G336="",G337="",G338="",G339="",G340="",G341="",G342="",G343="",G344="",G345="",G346="",G347="",G348=""),"Cargo",""))</f>
        <v/>
      </c>
      <c r="H349" s="12" t="str">
        <f>IF('12-Cargo'!H26=0,"",'12-Cargo'!C26&amp;"x "&amp;'12-Cargo'!D26&amp;" Ton "&amp;'12-Cargo'!A26&amp;": "&amp;'12-Cargo'!B26)</f>
        <v>1x 25 Ton Cargo Bay: Bio Containment Hold</v>
      </c>
      <c r="I349" s="4">
        <f>'12-Cargo'!H26</f>
        <v>25</v>
      </c>
      <c r="J349" s="265">
        <f>'12-Cargo'!F26</f>
        <v>0</v>
      </c>
    </row>
    <row r="350" spans="1:10" ht="16">
      <c r="E350" s="73">
        <f t="shared" si="22"/>
        <v>67</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68</v>
      </c>
      <c r="F351" s="73">
        <f t="shared" si="23"/>
        <v>68</v>
      </c>
      <c r="G351" s="397" t="str">
        <f>IF(H351="","",IF(AND(G336="",G337="",G338="",G339="",G340="",G341="",G342="",G343="",G344="",G345="",G346="",G347="",G348="",G349="",G350=""),"Cargo",""))</f>
        <v/>
      </c>
      <c r="H351" s="12" t="str">
        <f>IF('12-Cargo'!H26=0,"",IF('12-Cargo'!B28='12-Cargo'!S7,"",'12-Cargo'!C26*'12-Cargo'!C28&amp;"x "&amp;'12-Cargo'!B28&amp;" "&amp;'12-Cargo'!A28))</f>
        <v xml:space="preserve">0x  Standard Loading Belts </v>
      </c>
      <c r="I351" s="4">
        <f>'12-Cargo'!H28</f>
        <v>0</v>
      </c>
      <c r="J351" s="265">
        <f>'12-Cargo'!F28</f>
        <v>0</v>
      </c>
    </row>
    <row r="352" spans="1:10" ht="16">
      <c r="E352" s="73">
        <f t="shared" si="22"/>
        <v>69</v>
      </c>
      <c r="F352" s="73">
        <f t="shared" si="23"/>
        <v>69</v>
      </c>
      <c r="G352" s="397" t="str">
        <f>IF(H352="","",IF(AND(G336="",G337="",G338="",G339="",G340="",G341="",G342="",G343="",G344="",G345="",G346="",G347="",G348="",G349="",G350="",G351=""),"Cargo",""))</f>
        <v/>
      </c>
      <c r="H352" s="12" t="str">
        <f>IF('12-Cargo'!H26=0,"",IF('12-Cargo'!B29='12-Cargo'!S4,"",'12-Cargo'!A29&amp;" for "&amp;H349))</f>
        <v>Armored Bulkhead for 1x 25 Ton Cargo Bay: Bio Containment Hold</v>
      </c>
      <c r="I352" s="4">
        <f>'12-Cargo'!H29</f>
        <v>2.5</v>
      </c>
      <c r="J352" s="265">
        <f>'12-Cargo'!F29</f>
        <v>500000</v>
      </c>
    </row>
    <row r="353" spans="5:10" ht="16">
      <c r="E353" s="73">
        <f t="shared" si="22"/>
        <v>69</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69</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69</v>
      </c>
      <c r="F355" s="73" t="str">
        <f t="shared" si="23"/>
        <v/>
      </c>
      <c r="G355" s="397" t="str">
        <f>IF(H355="","",IF(AND(G336="",G337="",G338="",G339="",G340="",G341="",G342="",G343="",G344="",G345="",G346="",G347="",G348="",G349="",G350="",G351="",G352="",G353="",G354=""),"Cargo",""))</f>
        <v/>
      </c>
      <c r="H355" s="392" t="str">
        <f>IF('12-Cargo'!D34=0,"",'12-Cargo'!A34&amp;" : "&amp;ROUND('12-Cargo'!D34*100/(Tonnage/100),2)&amp;" Days")</f>
        <v/>
      </c>
      <c r="I355" s="403">
        <f>'12-Cargo'!H34</f>
        <v>0</v>
      </c>
      <c r="J355" s="266" t="str">
        <f>""</f>
        <v/>
      </c>
    </row>
    <row r="356" spans="5:10" ht="16">
      <c r="E356" s="73">
        <f t="shared" si="22"/>
        <v>69</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69</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69</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69</v>
      </c>
      <c r="F359" s="73" t="str">
        <f t="shared" si="23"/>
        <v/>
      </c>
      <c r="G359" s="397"/>
      <c r="H359" s="12" t="str">
        <f>IF('12-Cargo'!D44=0,"",IF('12-Cargo'!D45='12-Cargo'!$T$3,"","Armored ")&amp;'12-Cargo'!B44&amp;" Storage")</f>
        <v/>
      </c>
      <c r="I359" s="4">
        <f>SUM('12-Cargo'!H44:H45)</f>
        <v>0</v>
      </c>
      <c r="J359" s="265">
        <f>'12-Cargo'!F45</f>
        <v>0</v>
      </c>
    </row>
    <row r="360" spans="5:10" ht="16">
      <c r="E360" s="73">
        <f t="shared" si="22"/>
        <v>69</v>
      </c>
      <c r="F360" s="73" t="str">
        <f t="shared" si="23"/>
        <v/>
      </c>
      <c r="G360" s="397"/>
      <c r="H360" s="12" t="str">
        <f>IF('12-Cargo'!D46=0,"",IF('12-Cargo'!D47='12-Cargo'!$T$3,"","Armored ")&amp;'12-Cargo'!B46&amp;" Storage")</f>
        <v/>
      </c>
      <c r="I360" s="4">
        <f>SUM('12-Cargo'!H46:H47)</f>
        <v>0</v>
      </c>
      <c r="J360" s="265">
        <f>'12-Cargo'!F47</f>
        <v>0</v>
      </c>
    </row>
    <row r="361" spans="5:10" ht="16">
      <c r="E361" s="73">
        <f t="shared" si="22"/>
        <v>69</v>
      </c>
      <c r="F361" s="73" t="str">
        <f t="shared" si="23"/>
        <v/>
      </c>
      <c r="G361" s="398"/>
      <c r="H361" s="392" t="str">
        <f>IF('12-Cargo'!D48=0,"",IF('12-Cargo'!D49='12-Cargo'!$T$3,"","Armored ")&amp;'12-Cargo'!B48&amp;" Storage")</f>
        <v/>
      </c>
      <c r="I361" s="403">
        <f>SUM('12-Cargo'!H48:H49)</f>
        <v>0</v>
      </c>
      <c r="J361" s="266">
        <f>'12-Cargo'!F49</f>
        <v>0</v>
      </c>
    </row>
    <row r="362" spans="5:10" ht="16">
      <c r="E362" s="73">
        <f t="shared" si="22"/>
        <v>69</v>
      </c>
      <c r="F362" s="73" t="str">
        <f t="shared" si="23"/>
        <v/>
      </c>
      <c r="H362" s="12" t="str">
        <f>""</f>
        <v/>
      </c>
      <c r="J362" s="4" t="s">
        <v>2065</v>
      </c>
    </row>
    <row r="363" spans="5:10" ht="16">
      <c r="E363" s="73">
        <f t="shared" si="22"/>
        <v>69</v>
      </c>
      <c r="F363" s="73" t="str">
        <f t="shared" si="23"/>
        <v/>
      </c>
      <c r="H363" s="12" t="str">
        <f>""</f>
        <v/>
      </c>
      <c r="J363" s="4" t="s">
        <v>2065</v>
      </c>
    </row>
    <row r="364" spans="5:10" ht="16">
      <c r="E364" s="73">
        <f t="shared" si="22"/>
        <v>69</v>
      </c>
      <c r="F364" s="73" t="str">
        <f t="shared" si="23"/>
        <v/>
      </c>
      <c r="H364" s="12" t="str">
        <f>""</f>
        <v/>
      </c>
      <c r="J364" s="4" t="s">
        <v>2065</v>
      </c>
    </row>
    <row r="365" spans="5:10" ht="16">
      <c r="E365" s="73">
        <f t="shared" si="22"/>
        <v>69</v>
      </c>
      <c r="F365" s="73" t="str">
        <f t="shared" si="23"/>
        <v/>
      </c>
      <c r="H365" s="12" t="str">
        <f>""</f>
        <v/>
      </c>
      <c r="J365" s="4" t="s">
        <v>2065</v>
      </c>
    </row>
    <row r="366" spans="5:10" ht="16">
      <c r="E366" s="73">
        <f t="shared" si="22"/>
        <v>69</v>
      </c>
      <c r="F366" s="73" t="str">
        <f t="shared" si="23"/>
        <v/>
      </c>
      <c r="H366" s="12" t="str">
        <f>""</f>
        <v/>
      </c>
      <c r="J366" s="4" t="s">
        <v>2065</v>
      </c>
    </row>
    <row r="367" spans="5:10" ht="16">
      <c r="E367" s="73">
        <f t="shared" si="22"/>
        <v>69</v>
      </c>
      <c r="F367" s="73" t="str">
        <f t="shared" si="23"/>
        <v/>
      </c>
      <c r="H367" s="12" t="str">
        <f>""</f>
        <v/>
      </c>
      <c r="J367" s="4" t="s">
        <v>2065</v>
      </c>
    </row>
    <row r="368" spans="5:10" ht="16">
      <c r="E368" s="73">
        <f t="shared" si="22"/>
        <v>69</v>
      </c>
      <c r="F368" s="73" t="str">
        <f t="shared" si="23"/>
        <v/>
      </c>
      <c r="H368" s="12" t="str">
        <f>""</f>
        <v/>
      </c>
      <c r="J368" s="4" t="s">
        <v>2065</v>
      </c>
    </row>
    <row r="369" spans="5:10" ht="16">
      <c r="E369" s="73">
        <f t="shared" si="22"/>
        <v>69</v>
      </c>
      <c r="F369" s="73" t="str">
        <f t="shared" si="23"/>
        <v/>
      </c>
      <c r="H369" s="12" t="str">
        <f>""</f>
        <v/>
      </c>
      <c r="J369" s="4" t="s">
        <v>2065</v>
      </c>
    </row>
    <row r="370" spans="5:10">
      <c r="E370" s="73">
        <f t="shared" si="22"/>
        <v>70</v>
      </c>
      <c r="F370" s="73">
        <f t="shared" si="23"/>
        <v>70</v>
      </c>
      <c r="G370" s="401" t="s">
        <v>666</v>
      </c>
      <c r="H370" s="492">
        <f>SUM(J2:J369)</f>
        <v>1536124666.6666665</v>
      </c>
      <c r="I370" s="237" t="s">
        <v>2066</v>
      </c>
      <c r="J370" s="387" t="str">
        <f>""</f>
        <v/>
      </c>
    </row>
    <row r="371" spans="5:10" ht="16">
      <c r="E371" s="73">
        <f t="shared" si="22"/>
        <v>70</v>
      </c>
      <c r="F371" s="73" t="str">
        <f t="shared" si="23"/>
        <v/>
      </c>
      <c r="H371" s="12" t="str">
        <f>IF('Ship Info'!F3="No","","Purchase Price: ")</f>
        <v/>
      </c>
      <c r="I371" s="4" t="str">
        <f>""</f>
        <v/>
      </c>
      <c r="J371" s="4">
        <f>'Ship Info'!G2</f>
        <v>1536124666.6666665</v>
      </c>
    </row>
    <row r="372" spans="5:10" ht="16">
      <c r="E372" s="73">
        <f t="shared" si="22"/>
        <v>71</v>
      </c>
      <c r="F372" s="73">
        <f t="shared" si="23"/>
        <v>71</v>
      </c>
      <c r="G372" s="397" t="str">
        <f>"Ship's Expenses"</f>
        <v>Ship's Expenses</v>
      </c>
      <c r="H372" s="12" t="str">
        <f>'Ship Info'!A24</f>
        <v>Mortgage:</v>
      </c>
      <c r="I372" s="4" t="str">
        <f>""</f>
        <v/>
      </c>
      <c r="J372" s="265">
        <f>'Ship Info'!B24</f>
        <v>6400519.444444444</v>
      </c>
    </row>
    <row r="373" spans="5:10" ht="16">
      <c r="E373" s="73">
        <f t="shared" si="22"/>
        <v>72</v>
      </c>
      <c r="F373" s="73">
        <f t="shared" si="23"/>
        <v>72</v>
      </c>
      <c r="G373" s="397"/>
      <c r="H373" s="12" t="str">
        <f>'Ship Info'!A25</f>
        <v>Maintenance Cost</v>
      </c>
      <c r="I373" s="4" t="str">
        <f>""</f>
        <v/>
      </c>
      <c r="J373" s="265">
        <f>'Ship Info'!B25</f>
        <v>128010</v>
      </c>
    </row>
    <row r="374" spans="5:10" ht="16">
      <c r="E374" s="73">
        <f t="shared" si="22"/>
        <v>73</v>
      </c>
      <c r="F374" s="73">
        <f t="shared" si="23"/>
        <v>73</v>
      </c>
      <c r="G374" s="397"/>
      <c r="H374" s="12" t="str">
        <f>'Ship Info'!A26</f>
        <v>Life Support:</v>
      </c>
      <c r="I374" s="4" t="str">
        <f>""</f>
        <v/>
      </c>
      <c r="J374" s="265">
        <f>'Ship Info'!B26</f>
        <v>88000</v>
      </c>
    </row>
    <row r="375" spans="5:10" ht="16">
      <c r="E375" s="73">
        <f t="shared" si="22"/>
        <v>74</v>
      </c>
      <c r="F375" s="73">
        <f t="shared" si="23"/>
        <v>74</v>
      </c>
      <c r="G375" s="397"/>
      <c r="H375" s="12" t="str">
        <f>'Ship Info'!A27</f>
        <v>Crew Salaries:</v>
      </c>
      <c r="I375" s="4" t="str">
        <f>""</f>
        <v/>
      </c>
      <c r="J375" s="265">
        <f>'Ship Info'!B27</f>
        <v>183000</v>
      </c>
    </row>
    <row r="376" spans="5:10" ht="16">
      <c r="E376" s="73">
        <f t="shared" si="22"/>
        <v>75</v>
      </c>
      <c r="F376" s="73">
        <f t="shared" si="23"/>
        <v>75</v>
      </c>
      <c r="G376" s="398"/>
      <c r="H376" s="392" t="str">
        <f>'Ship Info'!A29</f>
        <v>Total Expenses:</v>
      </c>
      <c r="I376" s="403" t="str">
        <f>""</f>
        <v/>
      </c>
      <c r="J376" s="266">
        <f>'Ship Info'!B29</f>
        <v>6799529.444444444</v>
      </c>
    </row>
    <row r="377" spans="5:10" ht="16">
      <c r="E377" s="73">
        <f t="shared" ref="E377:E440" si="24">IF(H377="",E376,E376+1)</f>
        <v>75</v>
      </c>
      <c r="F377" s="73" t="str">
        <f t="shared" ref="F377:F440" si="25">IF(E377=E376,"",E377)</f>
        <v/>
      </c>
      <c r="G377" s="401" t="str">
        <f>IF(H377="","","Crew")</f>
        <v/>
      </c>
      <c r="H377" s="391" t="str">
        <f>IF('10-Crew'!F10=0,"",'10-Crew'!F10&amp;"x CAPTAIN")</f>
        <v/>
      </c>
      <c r="I377" s="237" t="str">
        <f>""</f>
        <v/>
      </c>
      <c r="J377" s="387">
        <f>'10-Crew'!G10</f>
        <v>0</v>
      </c>
    </row>
    <row r="378" spans="5:10" ht="16">
      <c r="E378" s="73">
        <f t="shared" si="24"/>
        <v>76</v>
      </c>
      <c r="F378" s="73">
        <f t="shared" si="25"/>
        <v>76</v>
      </c>
      <c r="G378" s="397" t="str">
        <f>IF(H378="","",IF(G377="","Crew",""))</f>
        <v>Crew</v>
      </c>
      <c r="H378" s="12" t="str">
        <f>IF('10-Crew'!F11=0,"",'10-Crew'!F11&amp;"x "&amp;'10-Crew'!A11)</f>
        <v>13x PILOT</v>
      </c>
      <c r="I378" s="4" t="str">
        <f>""</f>
        <v/>
      </c>
      <c r="J378" s="265">
        <f>'10-Crew'!G11</f>
        <v>78000</v>
      </c>
    </row>
    <row r="379" spans="5:10" ht="16">
      <c r="E379" s="73">
        <f t="shared" si="24"/>
        <v>77</v>
      </c>
      <c r="F379" s="73">
        <f t="shared" si="25"/>
        <v>77</v>
      </c>
      <c r="G379" s="397" t="str">
        <f>IF(H379="","",IF(AND(G377="",G378=""),"Crew",""))</f>
        <v/>
      </c>
      <c r="H379" s="12" t="str">
        <f>IF('10-Crew'!F12=0,"",'10-Crew'!F12&amp;"x "&amp;'10-Crew'!A12)</f>
        <v>1x ASTROGATOR</v>
      </c>
      <c r="I379" s="4" t="str">
        <f>""</f>
        <v/>
      </c>
      <c r="J379" s="265">
        <f>'10-Crew'!G12</f>
        <v>5000</v>
      </c>
    </row>
    <row r="380" spans="5:10" ht="16">
      <c r="E380" s="73">
        <f t="shared" si="24"/>
        <v>78</v>
      </c>
      <c r="F380" s="73">
        <f t="shared" si="25"/>
        <v>78</v>
      </c>
      <c r="G380" s="397" t="str">
        <f>IF(H380="","",IF(AND(G377="",G378="",G379=""),"Crew",""))</f>
        <v/>
      </c>
      <c r="H380" s="12" t="str">
        <f>IF('10-Crew'!F13=0,"",'10-Crew'!F13&amp;"x "&amp;'10-Crew'!A13)</f>
        <v>4x ENGINEER</v>
      </c>
      <c r="I380" s="4" t="str">
        <f>""</f>
        <v/>
      </c>
      <c r="J380" s="265">
        <f>'10-Crew'!G13</f>
        <v>16000</v>
      </c>
    </row>
    <row r="381" spans="5:10" ht="16">
      <c r="E381" s="73">
        <f t="shared" si="24"/>
        <v>79</v>
      </c>
      <c r="F381" s="73">
        <f t="shared" si="25"/>
        <v>79</v>
      </c>
      <c r="G381" s="397" t="str">
        <f>IF(H381="","",IF(AND(G377="",G378="",G379="",G380=""),"Crew",""))</f>
        <v/>
      </c>
      <c r="H381" s="12" t="str">
        <f>IF('10-Crew'!F14=0,"",'10-Crew'!F14&amp;"x "&amp;'10-Crew'!A14)</f>
        <v>1x MAINTENANCE</v>
      </c>
      <c r="I381" s="4" t="str">
        <f>""</f>
        <v/>
      </c>
      <c r="J381" s="265">
        <f>'10-Crew'!G14</f>
        <v>1000</v>
      </c>
    </row>
    <row r="382" spans="5:10" ht="16">
      <c r="E382" s="73">
        <f t="shared" si="24"/>
        <v>80</v>
      </c>
      <c r="F382" s="73">
        <f t="shared" si="25"/>
        <v>80</v>
      </c>
      <c r="G382" s="397" t="str">
        <f>IF(H382="","",IF(AND(G378="",G379="",G377="",G380="",G381=""),"Crew",""))</f>
        <v/>
      </c>
      <c r="H382" s="12" t="str">
        <f>IF('10-Crew'!F15=0,"",'10-Crew'!F15&amp;"x "&amp;'10-Crew'!A15)</f>
        <v>1x MEDIC</v>
      </c>
      <c r="I382" s="4" t="str">
        <f>""</f>
        <v/>
      </c>
      <c r="J382" s="265">
        <f>'10-Crew'!G15</f>
        <v>4000</v>
      </c>
    </row>
    <row r="383" spans="5:10" ht="16">
      <c r="E383" s="73">
        <f t="shared" si="24"/>
        <v>81</v>
      </c>
      <c r="F383" s="73">
        <f t="shared" si="25"/>
        <v>81</v>
      </c>
      <c r="G383" s="397" t="str">
        <f>IF(H383="","",IF(AND(G377="",G379="",G380="",G378="",G381="",G382=""),"Crew",""))</f>
        <v/>
      </c>
      <c r="H383" s="12" t="str">
        <f>IF('10-Crew'!F16=0,"",'10-Crew'!F16&amp;"x "&amp;'10-Crew'!A16)</f>
        <v>2x GUNNER</v>
      </c>
      <c r="I383" s="4" t="str">
        <f>""</f>
        <v/>
      </c>
      <c r="J383" s="265">
        <f>'10-Crew'!G16</f>
        <v>4000</v>
      </c>
    </row>
    <row r="384" spans="5:10" ht="16">
      <c r="E384" s="73">
        <f t="shared" si="24"/>
        <v>82</v>
      </c>
      <c r="F384" s="73">
        <f t="shared" si="25"/>
        <v>82</v>
      </c>
      <c r="G384" s="397" t="str">
        <f>IF(H384="","",IF(AND(G377="",G378="",G380="",G381="",G379="",G382="",G383=""),"Crew",""))</f>
        <v/>
      </c>
      <c r="H384" s="12" t="str">
        <f>IF('10-Crew'!F17=0,"",'10-Crew'!F17&amp;"x "&amp;'10-Crew'!A17&amp;", "&amp;'7-Sensors'!C13&amp;" Sensor Actions per Round")</f>
        <v>1x SENSOP, 1 Sensor Actions per Round</v>
      </c>
      <c r="I384" s="4" t="str">
        <f>""</f>
        <v/>
      </c>
      <c r="J384" s="265">
        <f>'10-Crew'!G17</f>
        <v>4000</v>
      </c>
    </row>
    <row r="385" spans="5:10" ht="16">
      <c r="E385" s="73">
        <f t="shared" si="24"/>
        <v>82</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82</v>
      </c>
      <c r="F386" s="73" t="str">
        <f t="shared" si="25"/>
        <v/>
      </c>
      <c r="G386" s="397" t="str">
        <f>IF(H386="","",IF(AND(G377="",G378="",G379="",G380="",G382="",G383="",G381="",G384="",G385=""),"Crew",""))</f>
        <v/>
      </c>
      <c r="H386" s="12" t="str">
        <f>IF('10-Crew'!F19=0,"",'10-Crew'!F19&amp;"x "&amp;'10-Crew'!A19)</f>
        <v/>
      </c>
      <c r="I386" s="4" t="str">
        <f>""</f>
        <v/>
      </c>
      <c r="J386" s="265">
        <f>'10-Crew'!G19</f>
        <v>0</v>
      </c>
    </row>
    <row r="387" spans="5:10" ht="15" customHeight="1">
      <c r="E387" s="73">
        <f t="shared" si="24"/>
        <v>82</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82</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82</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82</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82</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82</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83</v>
      </c>
      <c r="F393" s="73">
        <f t="shared" si="25"/>
        <v>83</v>
      </c>
      <c r="G393" s="397" t="str">
        <f>IF(H393="","",IF(AND(G377="",G378="",G379="",G380="",G381="",G382="",G383="",G384="",G385="",G386="",G387="",G389="",G390="",G388="",G391="",G392=""),"Crew",""))</f>
        <v/>
      </c>
      <c r="H393" s="12" t="str">
        <f>IF('10-Crew'!F26=0,"",'10-Crew'!F26&amp;"x "&amp;'10-Crew'!A26)</f>
        <v>1x OFFICERS</v>
      </c>
      <c r="I393" s="4" t="str">
        <f>""</f>
        <v/>
      </c>
      <c r="J393" s="265">
        <f>'10-Crew'!G26</f>
        <v>5000</v>
      </c>
    </row>
    <row r="394" spans="5:10" ht="16">
      <c r="E394" s="73">
        <f t="shared" si="24"/>
        <v>84</v>
      </c>
      <c r="F394" s="73">
        <f t="shared" si="25"/>
        <v>84</v>
      </c>
      <c r="G394" s="397" t="str">
        <f>IF(H394="","",IF(AND(G377="",G378="",G379="",G380="",G381="",G382="",G383="",G384="",G385="",G386="",G387="",G388="",G390="",G391="",G389="",G392="",G393=""),"Crew",""))</f>
        <v/>
      </c>
      <c r="H394" s="12" t="str">
        <f>IF('10-Crew'!F27=0,"",'10-Crew'!F27&amp;"x "&amp;'10-Crew'!A27)</f>
        <v>18x GENERAL CREW</v>
      </c>
      <c r="I394" s="4" t="str">
        <f>""</f>
        <v/>
      </c>
      <c r="J394" s="265">
        <f>'10-Crew'!G27</f>
        <v>18000</v>
      </c>
    </row>
    <row r="395" spans="5:10" ht="16">
      <c r="E395" s="73">
        <f t="shared" si="24"/>
        <v>85</v>
      </c>
      <c r="F395" s="73">
        <f t="shared" si="25"/>
        <v>85</v>
      </c>
      <c r="G395" s="397" t="str">
        <f>IF(H395="","",IF(AND(G377="",G378="",G379="",G380="",G381="",G382="",G383="",G384="",G385="",G386="",G387="",G388="",G389="",G391="",G392="",G390="",G393="",G394=""),"Crew",""))</f>
        <v/>
      </c>
      <c r="H395" s="12" t="str">
        <f>IF('10-Crew'!F28=0,"",'10-Crew'!F28&amp;"x "&amp;'10-Crew'!A28)</f>
        <v>12x SCIENTISTS</v>
      </c>
      <c r="I395" s="4" t="str">
        <f>""</f>
        <v/>
      </c>
      <c r="J395" s="265">
        <f>'10-Crew'!G28</f>
        <v>48000</v>
      </c>
    </row>
    <row r="396" spans="5:10" ht="16">
      <c r="E396" s="73">
        <f t="shared" si="24"/>
        <v>86</v>
      </c>
      <c r="F396" s="73">
        <f t="shared" si="25"/>
        <v>86</v>
      </c>
      <c r="G396" s="401" t="s">
        <v>55</v>
      </c>
      <c r="H396" s="391" t="s">
        <v>2164</v>
      </c>
      <c r="I396" s="237" t="str">
        <f>"Available:"</f>
        <v>Available:</v>
      </c>
      <c r="J396" s="387" t="str">
        <f>'3-Pwr Plant'!L6&amp;" PP"</f>
        <v>850 PP</v>
      </c>
    </row>
    <row r="397" spans="5:10" ht="16">
      <c r="E397" s="73">
        <f t="shared" si="24"/>
        <v>87</v>
      </c>
      <c r="F397" s="73">
        <f t="shared" si="25"/>
        <v>87</v>
      </c>
      <c r="G397" s="397"/>
      <c r="H397" s="12" t="s">
        <v>744</v>
      </c>
      <c r="I397" s="4" t="str">
        <f>""</f>
        <v/>
      </c>
      <c r="J397" s="265" t="str">
        <f>'3-Pwr Plant'!O9&amp;"/"&amp;'3-Pwr Plant'!O10&amp;" ("&amp;'3-Pwr Plant'!O9/2&amp;") PP"</f>
        <v>200/0 (100) PP</v>
      </c>
    </row>
    <row r="398" spans="5:10" ht="16">
      <c r="E398" s="73">
        <f t="shared" si="24"/>
        <v>88</v>
      </c>
      <c r="F398" s="73">
        <f t="shared" si="25"/>
        <v>88</v>
      </c>
      <c r="G398" s="397"/>
      <c r="H398" s="12" t="str">
        <f>IF(SUM('3-Pwr Plant'!O12,'3-Pwr Plant'!O14)=0,"","Jump")</f>
        <v>Jump</v>
      </c>
      <c r="I398" s="4" t="str">
        <f>""</f>
        <v/>
      </c>
      <c r="J398" s="265" t="str">
        <f>'3-Pwr Plant'!O12&amp;"/"&amp;'3-Pwr Plant'!O14&amp;" PP"</f>
        <v>300/0 PP</v>
      </c>
    </row>
    <row r="399" spans="5:10" ht="16">
      <c r="E399" s="73">
        <f t="shared" si="24"/>
        <v>89</v>
      </c>
      <c r="F399" s="73">
        <f t="shared" si="25"/>
        <v>89</v>
      </c>
      <c r="G399" s="397"/>
      <c r="H399" s="12" t="str">
        <f>IF(SUM('3-Pwr Plant'!O11,'3-Pwr Plant'!O13)=0,"","Maneuver")</f>
        <v>Maneuver</v>
      </c>
      <c r="I399" s="4" t="str">
        <f>""</f>
        <v/>
      </c>
      <c r="J399" s="265" t="str">
        <f>'3-Pwr Plant'!O11&amp;" ("&amp;'3-Pwr Plant'!O11&amp;"/"&amp;'3-Pwr Plant'!O13&amp;") PP"</f>
        <v>150 (150/0) PP</v>
      </c>
    </row>
    <row r="400" spans="5:10" ht="16">
      <c r="E400" s="73">
        <f t="shared" si="24"/>
        <v>90</v>
      </c>
      <c r="F400" s="73">
        <f t="shared" si="25"/>
        <v>90</v>
      </c>
      <c r="G400" s="397"/>
      <c r="H400" s="12" t="str">
        <f>IF('3-Pwr Plant'!O15=0,"",'3-Pwr Plant'!N15)</f>
        <v>Fuel</v>
      </c>
      <c r="I400" s="4" t="str">
        <f>""</f>
        <v/>
      </c>
      <c r="J400" s="265" t="str">
        <f>'3-Pwr Plant'!O15&amp;" PP"</f>
        <v>16 PP</v>
      </c>
    </row>
    <row r="401" spans="5:10" ht="16">
      <c r="E401" s="73">
        <f t="shared" si="24"/>
        <v>91</v>
      </c>
      <c r="F401" s="73">
        <f t="shared" si="25"/>
        <v>91</v>
      </c>
      <c r="G401" s="397"/>
      <c r="H401" s="12" t="str">
        <f>IF('3-Pwr Plant'!O16=0,"",'3-Pwr Plant'!N16)</f>
        <v>Sensors</v>
      </c>
      <c r="I401" s="4" t="str">
        <f>""</f>
        <v/>
      </c>
      <c r="J401" s="265" t="str">
        <f>'3-Pwr Plant'!O16&amp;" PP"</f>
        <v>49 PP</v>
      </c>
    </row>
    <row r="402" spans="5:10" ht="16">
      <c r="E402" s="73">
        <f t="shared" si="24"/>
        <v>92</v>
      </c>
      <c r="F402" s="73">
        <f t="shared" si="25"/>
        <v>92</v>
      </c>
      <c r="G402" s="397"/>
      <c r="H402" s="12" t="str">
        <f>IF('3-Pwr Plant'!O17=0,"","Weapons")</f>
        <v>Weapons</v>
      </c>
      <c r="I402" s="4" t="str">
        <f>""</f>
        <v/>
      </c>
      <c r="J402" s="265" t="str">
        <f>'3-Pwr Plant'!O17&amp;" ("&amp;'3-Pwr Plant'!O17&amp;") PP"</f>
        <v>125 (125) PP</v>
      </c>
    </row>
    <row r="403" spans="5:10" ht="16">
      <c r="E403" s="73">
        <f t="shared" si="24"/>
        <v>92</v>
      </c>
      <c r="F403" s="73" t="str">
        <f t="shared" si="25"/>
        <v/>
      </c>
      <c r="G403" s="397"/>
      <c r="H403" s="12" t="str">
        <f>IF('3-Pwr Plant'!O18=0,"","Screens")</f>
        <v/>
      </c>
      <c r="I403" s="4" t="str">
        <f>""</f>
        <v/>
      </c>
      <c r="J403" s="265" t="str">
        <f>'3-Pwr Plant'!O18&amp;" ("&amp;'3-Pwr Plant'!O18&amp;") PP"</f>
        <v>0 (0) PP</v>
      </c>
    </row>
    <row r="404" spans="5:10" ht="16">
      <c r="E404" s="73">
        <f t="shared" si="24"/>
        <v>92</v>
      </c>
      <c r="F404" s="73" t="str">
        <f t="shared" si="25"/>
        <v/>
      </c>
      <c r="G404" s="397"/>
      <c r="H404" s="12" t="str">
        <f>IF('9a-Optional'!S32=0,"","Extra-Vehicular Operations")</f>
        <v/>
      </c>
      <c r="I404" s="4" t="str">
        <f>""</f>
        <v/>
      </c>
      <c r="J404" s="265" t="str">
        <f>'9a-Optional'!S32&amp;" PP"</f>
        <v>0 PP</v>
      </c>
    </row>
    <row r="405" spans="5:10" ht="16">
      <c r="E405" s="73">
        <f t="shared" si="24"/>
        <v>93</v>
      </c>
      <c r="F405" s="73">
        <f t="shared" si="25"/>
        <v>93</v>
      </c>
      <c r="G405" s="397"/>
      <c r="H405" s="12" t="str">
        <f>IF('9b-Optional'!S13=0,"","Optional Components")</f>
        <v>Optional Components</v>
      </c>
      <c r="I405" s="4" t="str">
        <f>""</f>
        <v/>
      </c>
      <c r="J405" s="265" t="str">
        <f>'9b-Optional'!S13&amp;" PP"</f>
        <v>2 PP</v>
      </c>
    </row>
    <row r="406" spans="5:10" ht="16">
      <c r="E406" s="73">
        <f t="shared" si="24"/>
        <v>94</v>
      </c>
      <c r="F406" s="73">
        <f t="shared" si="25"/>
        <v>94</v>
      </c>
      <c r="G406" s="397"/>
      <c r="H406" s="12" t="str">
        <f>IF(SUM('3-Pwr Plant'!O20:O22)=0,"","Miscellaneous")</f>
        <v>Miscellaneous</v>
      </c>
      <c r="I406" s="4" t="str">
        <f>""</f>
        <v/>
      </c>
      <c r="J406" s="265" t="str">
        <f>SUM('3-Pwr Plant'!O20:O22)&amp;" PP"</f>
        <v>2 PP</v>
      </c>
    </row>
    <row r="407" spans="5:10" ht="16">
      <c r="E407" s="73">
        <f t="shared" si="24"/>
        <v>95</v>
      </c>
      <c r="F407" s="73">
        <f t="shared" si="25"/>
        <v>95</v>
      </c>
      <c r="G407" s="398"/>
      <c r="H407" s="392" t="s">
        <v>2165</v>
      </c>
      <c r="I407" s="403" t="str">
        <f>""</f>
        <v/>
      </c>
      <c r="J407" s="266" t="str">
        <f>'3-Pwr Plant'!O23&amp;" ("&amp;'3-Pwr Plant'!O26&amp;")"</f>
        <v>844 (424)</v>
      </c>
    </row>
    <row r="408" spans="5:10">
      <c r="E408" s="73">
        <f t="shared" si="24"/>
        <v>95</v>
      </c>
      <c r="F408" s="73" t="str">
        <f t="shared" si="25"/>
        <v/>
      </c>
      <c r="G408" s="397" t="str">
        <f>IF(H408="","","Narrative")</f>
        <v/>
      </c>
      <c r="H408" s="51" t="str">
        <f>'Ship Info'!A38</f>
        <v/>
      </c>
      <c r="I408" s="4" t="str">
        <f>""</f>
        <v/>
      </c>
      <c r="J408" s="265" t="str">
        <f>""</f>
        <v/>
      </c>
    </row>
    <row r="409" spans="5:10">
      <c r="E409" s="73">
        <f t="shared" si="24"/>
        <v>95</v>
      </c>
      <c r="F409" s="73" t="str">
        <f t="shared" si="25"/>
        <v/>
      </c>
      <c r="G409" s="397"/>
      <c r="H409" s="51" t="str">
        <f>'Ship Info'!A39</f>
        <v/>
      </c>
      <c r="I409" s="4" t="str">
        <f>""</f>
        <v/>
      </c>
      <c r="J409" s="265" t="str">
        <f>""</f>
        <v/>
      </c>
    </row>
    <row r="410" spans="5:10">
      <c r="E410" s="73">
        <f t="shared" si="24"/>
        <v>95</v>
      </c>
      <c r="F410" s="73" t="str">
        <f t="shared" si="25"/>
        <v/>
      </c>
      <c r="G410" s="397"/>
      <c r="H410" s="51" t="str">
        <f>'Ship Info'!A40</f>
        <v/>
      </c>
      <c r="I410" s="4" t="str">
        <f>""</f>
        <v/>
      </c>
      <c r="J410" s="265" t="str">
        <f>""</f>
        <v/>
      </c>
    </row>
    <row r="411" spans="5:10">
      <c r="E411" s="73">
        <f t="shared" si="24"/>
        <v>95</v>
      </c>
      <c r="F411" s="73" t="str">
        <f t="shared" si="25"/>
        <v/>
      </c>
      <c r="G411" s="397"/>
      <c r="H411" s="51" t="str">
        <f>'Ship Info'!A41</f>
        <v/>
      </c>
      <c r="I411" s="4" t="str">
        <f>""</f>
        <v/>
      </c>
      <c r="J411" s="265" t="str">
        <f>""</f>
        <v/>
      </c>
    </row>
    <row r="412" spans="5:10">
      <c r="E412" s="73">
        <f t="shared" si="24"/>
        <v>95</v>
      </c>
      <c r="F412" s="73" t="str">
        <f t="shared" si="25"/>
        <v/>
      </c>
      <c r="G412" s="397"/>
      <c r="H412" s="51" t="str">
        <f>'Ship Info'!A42</f>
        <v/>
      </c>
      <c r="I412" s="4" t="str">
        <f>""</f>
        <v/>
      </c>
      <c r="J412" s="265" t="str">
        <f>""</f>
        <v/>
      </c>
    </row>
    <row r="413" spans="5:10">
      <c r="E413" s="73">
        <f t="shared" si="24"/>
        <v>95</v>
      </c>
      <c r="F413" s="73" t="str">
        <f t="shared" si="25"/>
        <v/>
      </c>
      <c r="G413" s="397"/>
      <c r="H413" s="51" t="str">
        <f>'Ship Info'!A43</f>
        <v/>
      </c>
      <c r="I413" s="4" t="str">
        <f>""</f>
        <v/>
      </c>
      <c r="J413" s="265" t="str">
        <f>""</f>
        <v/>
      </c>
    </row>
    <row r="414" spans="5:10">
      <c r="E414" s="73">
        <f t="shared" si="24"/>
        <v>95</v>
      </c>
      <c r="F414" s="73" t="str">
        <f t="shared" si="25"/>
        <v/>
      </c>
      <c r="G414" s="397"/>
      <c r="H414" s="51" t="str">
        <f>'Ship Info'!A44</f>
        <v/>
      </c>
      <c r="I414" s="4" t="str">
        <f>""</f>
        <v/>
      </c>
      <c r="J414" s="265" t="str">
        <f>""</f>
        <v/>
      </c>
    </row>
    <row r="415" spans="5:10">
      <c r="E415" s="73">
        <f t="shared" si="24"/>
        <v>95</v>
      </c>
      <c r="F415" s="73" t="str">
        <f t="shared" si="25"/>
        <v/>
      </c>
      <c r="G415" s="397"/>
      <c r="H415" s="51" t="str">
        <f>'Ship Info'!A45</f>
        <v/>
      </c>
      <c r="I415" s="4" t="str">
        <f>""</f>
        <v/>
      </c>
      <c r="J415" s="265" t="str">
        <f>""</f>
        <v/>
      </c>
    </row>
    <row r="416" spans="5:10">
      <c r="E416" s="73">
        <f t="shared" si="24"/>
        <v>95</v>
      </c>
      <c r="F416" s="73" t="str">
        <f t="shared" si="25"/>
        <v/>
      </c>
      <c r="G416" s="397"/>
      <c r="H416" s="51" t="str">
        <f>'Ship Info'!A46</f>
        <v/>
      </c>
      <c r="I416" s="4" t="str">
        <f>""</f>
        <v/>
      </c>
      <c r="J416" s="265" t="str">
        <f>""</f>
        <v/>
      </c>
    </row>
    <row r="417" spans="5:10">
      <c r="E417" s="73">
        <f t="shared" si="24"/>
        <v>95</v>
      </c>
      <c r="F417" s="73" t="str">
        <f t="shared" si="25"/>
        <v/>
      </c>
      <c r="G417" s="397"/>
      <c r="H417" s="51" t="str">
        <f>'Ship Info'!A47</f>
        <v/>
      </c>
      <c r="I417" s="4" t="str">
        <f>""</f>
        <v/>
      </c>
      <c r="J417" s="265" t="str">
        <f>""</f>
        <v/>
      </c>
    </row>
    <row r="418" spans="5:10">
      <c r="E418" s="73">
        <f t="shared" si="24"/>
        <v>95</v>
      </c>
      <c r="F418" s="73" t="str">
        <f t="shared" si="25"/>
        <v/>
      </c>
      <c r="G418" s="397"/>
      <c r="H418" s="51" t="str">
        <f>'Ship Info'!A48</f>
        <v/>
      </c>
      <c r="I418" s="4" t="str">
        <f>""</f>
        <v/>
      </c>
      <c r="J418" s="265" t="str">
        <f>""</f>
        <v/>
      </c>
    </row>
    <row r="419" spans="5:10">
      <c r="E419" s="73">
        <f t="shared" si="24"/>
        <v>95</v>
      </c>
      <c r="F419" s="73" t="str">
        <f t="shared" si="25"/>
        <v/>
      </c>
      <c r="G419" s="397"/>
      <c r="H419" s="51" t="str">
        <f>'Ship Info'!A49</f>
        <v/>
      </c>
      <c r="I419" s="4" t="str">
        <f>""</f>
        <v/>
      </c>
      <c r="J419" s="265" t="str">
        <f>""</f>
        <v/>
      </c>
    </row>
    <row r="420" spans="5:10">
      <c r="E420" s="73">
        <f t="shared" si="24"/>
        <v>95</v>
      </c>
      <c r="F420" s="73" t="str">
        <f t="shared" si="25"/>
        <v/>
      </c>
      <c r="G420" s="397"/>
      <c r="H420" s="51" t="str">
        <f>'Ship Info'!A50</f>
        <v/>
      </c>
      <c r="I420" s="4" t="str">
        <f>""</f>
        <v/>
      </c>
      <c r="J420" s="265" t="str">
        <f>""</f>
        <v/>
      </c>
    </row>
    <row r="421" spans="5:10">
      <c r="E421" s="73">
        <f t="shared" si="24"/>
        <v>95</v>
      </c>
      <c r="F421" s="73" t="str">
        <f t="shared" si="25"/>
        <v/>
      </c>
      <c r="G421" s="397"/>
      <c r="H421" s="51" t="str">
        <f>'Ship Info'!A51</f>
        <v/>
      </c>
      <c r="I421" s="4" t="str">
        <f>""</f>
        <v/>
      </c>
      <c r="J421" s="265" t="str">
        <f>""</f>
        <v/>
      </c>
    </row>
    <row r="422" spans="5:10">
      <c r="E422" s="73">
        <f t="shared" si="24"/>
        <v>95</v>
      </c>
      <c r="F422" s="73" t="str">
        <f t="shared" si="25"/>
        <v/>
      </c>
      <c r="G422" s="397"/>
      <c r="H422" s="51" t="str">
        <f>'Ship Info'!A52</f>
        <v/>
      </c>
      <c r="I422" s="4" t="str">
        <f>""</f>
        <v/>
      </c>
      <c r="J422" s="265" t="str">
        <f>""</f>
        <v/>
      </c>
    </row>
    <row r="423" spans="5:10">
      <c r="E423" s="73">
        <f t="shared" si="24"/>
        <v>95</v>
      </c>
      <c r="F423" s="73" t="str">
        <f t="shared" si="25"/>
        <v/>
      </c>
      <c r="G423" s="397"/>
      <c r="H423" s="51" t="str">
        <f>'Ship Info'!A53</f>
        <v/>
      </c>
      <c r="I423" s="4" t="str">
        <f>""</f>
        <v/>
      </c>
      <c r="J423" s="265" t="str">
        <f>""</f>
        <v/>
      </c>
    </row>
    <row r="424" spans="5:10">
      <c r="E424" s="73">
        <f t="shared" si="24"/>
        <v>95</v>
      </c>
      <c r="F424" s="73" t="str">
        <f t="shared" si="25"/>
        <v/>
      </c>
      <c r="G424" s="397"/>
      <c r="H424" s="51" t="str">
        <f>'Ship Info'!A54</f>
        <v/>
      </c>
      <c r="I424" s="4" t="str">
        <f>""</f>
        <v/>
      </c>
      <c r="J424" s="265" t="str">
        <f>""</f>
        <v/>
      </c>
    </row>
    <row r="425" spans="5:10">
      <c r="E425" s="73">
        <f t="shared" si="24"/>
        <v>95</v>
      </c>
      <c r="F425" s="73" t="str">
        <f t="shared" si="25"/>
        <v/>
      </c>
      <c r="G425" s="397"/>
      <c r="H425" s="51" t="str">
        <f>'Ship Info'!A55</f>
        <v/>
      </c>
      <c r="I425" s="4" t="str">
        <f>""</f>
        <v/>
      </c>
      <c r="J425" s="265" t="str">
        <f>""</f>
        <v/>
      </c>
    </row>
    <row r="426" spans="5:10">
      <c r="E426" s="73">
        <f t="shared" si="24"/>
        <v>95</v>
      </c>
      <c r="F426" s="73" t="str">
        <f t="shared" si="25"/>
        <v/>
      </c>
      <c r="G426" s="397"/>
      <c r="H426" s="51" t="str">
        <f>'Ship Info'!A56</f>
        <v/>
      </c>
      <c r="I426" s="4" t="str">
        <f>""</f>
        <v/>
      </c>
      <c r="J426" s="265" t="str">
        <f>""</f>
        <v/>
      </c>
    </row>
    <row r="427" spans="5:10" ht="16">
      <c r="E427" s="73">
        <f t="shared" si="24"/>
        <v>95</v>
      </c>
      <c r="F427" s="73" t="str">
        <f t="shared" si="25"/>
        <v/>
      </c>
      <c r="G427" s="398"/>
      <c r="H427" s="392" t="str">
        <f>'Ship Info'!A57</f>
        <v/>
      </c>
      <c r="I427" s="403"/>
      <c r="J427" s="266"/>
    </row>
    <row r="428" spans="5:10">
      <c r="E428" s="73">
        <f t="shared" si="24"/>
        <v>95</v>
      </c>
      <c r="F428" s="73" t="str">
        <f t="shared" si="25"/>
        <v/>
      </c>
    </row>
    <row r="429" spans="5:10">
      <c r="E429" s="73">
        <f t="shared" si="24"/>
        <v>95</v>
      </c>
      <c r="F429" s="73" t="str">
        <f t="shared" si="25"/>
        <v/>
      </c>
    </row>
    <row r="430" spans="5:10">
      <c r="E430" s="73">
        <f t="shared" si="24"/>
        <v>95</v>
      </c>
      <c r="F430" s="73" t="str">
        <f t="shared" si="25"/>
        <v/>
      </c>
    </row>
    <row r="431" spans="5:10">
      <c r="E431" s="73">
        <f t="shared" si="24"/>
        <v>95</v>
      </c>
      <c r="F431" s="73" t="str">
        <f t="shared" si="25"/>
        <v/>
      </c>
    </row>
    <row r="432" spans="5:10">
      <c r="E432" s="73">
        <f t="shared" si="24"/>
        <v>95</v>
      </c>
      <c r="F432" s="73" t="str">
        <f t="shared" si="25"/>
        <v/>
      </c>
    </row>
    <row r="433" spans="5:6">
      <c r="E433" s="73">
        <f t="shared" si="24"/>
        <v>95</v>
      </c>
      <c r="F433" s="73" t="str">
        <f t="shared" si="25"/>
        <v/>
      </c>
    </row>
    <row r="434" spans="5:6">
      <c r="E434" s="73">
        <f t="shared" si="24"/>
        <v>95</v>
      </c>
      <c r="F434" s="73" t="str">
        <f t="shared" si="25"/>
        <v/>
      </c>
    </row>
    <row r="435" spans="5:6">
      <c r="E435" s="73">
        <f t="shared" si="24"/>
        <v>95</v>
      </c>
      <c r="F435" s="73" t="str">
        <f t="shared" si="25"/>
        <v/>
      </c>
    </row>
    <row r="436" spans="5:6">
      <c r="E436" s="73">
        <f t="shared" si="24"/>
        <v>95</v>
      </c>
      <c r="F436" s="73" t="str">
        <f t="shared" si="25"/>
        <v/>
      </c>
    </row>
    <row r="437" spans="5:6">
      <c r="E437" s="73">
        <f t="shared" si="24"/>
        <v>95</v>
      </c>
      <c r="F437" s="73" t="str">
        <f t="shared" si="25"/>
        <v/>
      </c>
    </row>
    <row r="438" spans="5:6">
      <c r="E438" s="73">
        <f t="shared" si="24"/>
        <v>95</v>
      </c>
      <c r="F438" s="73" t="str">
        <f t="shared" si="25"/>
        <v/>
      </c>
    </row>
    <row r="439" spans="5:6">
      <c r="E439" s="73">
        <f t="shared" si="24"/>
        <v>95</v>
      </c>
      <c r="F439" s="73" t="str">
        <f t="shared" si="25"/>
        <v/>
      </c>
    </row>
    <row r="440" spans="5:6">
      <c r="E440" s="73">
        <f t="shared" si="24"/>
        <v>95</v>
      </c>
      <c r="F440" s="73" t="str">
        <f t="shared" si="25"/>
        <v/>
      </c>
    </row>
    <row r="441" spans="5:6">
      <c r="E441" s="73">
        <f t="shared" ref="E441:E468" si="26">IF(H441="",E440,E440+1)</f>
        <v>95</v>
      </c>
      <c r="F441" s="73" t="str">
        <f t="shared" ref="F441:F468" si="27">IF(E441=E440,"",E441)</f>
        <v/>
      </c>
    </row>
    <row r="442" spans="5:6">
      <c r="E442" s="73">
        <f t="shared" si="26"/>
        <v>95</v>
      </c>
      <c r="F442" s="73" t="str">
        <f t="shared" si="27"/>
        <v/>
      </c>
    </row>
    <row r="443" spans="5:6">
      <c r="E443" s="73">
        <f t="shared" si="26"/>
        <v>95</v>
      </c>
      <c r="F443" s="73" t="str">
        <f t="shared" si="27"/>
        <v/>
      </c>
    </row>
    <row r="444" spans="5:6">
      <c r="E444" s="73">
        <f t="shared" si="26"/>
        <v>95</v>
      </c>
      <c r="F444" s="73" t="str">
        <f t="shared" si="27"/>
        <v/>
      </c>
    </row>
    <row r="445" spans="5:6">
      <c r="E445" s="73">
        <f t="shared" si="26"/>
        <v>95</v>
      </c>
      <c r="F445" s="73" t="str">
        <f t="shared" si="27"/>
        <v/>
      </c>
    </row>
    <row r="446" spans="5:6">
      <c r="E446" s="73">
        <f t="shared" si="26"/>
        <v>95</v>
      </c>
      <c r="F446" s="73" t="str">
        <f t="shared" si="27"/>
        <v/>
      </c>
    </row>
    <row r="447" spans="5:6">
      <c r="E447" s="73">
        <f t="shared" si="26"/>
        <v>95</v>
      </c>
      <c r="F447" s="73" t="str">
        <f t="shared" si="27"/>
        <v/>
      </c>
    </row>
    <row r="448" spans="5:6">
      <c r="E448" s="73">
        <f t="shared" si="26"/>
        <v>95</v>
      </c>
      <c r="F448" s="73" t="str">
        <f t="shared" si="27"/>
        <v/>
      </c>
    </row>
    <row r="449" spans="5:10">
      <c r="E449" s="73">
        <f t="shared" si="26"/>
        <v>95</v>
      </c>
      <c r="F449" s="73" t="str">
        <f t="shared" si="27"/>
        <v/>
      </c>
    </row>
    <row r="450" spans="5:10">
      <c r="E450" s="73">
        <f t="shared" si="26"/>
        <v>95</v>
      </c>
      <c r="F450" s="73" t="str">
        <f t="shared" si="27"/>
        <v/>
      </c>
    </row>
    <row r="451" spans="5:10">
      <c r="E451" s="73">
        <f t="shared" si="26"/>
        <v>95</v>
      </c>
      <c r="F451" s="73" t="str">
        <f t="shared" si="27"/>
        <v/>
      </c>
    </row>
    <row r="452" spans="5:10">
      <c r="E452" s="73">
        <f t="shared" si="26"/>
        <v>95</v>
      </c>
      <c r="F452" s="73" t="str">
        <f t="shared" si="27"/>
        <v/>
      </c>
    </row>
    <row r="453" spans="5:10">
      <c r="E453" s="73">
        <f t="shared" si="26"/>
        <v>95</v>
      </c>
      <c r="F453" s="73" t="str">
        <f t="shared" si="27"/>
        <v/>
      </c>
    </row>
    <row r="454" spans="5:10">
      <c r="E454" s="73">
        <f t="shared" si="26"/>
        <v>95</v>
      </c>
      <c r="F454" s="73" t="str">
        <f t="shared" si="27"/>
        <v/>
      </c>
    </row>
    <row r="455" spans="5:10">
      <c r="E455" s="73">
        <f t="shared" si="26"/>
        <v>95</v>
      </c>
      <c r="F455" s="73" t="str">
        <f t="shared" si="27"/>
        <v/>
      </c>
    </row>
    <row r="456" spans="5:10">
      <c r="E456" s="73">
        <f t="shared" si="26"/>
        <v>95</v>
      </c>
      <c r="F456" s="73" t="str">
        <f t="shared" si="27"/>
        <v/>
      </c>
    </row>
    <row r="457" spans="5:10">
      <c r="E457" s="73">
        <f t="shared" si="26"/>
        <v>95</v>
      </c>
      <c r="F457" s="73" t="str">
        <f t="shared" si="27"/>
        <v/>
      </c>
    </row>
    <row r="458" spans="5:10" ht="16">
      <c r="E458" s="73">
        <f t="shared" si="26"/>
        <v>95</v>
      </c>
      <c r="F458" s="73" t="str">
        <f t="shared" si="27"/>
        <v/>
      </c>
      <c r="G458" s="526" t="str">
        <f t="shared" ref="G458:G468" si="28">IF(H458="","","ERROR")</f>
        <v/>
      </c>
      <c r="H458" s="527" t="str">
        <f>IF('2-Drives'!T72=0,"","DRIVE ERROR")</f>
        <v/>
      </c>
      <c r="I458" s="528" t="str">
        <f>""</f>
        <v/>
      </c>
      <c r="J458" s="528" t="str">
        <f>""</f>
        <v/>
      </c>
    </row>
    <row r="459" spans="5:10" ht="16">
      <c r="E459" s="73">
        <f t="shared" si="26"/>
        <v>95</v>
      </c>
      <c r="F459" s="73" t="str">
        <f t="shared" si="27"/>
        <v/>
      </c>
      <c r="G459" s="400" t="str">
        <f t="shared" si="28"/>
        <v/>
      </c>
      <c r="H459" s="12" t="str">
        <f>IF('3-Pwr Plant'!T40=0,"","POWER PLANT ERROR")</f>
        <v/>
      </c>
      <c r="I459" s="4" t="str">
        <f>""</f>
        <v/>
      </c>
      <c r="J459" s="4" t="str">
        <f>""</f>
        <v/>
      </c>
    </row>
    <row r="460" spans="5:10" ht="16">
      <c r="E460" s="73">
        <f t="shared" si="26"/>
        <v>95</v>
      </c>
      <c r="F460" s="73" t="str">
        <f t="shared" si="27"/>
        <v/>
      </c>
      <c r="G460" s="400" t="str">
        <f t="shared" si="28"/>
        <v/>
      </c>
      <c r="H460" s="12" t="str">
        <f>IF('4-Fuel'!T25=0,"","FUEL ERROR")</f>
        <v/>
      </c>
      <c r="I460" s="4" t="str">
        <f>""</f>
        <v/>
      </c>
      <c r="J460" s="4" t="str">
        <f>""</f>
        <v/>
      </c>
    </row>
    <row r="461" spans="5:10" ht="16">
      <c r="E461" s="73">
        <f t="shared" si="26"/>
        <v>95</v>
      </c>
      <c r="F461" s="73" t="str">
        <f t="shared" si="27"/>
        <v/>
      </c>
      <c r="G461" s="400" t="str">
        <f t="shared" si="28"/>
        <v/>
      </c>
      <c r="H461" s="12" t="str">
        <f>IF('5-Bridge'!T37=0,"","BRIDGE ERROR")</f>
        <v/>
      </c>
      <c r="I461" s="4" t="str">
        <f>""</f>
        <v/>
      </c>
      <c r="J461" s="4" t="str">
        <f>""</f>
        <v/>
      </c>
    </row>
    <row r="462" spans="5:10" ht="16">
      <c r="E462" s="73">
        <f t="shared" si="26"/>
        <v>95</v>
      </c>
      <c r="F462" s="73" t="str">
        <f t="shared" si="27"/>
        <v/>
      </c>
      <c r="G462" s="400" t="str">
        <f t="shared" si="28"/>
        <v/>
      </c>
      <c r="H462" s="12" t="str">
        <f>IF('6-Comp'!Y20=0,"","COMPUTER ERROR")</f>
        <v/>
      </c>
      <c r="I462" s="4" t="str">
        <f>""</f>
        <v/>
      </c>
      <c r="J462" s="4" t="str">
        <f>""</f>
        <v/>
      </c>
    </row>
    <row r="463" spans="5:10" ht="16">
      <c r="E463" s="73">
        <f t="shared" si="26"/>
        <v>95</v>
      </c>
      <c r="F463" s="73" t="str">
        <f t="shared" si="27"/>
        <v/>
      </c>
      <c r="G463" s="400" t="str">
        <f t="shared" si="28"/>
        <v/>
      </c>
      <c r="H463" s="12" t="str">
        <f>IF('7-Sensors'!Z15=0,"","SENSORS ERROR")</f>
        <v/>
      </c>
      <c r="I463" s="4" t="str">
        <f>""</f>
        <v/>
      </c>
      <c r="J463" s="4" t="str">
        <f>""</f>
        <v/>
      </c>
    </row>
    <row r="464" spans="5:10" ht="16">
      <c r="E464" s="73">
        <f t="shared" si="26"/>
        <v>95</v>
      </c>
      <c r="F464" s="73" t="str">
        <f t="shared" si="27"/>
        <v/>
      </c>
      <c r="G464" s="400" t="str">
        <f t="shared" si="28"/>
        <v/>
      </c>
      <c r="H464" s="12" t="str">
        <f>IF('8a-Weapons'!W55=0,"","WEAPONS ERROR")</f>
        <v/>
      </c>
      <c r="I464" s="4" t="str">
        <f>""</f>
        <v/>
      </c>
      <c r="J464" s="4" t="str">
        <f>""</f>
        <v/>
      </c>
    </row>
    <row r="465" spans="5:10" ht="16">
      <c r="E465" s="73">
        <f t="shared" si="26"/>
        <v>95</v>
      </c>
      <c r="F465" s="73" t="str">
        <f t="shared" si="27"/>
        <v/>
      </c>
      <c r="G465" s="400" t="str">
        <f t="shared" si="28"/>
        <v/>
      </c>
      <c r="H465" s="12" t="str">
        <f>IF('8b-Screens'!T48=0,"","SCREENS ERROR")</f>
        <v/>
      </c>
      <c r="I465" s="4" t="str">
        <f>""</f>
        <v/>
      </c>
      <c r="J465" s="4" t="str">
        <f>""</f>
        <v/>
      </c>
    </row>
    <row r="466" spans="5:10" ht="16">
      <c r="E466" s="73">
        <f t="shared" si="26"/>
        <v>95</v>
      </c>
      <c r="F466" s="73" t="str">
        <f t="shared" si="27"/>
        <v/>
      </c>
      <c r="G466" s="400" t="str">
        <f t="shared" si="28"/>
        <v/>
      </c>
      <c r="H466" s="12" t="str">
        <f>IF('9a-Optional'!V28=0,"","9a-OPTIONAL ERROR")</f>
        <v/>
      </c>
      <c r="I466" s="4" t="str">
        <f>""</f>
        <v/>
      </c>
      <c r="J466" s="4" t="str">
        <f>""</f>
        <v/>
      </c>
    </row>
    <row r="467" spans="5:10" ht="16">
      <c r="E467" s="73">
        <f t="shared" si="26"/>
        <v>95</v>
      </c>
      <c r="F467" s="73" t="str">
        <f t="shared" si="27"/>
        <v/>
      </c>
      <c r="G467" s="400" t="str">
        <f t="shared" si="28"/>
        <v/>
      </c>
      <c r="H467" s="12" t="str">
        <f>IF('9b-Optional'!T20=0,"","9b-OPTIONAL ERROR")</f>
        <v/>
      </c>
      <c r="I467" s="4" t="str">
        <f>""</f>
        <v/>
      </c>
      <c r="J467" s="4" t="str">
        <f>""</f>
        <v/>
      </c>
    </row>
    <row r="468" spans="5:10" ht="16">
      <c r="E468" s="73">
        <f t="shared" si="26"/>
        <v>95</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7" priority="1283">
      <formula>AND(A1="Staterooms",$G$468="ERROR")</formula>
    </cfRule>
    <cfRule type="expression" dxfId="726" priority="1284">
      <formula>AND(A1="Systems",$G$467="ERROR")</formula>
    </cfRule>
    <cfRule type="expression" dxfId="725" priority="1285">
      <formula>AND(A1="Systems",$G$466="ERROR")</formula>
    </cfRule>
    <cfRule type="expression" dxfId="724" priority="1286">
      <formula>AND(A1="Screens",$G$465="ERROR")</formula>
    </cfRule>
    <cfRule type="expression" dxfId="723" priority="1287">
      <formula>AND(A1="Weapons",$G$464="ERROR")</formula>
    </cfRule>
    <cfRule type="expression" dxfId="722" priority="1288">
      <formula>AND(A1="Sensors",$G$463="ERROR")</formula>
    </cfRule>
    <cfRule type="expression" dxfId="721" priority="1289">
      <formula>AND(A1="Computer",$G$462="ERROR")</formula>
    </cfRule>
    <cfRule type="expression" dxfId="720" priority="1290">
      <formula>AND(A1="Bridge",$G$461="ERROR")</formula>
    </cfRule>
    <cfRule type="expression" dxfId="719" priority="1291">
      <formula>AND(A1="Power Plant",$G$459="ERROR")</formula>
    </cfRule>
    <cfRule type="expression" dxfId="718" priority="1292">
      <formula>AND(A1="Fuel",$G$460="ERROR")</formula>
    </cfRule>
    <cfRule type="expression" dxfId="717" priority="1293">
      <formula>AND(RIGHT(A1,5)="Drive",$G$458="ERROR")</formula>
    </cfRule>
    <cfRule type="expression" dxfId="716" priority="1294">
      <formula>$A1="ERROR"</formula>
    </cfRule>
    <cfRule type="expression" dxfId="715" priority="1295">
      <formula>AND(A1="Hull",#REF!="ERROR")</formula>
    </cfRule>
  </conditionalFormatting>
  <conditionalFormatting sqref="A1:D1048576">
    <cfRule type="expression" dxfId="714"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3" priority="23">
      <formula>$G1="ERROR"</formula>
    </cfRule>
  </conditionalFormatting>
  <pageMargins left="0.25" right="0.25" top="0.25" bottom="0.2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topLeftCell="A16"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Scout</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Survey and Exploration Ship</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ht="12.75" customHeight="1">
      <c r="A2" s="761" t="str">
        <f>"Armor: "&amp;'1-Hull'!D9&amp;""&amp;IF('1-Hull'!AB34=TRUE,"/"&amp;'1-Hull'!D9+3&amp;" vs. Lasers","")</f>
        <v>Armor: 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
      </c>
      <c r="AQ2" s="761"/>
      <c r="AR2" s="761"/>
      <c r="AS2" s="761"/>
      <c r="AT2" s="761"/>
      <c r="AU2" s="761"/>
      <c r="AV2" s="761"/>
      <c r="AW2" s="761"/>
      <c r="AX2" s="761"/>
      <c r="AY2" s="761"/>
      <c r="AZ2" s="761"/>
      <c r="BA2" s="761"/>
      <c r="BB2" s="761"/>
      <c r="BC2" s="761"/>
      <c r="BD2" s="761"/>
      <c r="BE2" s="761"/>
      <c r="BF2" s="19"/>
      <c r="BG2" s="19" t="str">
        <f>'5-Bridge'!S22</f>
        <v>Bridge: No Modifiers</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2</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3.5" customHeight="1" thickBot="1">
      <c r="A3" s="759" t="str">
        <f>"Hull Points: "&amp;'1-Hull'!D7</f>
        <v>Hull Points: 400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1000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Needle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Streamlined/Atm+2</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54</v>
      </c>
      <c r="DJ3" s="762"/>
      <c r="DK3" s="762"/>
      <c r="DL3" s="762"/>
      <c r="DM3" s="762"/>
      <c r="DN3" s="762"/>
      <c r="DO3" s="762"/>
      <c r="DP3" s="762"/>
      <c r="DQ3" s="762"/>
      <c r="DR3" s="762"/>
      <c r="DS3" s="762"/>
      <c r="DT3" s="762"/>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780">
        <v>0</v>
      </c>
      <c r="DS6" s="781"/>
      <c r="DT6" s="780">
        <v>0</v>
      </c>
      <c r="DU6" s="781"/>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782"/>
      <c r="DS7" s="783"/>
      <c r="DT7" s="782"/>
      <c r="DU7" s="783"/>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780">
        <v>10</v>
      </c>
      <c r="DS8" s="781"/>
      <c r="DT8" s="780">
        <v>1</v>
      </c>
      <c r="DU8" s="781"/>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782"/>
      <c r="DS9" s="783"/>
      <c r="DT9" s="782"/>
      <c r="DU9" s="783"/>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780">
        <v>20</v>
      </c>
      <c r="DS10" s="781"/>
      <c r="DT10" s="780">
        <v>2</v>
      </c>
      <c r="DU10" s="781"/>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782"/>
      <c r="DS11" s="783"/>
      <c r="DT11" s="782"/>
      <c r="DU11" s="783"/>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780">
        <v>30</v>
      </c>
      <c r="DS12" s="781"/>
      <c r="DT12" s="780">
        <v>3</v>
      </c>
      <c r="DU12" s="781"/>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782"/>
      <c r="DS13" s="783"/>
      <c r="DT13" s="782"/>
      <c r="DU13" s="783"/>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780">
        <v>40</v>
      </c>
      <c r="DS14" s="781"/>
      <c r="DT14" s="780">
        <v>4</v>
      </c>
      <c r="DU14" s="781"/>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782"/>
      <c r="DS15" s="783"/>
      <c r="DT15" s="782"/>
      <c r="DU15" s="783"/>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780">
        <v>50</v>
      </c>
      <c r="DS16" s="781"/>
      <c r="DT16" s="780">
        <v>5</v>
      </c>
      <c r="DU16" s="781"/>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782"/>
      <c r="DS17" s="783"/>
      <c r="DT17" s="782"/>
      <c r="DU17" s="783"/>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780">
        <v>60</v>
      </c>
      <c r="DS18" s="781"/>
      <c r="DT18" s="780">
        <v>6</v>
      </c>
      <c r="DU18" s="781"/>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782"/>
      <c r="DS19" s="783"/>
      <c r="DT19" s="782"/>
      <c r="DU19" s="783"/>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780">
        <v>70</v>
      </c>
      <c r="DS20" s="781"/>
      <c r="DT20" s="780">
        <v>7</v>
      </c>
      <c r="DU20" s="781"/>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782"/>
      <c r="DS21" s="783"/>
      <c r="DT21" s="782"/>
      <c r="DU21" s="783"/>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776">
        <v>80</v>
      </c>
      <c r="DS22" s="777"/>
      <c r="DT22" s="780">
        <v>8</v>
      </c>
      <c r="DU22" s="781"/>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778"/>
      <c r="DS23" s="779"/>
      <c r="DT23" s="782"/>
      <c r="DU23" s="783"/>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780">
        <v>90</v>
      </c>
      <c r="DS24" s="781"/>
      <c r="DT24" s="780">
        <v>9</v>
      </c>
      <c r="DU24" s="781"/>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782"/>
      <c r="DS25" s="783"/>
      <c r="DT25" s="782"/>
      <c r="DU25" s="783"/>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775" t="str">
        <f>'Ship Info'!G22&amp;": "&amp;'Ship Info'!I31</f>
        <v>High Automation: DM+2 on all shipboard tasks</v>
      </c>
      <c r="BT29" s="775"/>
      <c r="BU29" s="775"/>
      <c r="BV29" s="775"/>
      <c r="BW29" s="775"/>
      <c r="BX29" s="775"/>
      <c r="BY29" s="775"/>
      <c r="BZ29" s="775"/>
      <c r="CA29" s="775"/>
      <c r="CB29" s="775"/>
      <c r="CC29" s="775"/>
      <c r="CD29" s="775"/>
      <c r="CE29" s="775"/>
      <c r="CF29" s="775"/>
      <c r="CG29" s="775"/>
      <c r="CH29" s="775"/>
      <c r="CI29" s="775"/>
      <c r="CJ29" s="775"/>
      <c r="CK29" s="775"/>
      <c r="CL29" s="775"/>
      <c r="CM29" s="775"/>
      <c r="CN29" s="775"/>
      <c r="CO29" s="775"/>
      <c r="CP29" s="775"/>
      <c r="CQ29" s="775"/>
      <c r="CR29" s="775"/>
      <c r="CS29" s="775"/>
      <c r="CT29" s="775"/>
      <c r="CU29" s="775"/>
      <c r="CV29" s="775"/>
      <c r="CW29" s="775"/>
      <c r="CX29" s="775"/>
      <c r="CY29" s="775"/>
      <c r="CZ29" s="775"/>
      <c r="DA29" s="775"/>
      <c r="DB29" s="775"/>
      <c r="DC29" s="775"/>
      <c r="DD29" s="775"/>
      <c r="DE29" s="775"/>
      <c r="DF29" s="775"/>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718" t="s">
        <v>307</v>
      </c>
      <c r="B30" s="719"/>
      <c r="C30" s="719"/>
      <c r="D30" s="719"/>
      <c r="E30" s="719"/>
      <c r="F30" s="719"/>
      <c r="G30" s="719"/>
      <c r="H30" s="719"/>
      <c r="I30" s="719"/>
      <c r="J30" s="719"/>
      <c r="K30" s="719"/>
      <c r="L30" s="719"/>
      <c r="M30" s="719"/>
      <c r="N30" s="719"/>
      <c r="O30" s="719"/>
      <c r="P30" s="719"/>
      <c r="Q30" s="719"/>
      <c r="R30" s="719"/>
      <c r="S30" s="719"/>
      <c r="T30" s="719"/>
      <c r="U30" s="719"/>
      <c r="V30" s="719"/>
      <c r="W30" s="719"/>
      <c r="X30" s="719"/>
      <c r="Y30" s="719"/>
      <c r="Z30" s="719"/>
      <c r="AA30" s="719"/>
      <c r="AB30" s="719"/>
      <c r="AC30" s="720"/>
      <c r="AD30" s="715" t="s">
        <v>326</v>
      </c>
      <c r="AE30" s="716"/>
      <c r="AF30" s="716"/>
      <c r="AG30" s="716"/>
      <c r="AH30" s="716"/>
      <c r="AI30" s="716"/>
      <c r="AJ30" s="716"/>
      <c r="AK30" s="716"/>
      <c r="AL30" s="716"/>
      <c r="AM30" s="716"/>
      <c r="AN30" s="717"/>
      <c r="AO30" s="715" t="s">
        <v>391</v>
      </c>
      <c r="AP30" s="716"/>
      <c r="AQ30" s="716"/>
      <c r="AR30" s="716"/>
      <c r="AS30" s="716"/>
      <c r="AT30" s="716"/>
      <c r="AU30" s="716"/>
      <c r="AV30" s="716"/>
      <c r="AW30" s="716"/>
      <c r="AX30" s="717"/>
      <c r="AY30" s="715" t="s">
        <v>713</v>
      </c>
      <c r="AZ30" s="716"/>
      <c r="BA30" s="716"/>
      <c r="BB30" s="716"/>
      <c r="BC30" s="716"/>
      <c r="BD30" s="716"/>
      <c r="BE30" s="716"/>
      <c r="BF30" s="716"/>
      <c r="BG30" s="716"/>
      <c r="BH30" s="716"/>
      <c r="BI30" s="716"/>
      <c r="BJ30" s="716"/>
      <c r="BK30" s="716"/>
      <c r="BL30" s="716"/>
      <c r="BM30" s="716"/>
      <c r="BN30" s="716"/>
      <c r="BO30" s="716"/>
      <c r="BP30" s="716"/>
      <c r="BQ30" s="716"/>
      <c r="BR30" s="717"/>
      <c r="BS30" s="715" t="s">
        <v>670</v>
      </c>
      <c r="BT30" s="764"/>
      <c r="BU30" s="764"/>
      <c r="BV30" s="764"/>
      <c r="BW30" s="764"/>
      <c r="BX30" s="764"/>
      <c r="BY30" s="764"/>
      <c r="BZ30" s="764"/>
      <c r="CA30" s="764"/>
      <c r="CB30" s="764"/>
      <c r="CC30" s="764"/>
      <c r="CD30" s="716" t="s">
        <v>669</v>
      </c>
      <c r="CE30" s="716"/>
      <c r="CF30" s="716"/>
      <c r="CG30" s="716"/>
      <c r="CH30" s="716"/>
      <c r="CI30" s="716"/>
      <c r="CJ30" s="716"/>
      <c r="CK30" s="716"/>
      <c r="CL30" s="716"/>
      <c r="CM30" s="716"/>
      <c r="CN30" s="716"/>
      <c r="CO30" s="716"/>
      <c r="CP30" s="716"/>
      <c r="CQ30" s="716"/>
      <c r="CR30" s="716"/>
      <c r="CS30" s="716"/>
      <c r="CT30" s="716"/>
      <c r="CU30" s="716"/>
      <c r="CV30" s="716"/>
      <c r="CW30" s="716"/>
      <c r="CX30" s="716"/>
      <c r="CY30" s="716"/>
      <c r="CZ30" s="716"/>
      <c r="DA30" s="716"/>
      <c r="DB30" s="716"/>
      <c r="DC30" s="716"/>
      <c r="DD30" s="716"/>
      <c r="DE30" s="716"/>
      <c r="DF30" s="716"/>
      <c r="DG30" s="716"/>
      <c r="DH30" s="716"/>
      <c r="DI30" s="716"/>
      <c r="DJ30" s="716"/>
      <c r="DK30" s="716"/>
      <c r="DL30" s="716"/>
      <c r="DM30" s="716"/>
      <c r="DN30" s="716"/>
      <c r="DO30" s="716"/>
      <c r="DP30" s="716"/>
      <c r="DQ30" s="716"/>
      <c r="DR30" s="716"/>
      <c r="DS30" s="716"/>
      <c r="DT30" s="717"/>
      <c r="DU30" s="50"/>
      <c r="DV30" s="51"/>
    </row>
    <row r="31" spans="1:126">
      <c r="A31" s="721" t="str">
        <f>'8a-Weapons'!AS113</f>
        <v>5x Triple Turret: Particle Beam</v>
      </c>
      <c r="B31" s="722"/>
      <c r="C31" s="722"/>
      <c r="D31" s="722"/>
      <c r="E31" s="722"/>
      <c r="F31" s="722"/>
      <c r="G31" s="722"/>
      <c r="H31" s="722"/>
      <c r="I31" s="722"/>
      <c r="J31" s="722"/>
      <c r="K31" s="722"/>
      <c r="L31" s="722"/>
      <c r="M31" s="722"/>
      <c r="N31" s="722"/>
      <c r="O31" s="722"/>
      <c r="P31" s="722"/>
      <c r="Q31" s="722"/>
      <c r="R31" s="722"/>
      <c r="S31" s="722"/>
      <c r="T31" s="722"/>
      <c r="U31" s="722"/>
      <c r="V31" s="722"/>
      <c r="W31" s="722"/>
      <c r="X31" s="722"/>
      <c r="Y31" s="722"/>
      <c r="Z31" s="722"/>
      <c r="AA31" s="722"/>
      <c r="AB31" s="722"/>
      <c r="AC31" s="723"/>
      <c r="AD31" s="724" t="str">
        <f>'8a-Weapons'!AQ28</f>
        <v>Very Long</v>
      </c>
      <c r="AE31" s="725"/>
      <c r="AF31" s="725"/>
      <c r="AG31" s="725"/>
      <c r="AH31" s="725"/>
      <c r="AI31" s="725"/>
      <c r="AJ31" s="725"/>
      <c r="AK31" s="725"/>
      <c r="AL31" s="725"/>
      <c r="AM31" s="725"/>
      <c r="AN31" s="726"/>
      <c r="AO31" s="706" t="str">
        <f>'8a-Weapons'!AR28</f>
        <v>3D+6</v>
      </c>
      <c r="AP31" s="707"/>
      <c r="AQ31" s="707"/>
      <c r="AR31" s="707"/>
      <c r="AS31" s="707"/>
      <c r="AT31" s="707"/>
      <c r="AU31" s="707"/>
      <c r="AV31" s="707"/>
      <c r="AW31" s="707"/>
      <c r="AX31" s="708"/>
      <c r="AY31" s="706" t="str">
        <f>'8a-Weapons'!AU113</f>
        <v/>
      </c>
      <c r="AZ31" s="707"/>
      <c r="BA31" s="707"/>
      <c r="BB31" s="707"/>
      <c r="BC31" s="707"/>
      <c r="BD31" s="707"/>
      <c r="BE31" s="707"/>
      <c r="BF31" s="707"/>
      <c r="BG31" s="707"/>
      <c r="BH31" s="707"/>
      <c r="BI31" s="707"/>
      <c r="BJ31" s="707"/>
      <c r="BK31" s="707"/>
      <c r="BL31" s="707"/>
      <c r="BM31" s="707"/>
      <c r="BN31" s="707"/>
      <c r="BO31" s="707"/>
      <c r="BP31" s="707"/>
      <c r="BQ31" s="707"/>
      <c r="BR31" s="708"/>
      <c r="BS31" s="766"/>
      <c r="BT31" s="767"/>
      <c r="BU31" s="771" t="s">
        <v>668</v>
      </c>
      <c r="BV31" s="772"/>
      <c r="BW31" s="772"/>
      <c r="BX31" s="772"/>
      <c r="BY31" s="772"/>
      <c r="BZ31" s="772"/>
      <c r="CA31" s="772"/>
      <c r="CB31" s="772"/>
      <c r="CC31" s="773"/>
      <c r="CD31" s="765">
        <v>1</v>
      </c>
      <c r="CE31" s="755"/>
      <c r="CF31" s="755"/>
      <c r="CG31" s="755"/>
      <c r="CH31" s="755"/>
      <c r="CI31" s="755"/>
      <c r="CJ31" s="755"/>
      <c r="CK31" s="755">
        <v>2</v>
      </c>
      <c r="CL31" s="755"/>
      <c r="CM31" s="755"/>
      <c r="CN31" s="755"/>
      <c r="CO31" s="755"/>
      <c r="CP31" s="755"/>
      <c r="CQ31" s="755"/>
      <c r="CR31" s="755"/>
      <c r="CS31" s="755">
        <v>3</v>
      </c>
      <c r="CT31" s="755"/>
      <c r="CU31" s="755"/>
      <c r="CV31" s="755"/>
      <c r="CW31" s="755"/>
      <c r="CX31" s="755"/>
      <c r="CY31" s="755"/>
      <c r="CZ31" s="755">
        <v>4</v>
      </c>
      <c r="DA31" s="755"/>
      <c r="DB31" s="755"/>
      <c r="DC31" s="755"/>
      <c r="DD31" s="755"/>
      <c r="DE31" s="755"/>
      <c r="DF31" s="755"/>
      <c r="DG31" s="755">
        <v>5</v>
      </c>
      <c r="DH31" s="755"/>
      <c r="DI31" s="755"/>
      <c r="DJ31" s="755"/>
      <c r="DK31" s="755"/>
      <c r="DL31" s="755"/>
      <c r="DM31" s="755"/>
      <c r="DN31" s="755">
        <v>6</v>
      </c>
      <c r="DO31" s="755"/>
      <c r="DP31" s="755"/>
      <c r="DQ31" s="755"/>
      <c r="DR31" s="755"/>
      <c r="DS31" s="755"/>
      <c r="DT31" s="756"/>
      <c r="DU31" s="50"/>
      <c r="DV31" s="51"/>
    </row>
    <row r="32" spans="1:126" ht="7.25" customHeight="1">
      <c r="A32" s="541" t="str">
        <f>'8a-Weapons'!AS114</f>
        <v/>
      </c>
      <c r="B32" s="542"/>
      <c r="C32" s="542"/>
      <c r="D32" s="542"/>
      <c r="E32" s="542"/>
      <c r="F32" s="542"/>
      <c r="G32" s="542"/>
      <c r="H32" s="542"/>
      <c r="I32" s="542"/>
      <c r="J32" s="542"/>
      <c r="K32" s="542"/>
      <c r="L32" s="542"/>
      <c r="M32" s="542"/>
      <c r="N32" s="542"/>
      <c r="O32" s="542"/>
      <c r="P32" s="542"/>
      <c r="Q32" s="542"/>
      <c r="R32" s="542"/>
      <c r="S32" s="542"/>
      <c r="T32" s="542"/>
      <c r="U32" s="542"/>
      <c r="V32" s="542"/>
      <c r="W32" s="542"/>
      <c r="X32" s="542"/>
      <c r="Y32" s="542"/>
      <c r="Z32" s="542"/>
      <c r="AA32" s="542"/>
      <c r="AB32" s="542"/>
      <c r="AC32" s="543"/>
      <c r="AD32" s="547" t="str">
        <f>'8a-Weapons'!AQ29</f>
        <v/>
      </c>
      <c r="AE32" s="548"/>
      <c r="AF32" s="548"/>
      <c r="AG32" s="548"/>
      <c r="AH32" s="548"/>
      <c r="AI32" s="548"/>
      <c r="AJ32" s="548"/>
      <c r="AK32" s="548"/>
      <c r="AL32" s="548"/>
      <c r="AM32" s="548"/>
      <c r="AN32" s="549"/>
      <c r="AO32" s="553" t="str">
        <f>'8a-Weapons'!AR29</f>
        <v/>
      </c>
      <c r="AP32" s="554"/>
      <c r="AQ32" s="554"/>
      <c r="AR32" s="554"/>
      <c r="AS32" s="554"/>
      <c r="AT32" s="554"/>
      <c r="AU32" s="554"/>
      <c r="AV32" s="554"/>
      <c r="AW32" s="554"/>
      <c r="AX32" s="555"/>
      <c r="AY32" s="553" t="str">
        <f>'8a-Weapons'!AU114</f>
        <v/>
      </c>
      <c r="AZ32" s="554"/>
      <c r="BA32" s="554"/>
      <c r="BB32" s="554"/>
      <c r="BC32" s="554"/>
      <c r="BD32" s="554"/>
      <c r="BE32" s="554"/>
      <c r="BF32" s="554"/>
      <c r="BG32" s="554"/>
      <c r="BH32" s="554"/>
      <c r="BI32" s="554"/>
      <c r="BJ32" s="554"/>
      <c r="BK32" s="554"/>
      <c r="BL32" s="554"/>
      <c r="BM32" s="554"/>
      <c r="BN32" s="554"/>
      <c r="BO32" s="554"/>
      <c r="BP32" s="554"/>
      <c r="BQ32" s="554"/>
      <c r="BR32" s="555"/>
      <c r="BS32" s="727">
        <v>2</v>
      </c>
      <c r="BT32" s="728"/>
      <c r="BU32" s="731" t="str">
        <f>"Sensors"&amp;IF('7-Sensors'!B33='7-Sensors'!S11,""," (CS-1)")</f>
        <v>Sensors</v>
      </c>
      <c r="BV32" s="731"/>
      <c r="BW32" s="731"/>
      <c r="BX32" s="731"/>
      <c r="BY32" s="731"/>
      <c r="BZ32" s="731"/>
      <c r="CA32" s="731"/>
      <c r="CB32" s="731"/>
      <c r="CC32" s="732"/>
      <c r="CD32" s="735" t="s">
        <v>675</v>
      </c>
      <c r="CE32" s="683"/>
      <c r="CF32" s="683"/>
      <c r="CG32" s="683"/>
      <c r="CH32" s="683"/>
      <c r="CI32" s="683"/>
      <c r="CJ32" s="684"/>
      <c r="CK32" s="682" t="s">
        <v>1427</v>
      </c>
      <c r="CL32" s="683"/>
      <c r="CM32" s="683"/>
      <c r="CN32" s="683"/>
      <c r="CO32" s="683"/>
      <c r="CP32" s="683"/>
      <c r="CQ32" s="683"/>
      <c r="CR32" s="684"/>
      <c r="CS32" s="682" t="s">
        <v>1427</v>
      </c>
      <c r="CT32" s="683"/>
      <c r="CU32" s="683"/>
      <c r="CV32" s="683"/>
      <c r="CW32" s="683"/>
      <c r="CX32" s="683"/>
      <c r="CY32" s="684"/>
      <c r="CZ32" s="682" t="s">
        <v>1427</v>
      </c>
      <c r="DA32" s="683"/>
      <c r="DB32" s="683"/>
      <c r="DC32" s="683"/>
      <c r="DD32" s="683"/>
      <c r="DE32" s="683"/>
      <c r="DF32" s="684"/>
      <c r="DG32" s="682" t="s">
        <v>1427</v>
      </c>
      <c r="DH32" s="683"/>
      <c r="DI32" s="683"/>
      <c r="DJ32" s="683"/>
      <c r="DK32" s="683"/>
      <c r="DL32" s="683"/>
      <c r="DM32" s="684"/>
      <c r="DN32" s="682" t="s">
        <v>672</v>
      </c>
      <c r="DO32" s="683"/>
      <c r="DP32" s="683"/>
      <c r="DQ32" s="683"/>
      <c r="DR32" s="683"/>
      <c r="DS32" s="683"/>
      <c r="DT32" s="754"/>
      <c r="DU32" s="50"/>
      <c r="DV32" s="51"/>
    </row>
    <row r="33" spans="1:126" ht="7.25" customHeight="1">
      <c r="A33" s="544"/>
      <c r="B33" s="545"/>
      <c r="C33" s="545"/>
      <c r="D33" s="545"/>
      <c r="E33" s="545"/>
      <c r="F33" s="545"/>
      <c r="G33" s="545"/>
      <c r="H33" s="545"/>
      <c r="I33" s="545"/>
      <c r="J33" s="545"/>
      <c r="K33" s="545"/>
      <c r="L33" s="545"/>
      <c r="M33" s="545"/>
      <c r="N33" s="545"/>
      <c r="O33" s="545"/>
      <c r="P33" s="545"/>
      <c r="Q33" s="545"/>
      <c r="R33" s="545"/>
      <c r="S33" s="545"/>
      <c r="T33" s="545"/>
      <c r="U33" s="545"/>
      <c r="V33" s="545"/>
      <c r="W33" s="545"/>
      <c r="X33" s="545"/>
      <c r="Y33" s="545"/>
      <c r="Z33" s="545"/>
      <c r="AA33" s="545"/>
      <c r="AB33" s="545"/>
      <c r="AC33" s="546"/>
      <c r="AD33" s="550"/>
      <c r="AE33" s="551"/>
      <c r="AF33" s="551"/>
      <c r="AG33" s="551"/>
      <c r="AH33" s="551"/>
      <c r="AI33" s="551"/>
      <c r="AJ33" s="551"/>
      <c r="AK33" s="551"/>
      <c r="AL33" s="551"/>
      <c r="AM33" s="551"/>
      <c r="AN33" s="552"/>
      <c r="AO33" s="556"/>
      <c r="AP33" s="557"/>
      <c r="AQ33" s="557"/>
      <c r="AR33" s="557"/>
      <c r="AS33" s="557"/>
      <c r="AT33" s="557"/>
      <c r="AU33" s="557"/>
      <c r="AV33" s="557"/>
      <c r="AW33" s="557"/>
      <c r="AX33" s="558"/>
      <c r="AY33" s="556"/>
      <c r="AZ33" s="557"/>
      <c r="BA33" s="557"/>
      <c r="BB33" s="557"/>
      <c r="BC33" s="557"/>
      <c r="BD33" s="557"/>
      <c r="BE33" s="557"/>
      <c r="BF33" s="557"/>
      <c r="BG33" s="557"/>
      <c r="BH33" s="557"/>
      <c r="BI33" s="557"/>
      <c r="BJ33" s="557"/>
      <c r="BK33" s="557"/>
      <c r="BL33" s="557"/>
      <c r="BM33" s="557"/>
      <c r="BN33" s="557"/>
      <c r="BO33" s="557"/>
      <c r="BP33" s="557"/>
      <c r="BQ33" s="557"/>
      <c r="BR33" s="558"/>
      <c r="BS33" s="729"/>
      <c r="BT33" s="730"/>
      <c r="BU33" s="733"/>
      <c r="BV33" s="733"/>
      <c r="BW33" s="733"/>
      <c r="BX33" s="733"/>
      <c r="BY33" s="733"/>
      <c r="BZ33" s="733"/>
      <c r="CA33" s="733"/>
      <c r="CB33" s="733"/>
      <c r="CC33" s="734"/>
      <c r="CD33" s="736"/>
      <c r="CE33" s="699"/>
      <c r="CF33" s="699"/>
      <c r="CG33" s="699"/>
      <c r="CH33" s="699"/>
      <c r="CI33" s="699"/>
      <c r="CJ33" s="700"/>
      <c r="CK33" s="570" t="s">
        <v>328</v>
      </c>
      <c r="CL33" s="571"/>
      <c r="CM33" s="571"/>
      <c r="CN33" s="571"/>
      <c r="CO33" s="571"/>
      <c r="CP33" s="571"/>
      <c r="CQ33" s="571"/>
      <c r="CR33" s="572"/>
      <c r="CS33" s="570" t="s">
        <v>1134</v>
      </c>
      <c r="CT33" s="571"/>
      <c r="CU33" s="571"/>
      <c r="CV33" s="571"/>
      <c r="CW33" s="571"/>
      <c r="CX33" s="571"/>
      <c r="CY33" s="572"/>
      <c r="CZ33" s="570" t="s">
        <v>633</v>
      </c>
      <c r="DA33" s="571"/>
      <c r="DB33" s="571"/>
      <c r="DC33" s="571"/>
      <c r="DD33" s="571"/>
      <c r="DE33" s="571"/>
      <c r="DF33" s="572"/>
      <c r="DG33" s="570" t="s">
        <v>330</v>
      </c>
      <c r="DH33" s="571"/>
      <c r="DI33" s="571"/>
      <c r="DJ33" s="571"/>
      <c r="DK33" s="571"/>
      <c r="DL33" s="571"/>
      <c r="DM33" s="572"/>
      <c r="DN33" s="698"/>
      <c r="DO33" s="699"/>
      <c r="DP33" s="699"/>
      <c r="DQ33" s="699"/>
      <c r="DR33" s="699"/>
      <c r="DS33" s="699"/>
      <c r="DT33" s="774"/>
      <c r="DU33" s="50"/>
      <c r="DV33" s="51"/>
    </row>
    <row r="34" spans="1:126">
      <c r="A34" s="705" t="str">
        <f>'8a-Weapons'!AS115</f>
        <v/>
      </c>
      <c r="B34" s="624"/>
      <c r="C34" s="624"/>
      <c r="D34" s="624"/>
      <c r="E34" s="624"/>
      <c r="F34" s="624"/>
      <c r="G34" s="624"/>
      <c r="H34" s="624"/>
      <c r="I34" s="624"/>
      <c r="J34" s="624"/>
      <c r="K34" s="624"/>
      <c r="L34" s="624"/>
      <c r="M34" s="624"/>
      <c r="N34" s="624"/>
      <c r="O34" s="624"/>
      <c r="P34" s="624"/>
      <c r="Q34" s="624"/>
      <c r="R34" s="624"/>
      <c r="S34" s="624"/>
      <c r="T34" s="624"/>
      <c r="U34" s="624"/>
      <c r="V34" s="624"/>
      <c r="W34" s="624"/>
      <c r="X34" s="624"/>
      <c r="Y34" s="624"/>
      <c r="Z34" s="624"/>
      <c r="AA34" s="624"/>
      <c r="AB34" s="624"/>
      <c r="AC34" s="625"/>
      <c r="AD34" s="630" t="str">
        <f>'8a-Weapons'!AQ30</f>
        <v/>
      </c>
      <c r="AE34" s="631"/>
      <c r="AF34" s="631"/>
      <c r="AG34" s="631"/>
      <c r="AH34" s="631"/>
      <c r="AI34" s="631"/>
      <c r="AJ34" s="631"/>
      <c r="AK34" s="631"/>
      <c r="AL34" s="631"/>
      <c r="AM34" s="631"/>
      <c r="AN34" s="632"/>
      <c r="AO34" s="636" t="str">
        <f>'8a-Weapons'!AR30</f>
        <v/>
      </c>
      <c r="AP34" s="637"/>
      <c r="AQ34" s="637"/>
      <c r="AR34" s="637"/>
      <c r="AS34" s="637"/>
      <c r="AT34" s="637"/>
      <c r="AU34" s="637"/>
      <c r="AV34" s="637"/>
      <c r="AW34" s="637"/>
      <c r="AX34" s="638"/>
      <c r="AY34" s="636" t="str">
        <f>'8a-Weapons'!AU115</f>
        <v/>
      </c>
      <c r="AZ34" s="637"/>
      <c r="BA34" s="637"/>
      <c r="BB34" s="637"/>
      <c r="BC34" s="637"/>
      <c r="BD34" s="637"/>
      <c r="BE34" s="637"/>
      <c r="BF34" s="637"/>
      <c r="BG34" s="637"/>
      <c r="BH34" s="637"/>
      <c r="BI34" s="637"/>
      <c r="BJ34" s="637"/>
      <c r="BK34" s="637"/>
      <c r="BL34" s="637"/>
      <c r="BM34" s="637"/>
      <c r="BN34" s="637"/>
      <c r="BO34" s="637"/>
      <c r="BP34" s="637"/>
      <c r="BQ34" s="637"/>
      <c r="BR34" s="638"/>
      <c r="BS34" s="678">
        <v>3</v>
      </c>
      <c r="BT34" s="679"/>
      <c r="BU34" s="673" t="str">
        <f>"Pwr Plant"&amp;IF('3-Pwr Plant'!C16="No",""," (CS-1)")</f>
        <v>Pwr Plant</v>
      </c>
      <c r="BV34" s="674"/>
      <c r="BW34" s="674"/>
      <c r="BX34" s="674"/>
      <c r="BY34" s="674"/>
      <c r="BZ34" s="674"/>
      <c r="CA34" s="674"/>
      <c r="CB34" s="674"/>
      <c r="CC34" s="675"/>
      <c r="CD34" s="610" t="s">
        <v>1423</v>
      </c>
      <c r="CE34" s="589"/>
      <c r="CF34" s="589"/>
      <c r="CG34" s="589"/>
      <c r="CH34" s="589"/>
      <c r="CI34" s="589"/>
      <c r="CJ34" s="590"/>
      <c r="CK34" s="588" t="s">
        <v>1423</v>
      </c>
      <c r="CL34" s="589"/>
      <c r="CM34" s="589"/>
      <c r="CN34" s="589"/>
      <c r="CO34" s="589"/>
      <c r="CP34" s="589"/>
      <c r="CQ34" s="589"/>
      <c r="CR34" s="590"/>
      <c r="CS34" s="588" t="s">
        <v>1424</v>
      </c>
      <c r="CT34" s="589"/>
      <c r="CU34" s="589"/>
      <c r="CV34" s="589"/>
      <c r="CW34" s="589"/>
      <c r="CX34" s="589"/>
      <c r="CY34" s="590"/>
      <c r="CZ34" s="588" t="s">
        <v>1425</v>
      </c>
      <c r="DA34" s="589"/>
      <c r="DB34" s="589"/>
      <c r="DC34" s="589"/>
      <c r="DD34" s="589"/>
      <c r="DE34" s="589"/>
      <c r="DF34" s="590"/>
      <c r="DG34" s="588" t="s">
        <v>673</v>
      </c>
      <c r="DH34" s="589"/>
      <c r="DI34" s="589"/>
      <c r="DJ34" s="589"/>
      <c r="DK34" s="589"/>
      <c r="DL34" s="589"/>
      <c r="DM34" s="590"/>
      <c r="DN34" s="588" t="s">
        <v>674</v>
      </c>
      <c r="DO34" s="589"/>
      <c r="DP34" s="589"/>
      <c r="DQ34" s="589"/>
      <c r="DR34" s="589"/>
      <c r="DS34" s="589"/>
      <c r="DT34" s="662"/>
      <c r="DU34" s="50"/>
      <c r="DV34" s="51"/>
    </row>
    <row r="35" spans="1:126">
      <c r="A35" s="532" t="str">
        <f>'8a-Weapons'!AS116</f>
        <v/>
      </c>
      <c r="B35" s="533"/>
      <c r="C35" s="533"/>
      <c r="D35" s="533"/>
      <c r="E35" s="533"/>
      <c r="F35" s="533"/>
      <c r="G35" s="533"/>
      <c r="H35" s="533"/>
      <c r="I35" s="533"/>
      <c r="J35" s="533"/>
      <c r="K35" s="533"/>
      <c r="L35" s="533"/>
      <c r="M35" s="533"/>
      <c r="N35" s="533"/>
      <c r="O35" s="533"/>
      <c r="P35" s="533"/>
      <c r="Q35" s="533"/>
      <c r="R35" s="533"/>
      <c r="S35" s="533"/>
      <c r="T35" s="533"/>
      <c r="U35" s="533"/>
      <c r="V35" s="533"/>
      <c r="W35" s="533"/>
      <c r="X35" s="533"/>
      <c r="Y35" s="533"/>
      <c r="Z35" s="533"/>
      <c r="AA35" s="533"/>
      <c r="AB35" s="533"/>
      <c r="AC35" s="534"/>
      <c r="AD35" s="627" t="str">
        <f>'8a-Weapons'!AQ31</f>
        <v/>
      </c>
      <c r="AE35" s="628"/>
      <c r="AF35" s="628"/>
      <c r="AG35" s="628"/>
      <c r="AH35" s="628"/>
      <c r="AI35" s="628"/>
      <c r="AJ35" s="628"/>
      <c r="AK35" s="628"/>
      <c r="AL35" s="628"/>
      <c r="AM35" s="628"/>
      <c r="AN35" s="629"/>
      <c r="AO35" s="633" t="str">
        <f>'8a-Weapons'!AR31</f>
        <v/>
      </c>
      <c r="AP35" s="634"/>
      <c r="AQ35" s="634"/>
      <c r="AR35" s="634"/>
      <c r="AS35" s="634"/>
      <c r="AT35" s="634"/>
      <c r="AU35" s="634"/>
      <c r="AV35" s="634"/>
      <c r="AW35" s="634"/>
      <c r="AX35" s="635"/>
      <c r="AY35" s="633" t="str">
        <f>'8a-Weapons'!AU116</f>
        <v/>
      </c>
      <c r="AZ35" s="634"/>
      <c r="BA35" s="634"/>
      <c r="BB35" s="634"/>
      <c r="BC35" s="634"/>
      <c r="BD35" s="634"/>
      <c r="BE35" s="634"/>
      <c r="BF35" s="634"/>
      <c r="BG35" s="634"/>
      <c r="BH35" s="634"/>
      <c r="BI35" s="634"/>
      <c r="BJ35" s="634"/>
      <c r="BK35" s="634"/>
      <c r="BL35" s="634"/>
      <c r="BM35" s="634"/>
      <c r="BN35" s="634"/>
      <c r="BO35" s="634"/>
      <c r="BP35" s="634"/>
      <c r="BQ35" s="634"/>
      <c r="BR35" s="635"/>
      <c r="BS35" s="709">
        <v>4</v>
      </c>
      <c r="BT35" s="710"/>
      <c r="BU35" s="768" t="str">
        <f>"Fuel"&amp;IF('4-Fuel'!C12='4-Fuel'!T8," (CS-1)","")</f>
        <v>Fuel</v>
      </c>
      <c r="BV35" s="769"/>
      <c r="BW35" s="769"/>
      <c r="BX35" s="769"/>
      <c r="BY35" s="769"/>
      <c r="BZ35" s="769"/>
      <c r="CA35" s="769"/>
      <c r="CB35" s="769"/>
      <c r="CC35" s="770"/>
      <c r="CD35" s="607" t="s">
        <v>676</v>
      </c>
      <c r="CE35" s="608"/>
      <c r="CF35" s="608"/>
      <c r="CG35" s="608"/>
      <c r="CH35" s="608"/>
      <c r="CI35" s="608"/>
      <c r="CJ35" s="609"/>
      <c r="CK35" s="652" t="s">
        <v>677</v>
      </c>
      <c r="CL35" s="608"/>
      <c r="CM35" s="608"/>
      <c r="CN35" s="608"/>
      <c r="CO35" s="608"/>
      <c r="CP35" s="608"/>
      <c r="CQ35" s="608"/>
      <c r="CR35" s="609"/>
      <c r="CS35" s="652" t="s">
        <v>678</v>
      </c>
      <c r="CT35" s="608"/>
      <c r="CU35" s="608"/>
      <c r="CV35" s="608"/>
      <c r="CW35" s="608"/>
      <c r="CX35" s="608"/>
      <c r="CY35" s="609"/>
      <c r="CZ35" s="652" t="s">
        <v>679</v>
      </c>
      <c r="DA35" s="608"/>
      <c r="DB35" s="608"/>
      <c r="DC35" s="608"/>
      <c r="DD35" s="608"/>
      <c r="DE35" s="608"/>
      <c r="DF35" s="609"/>
      <c r="DG35" s="652" t="s">
        <v>673</v>
      </c>
      <c r="DH35" s="608"/>
      <c r="DI35" s="608"/>
      <c r="DJ35" s="608"/>
      <c r="DK35" s="608"/>
      <c r="DL35" s="608"/>
      <c r="DM35" s="609"/>
      <c r="DN35" s="652" t="s">
        <v>674</v>
      </c>
      <c r="DO35" s="608"/>
      <c r="DP35" s="608"/>
      <c r="DQ35" s="608"/>
      <c r="DR35" s="608"/>
      <c r="DS35" s="608"/>
      <c r="DT35" s="661"/>
      <c r="DU35" s="51"/>
      <c r="DV35" s="51"/>
    </row>
    <row r="36" spans="1:126" ht="7.25" customHeight="1">
      <c r="A36" s="535" t="str">
        <f>'8a-Weapons'!AS117</f>
        <v/>
      </c>
      <c r="B36" s="536"/>
      <c r="C36" s="536"/>
      <c r="D36" s="536"/>
      <c r="E36" s="536"/>
      <c r="F36" s="536"/>
      <c r="G36" s="536"/>
      <c r="H36" s="536"/>
      <c r="I36" s="536"/>
      <c r="J36" s="536"/>
      <c r="K36" s="536"/>
      <c r="L36" s="536"/>
      <c r="M36" s="536"/>
      <c r="N36" s="536"/>
      <c r="O36" s="536"/>
      <c r="P36" s="536"/>
      <c r="Q36" s="536"/>
      <c r="R36" s="536"/>
      <c r="S36" s="536"/>
      <c r="T36" s="536"/>
      <c r="U36" s="536"/>
      <c r="V36" s="536"/>
      <c r="W36" s="536"/>
      <c r="X36" s="536"/>
      <c r="Y36" s="536"/>
      <c r="Z36" s="536"/>
      <c r="AA36" s="536"/>
      <c r="AB36" s="536"/>
      <c r="AC36" s="537"/>
      <c r="AD36" s="667" t="str">
        <f>'8a-Weapons'!AQ32</f>
        <v/>
      </c>
      <c r="AE36" s="668"/>
      <c r="AF36" s="668"/>
      <c r="AG36" s="668"/>
      <c r="AH36" s="668"/>
      <c r="AI36" s="668"/>
      <c r="AJ36" s="668"/>
      <c r="AK36" s="668"/>
      <c r="AL36" s="668"/>
      <c r="AM36" s="668"/>
      <c r="AN36" s="669"/>
      <c r="AO36" s="564" t="str">
        <f>'8a-Weapons'!AR32</f>
        <v/>
      </c>
      <c r="AP36" s="565"/>
      <c r="AQ36" s="565"/>
      <c r="AR36" s="565"/>
      <c r="AS36" s="565"/>
      <c r="AT36" s="565"/>
      <c r="AU36" s="565"/>
      <c r="AV36" s="565"/>
      <c r="AW36" s="565"/>
      <c r="AX36" s="566"/>
      <c r="AY36" s="564" t="str">
        <f>'8a-Weapons'!AU117</f>
        <v/>
      </c>
      <c r="AZ36" s="565"/>
      <c r="BA36" s="565"/>
      <c r="BB36" s="565"/>
      <c r="BC36" s="565"/>
      <c r="BD36" s="565"/>
      <c r="BE36" s="565"/>
      <c r="BF36" s="565"/>
      <c r="BG36" s="565"/>
      <c r="BH36" s="565"/>
      <c r="BI36" s="565"/>
      <c r="BJ36" s="565"/>
      <c r="BK36" s="565"/>
      <c r="BL36" s="565"/>
      <c r="BM36" s="565"/>
      <c r="BN36" s="565"/>
      <c r="BO36" s="565"/>
      <c r="BP36" s="565"/>
      <c r="BQ36" s="565"/>
      <c r="BR36" s="566"/>
      <c r="BS36" s="740">
        <v>5</v>
      </c>
      <c r="BT36" s="741"/>
      <c r="BU36" s="744" t="str">
        <f>"Weapon*"</f>
        <v>Weapon*</v>
      </c>
      <c r="BV36" s="744"/>
      <c r="BW36" s="744"/>
      <c r="BX36" s="744"/>
      <c r="BY36" s="744"/>
      <c r="BZ36" s="744"/>
      <c r="CA36" s="744"/>
      <c r="CB36" s="744"/>
      <c r="CC36" s="745"/>
      <c r="CD36" s="737" t="s">
        <v>1428</v>
      </c>
      <c r="CE36" s="689"/>
      <c r="CF36" s="689"/>
      <c r="CG36" s="689"/>
      <c r="CH36" s="689"/>
      <c r="CI36" s="689"/>
      <c r="CJ36" s="738"/>
      <c r="CK36" s="688" t="s">
        <v>1428</v>
      </c>
      <c r="CL36" s="689"/>
      <c r="CM36" s="689"/>
      <c r="CN36" s="689"/>
      <c r="CO36" s="689"/>
      <c r="CP36" s="689"/>
      <c r="CQ36" s="689"/>
      <c r="CR36" s="738"/>
      <c r="CS36" s="685" t="s">
        <v>1430</v>
      </c>
      <c r="CT36" s="686"/>
      <c r="CU36" s="686"/>
      <c r="CV36" s="686"/>
      <c r="CW36" s="686"/>
      <c r="CX36" s="686"/>
      <c r="CY36" s="687"/>
      <c r="CZ36" s="688" t="s">
        <v>1431</v>
      </c>
      <c r="DA36" s="689"/>
      <c r="DB36" s="689"/>
      <c r="DC36" s="689"/>
      <c r="DD36" s="689"/>
      <c r="DE36" s="689"/>
      <c r="DF36" s="738"/>
      <c r="DG36" s="685" t="s">
        <v>1432</v>
      </c>
      <c r="DH36" s="686"/>
      <c r="DI36" s="686"/>
      <c r="DJ36" s="686"/>
      <c r="DK36" s="686"/>
      <c r="DL36" s="686"/>
      <c r="DM36" s="687"/>
      <c r="DN36" s="688" t="s">
        <v>1433</v>
      </c>
      <c r="DO36" s="689"/>
      <c r="DP36" s="689"/>
      <c r="DQ36" s="689"/>
      <c r="DR36" s="689"/>
      <c r="DS36" s="689"/>
      <c r="DT36" s="690"/>
      <c r="DU36" s="51"/>
      <c r="DV36" s="51"/>
    </row>
    <row r="37" spans="1:126" ht="7.25" customHeight="1">
      <c r="A37" s="538"/>
      <c r="B37" s="539"/>
      <c r="C37" s="539"/>
      <c r="D37" s="539"/>
      <c r="E37" s="539"/>
      <c r="F37" s="539"/>
      <c r="G37" s="539"/>
      <c r="H37" s="539"/>
      <c r="I37" s="539"/>
      <c r="J37" s="539"/>
      <c r="K37" s="539"/>
      <c r="L37" s="539"/>
      <c r="M37" s="539"/>
      <c r="N37" s="539"/>
      <c r="O37" s="539"/>
      <c r="P37" s="539"/>
      <c r="Q37" s="539"/>
      <c r="R37" s="539"/>
      <c r="S37" s="539"/>
      <c r="T37" s="539"/>
      <c r="U37" s="539"/>
      <c r="V37" s="539"/>
      <c r="W37" s="539"/>
      <c r="X37" s="539"/>
      <c r="Y37" s="539"/>
      <c r="Z37" s="539"/>
      <c r="AA37" s="539"/>
      <c r="AB37" s="539"/>
      <c r="AC37" s="540"/>
      <c r="AD37" s="670"/>
      <c r="AE37" s="671"/>
      <c r="AF37" s="671"/>
      <c r="AG37" s="671"/>
      <c r="AH37" s="671"/>
      <c r="AI37" s="671"/>
      <c r="AJ37" s="671"/>
      <c r="AK37" s="671"/>
      <c r="AL37" s="671"/>
      <c r="AM37" s="671"/>
      <c r="AN37" s="672"/>
      <c r="AO37" s="567"/>
      <c r="AP37" s="568"/>
      <c r="AQ37" s="568"/>
      <c r="AR37" s="568"/>
      <c r="AS37" s="568"/>
      <c r="AT37" s="568"/>
      <c r="AU37" s="568"/>
      <c r="AV37" s="568"/>
      <c r="AW37" s="568"/>
      <c r="AX37" s="569"/>
      <c r="AY37" s="567"/>
      <c r="AZ37" s="568"/>
      <c r="BA37" s="568"/>
      <c r="BB37" s="568"/>
      <c r="BC37" s="568"/>
      <c r="BD37" s="568"/>
      <c r="BE37" s="568"/>
      <c r="BF37" s="568"/>
      <c r="BG37" s="568"/>
      <c r="BH37" s="568"/>
      <c r="BI37" s="568"/>
      <c r="BJ37" s="568"/>
      <c r="BK37" s="568"/>
      <c r="BL37" s="568"/>
      <c r="BM37" s="568"/>
      <c r="BN37" s="568"/>
      <c r="BO37" s="568"/>
      <c r="BP37" s="568"/>
      <c r="BQ37" s="568"/>
      <c r="BR37" s="569"/>
      <c r="BS37" s="742"/>
      <c r="BT37" s="743"/>
      <c r="BU37" s="746"/>
      <c r="BV37" s="746"/>
      <c r="BW37" s="746"/>
      <c r="BX37" s="746"/>
      <c r="BY37" s="746"/>
      <c r="BZ37" s="746"/>
      <c r="CA37" s="746"/>
      <c r="CB37" s="746"/>
      <c r="CC37" s="747"/>
      <c r="CD37" s="711" t="s">
        <v>1426</v>
      </c>
      <c r="CE37" s="712"/>
      <c r="CF37" s="712"/>
      <c r="CG37" s="712"/>
      <c r="CH37" s="712"/>
      <c r="CI37" s="712"/>
      <c r="CJ37" s="713"/>
      <c r="CK37" s="714" t="s">
        <v>1429</v>
      </c>
      <c r="CL37" s="712"/>
      <c r="CM37" s="712"/>
      <c r="CN37" s="712"/>
      <c r="CO37" s="712"/>
      <c r="CP37" s="712"/>
      <c r="CQ37" s="712"/>
      <c r="CR37" s="713"/>
      <c r="CS37" s="691" t="s">
        <v>679</v>
      </c>
      <c r="CT37" s="692"/>
      <c r="CU37" s="692"/>
      <c r="CV37" s="692"/>
      <c r="CW37" s="692"/>
      <c r="CX37" s="692"/>
      <c r="CY37" s="693"/>
      <c r="CZ37" s="691" t="s">
        <v>673</v>
      </c>
      <c r="DA37" s="692"/>
      <c r="DB37" s="692"/>
      <c r="DC37" s="692"/>
      <c r="DD37" s="692"/>
      <c r="DE37" s="692"/>
      <c r="DF37" s="693"/>
      <c r="DG37" s="694" t="s">
        <v>673</v>
      </c>
      <c r="DH37" s="695"/>
      <c r="DI37" s="695"/>
      <c r="DJ37" s="695"/>
      <c r="DK37" s="695"/>
      <c r="DL37" s="695"/>
      <c r="DM37" s="696"/>
      <c r="DN37" s="694" t="s">
        <v>673</v>
      </c>
      <c r="DO37" s="695"/>
      <c r="DP37" s="695"/>
      <c r="DQ37" s="695"/>
      <c r="DR37" s="695"/>
      <c r="DS37" s="695"/>
      <c r="DT37" s="697"/>
      <c r="DU37" s="51"/>
      <c r="DV37" s="51"/>
    </row>
    <row r="38" spans="1:126" ht="7.25" customHeight="1">
      <c r="A38" s="541" t="str">
        <f>'8a-Weapons'!AS118</f>
        <v/>
      </c>
      <c r="B38" s="542"/>
      <c r="C38" s="542"/>
      <c r="D38" s="542"/>
      <c r="E38" s="542"/>
      <c r="F38" s="542"/>
      <c r="G38" s="542"/>
      <c r="H38" s="542"/>
      <c r="I38" s="542"/>
      <c r="J38" s="542"/>
      <c r="K38" s="542"/>
      <c r="L38" s="542"/>
      <c r="M38" s="542"/>
      <c r="N38" s="542"/>
      <c r="O38" s="542"/>
      <c r="P38" s="542"/>
      <c r="Q38" s="542"/>
      <c r="R38" s="542"/>
      <c r="S38" s="542"/>
      <c r="T38" s="542"/>
      <c r="U38" s="542"/>
      <c r="V38" s="542"/>
      <c r="W38" s="542"/>
      <c r="X38" s="542"/>
      <c r="Y38" s="542"/>
      <c r="Z38" s="542"/>
      <c r="AA38" s="542"/>
      <c r="AB38" s="542"/>
      <c r="AC38" s="543"/>
      <c r="AD38" s="547" t="str">
        <f>'8a-Weapons'!AQ33</f>
        <v/>
      </c>
      <c r="AE38" s="548"/>
      <c r="AF38" s="548"/>
      <c r="AG38" s="548"/>
      <c r="AH38" s="548"/>
      <c r="AI38" s="548"/>
      <c r="AJ38" s="548"/>
      <c r="AK38" s="548"/>
      <c r="AL38" s="548"/>
      <c r="AM38" s="548"/>
      <c r="AN38" s="549"/>
      <c r="AO38" s="553" t="str">
        <f>'8a-Weapons'!AR33</f>
        <v/>
      </c>
      <c r="AP38" s="554"/>
      <c r="AQ38" s="554"/>
      <c r="AR38" s="554"/>
      <c r="AS38" s="554"/>
      <c r="AT38" s="554"/>
      <c r="AU38" s="554"/>
      <c r="AV38" s="554"/>
      <c r="AW38" s="554"/>
      <c r="AX38" s="555"/>
      <c r="AY38" s="553" t="str">
        <f>'8a-Weapons'!AU118</f>
        <v/>
      </c>
      <c r="AZ38" s="554"/>
      <c r="BA38" s="554"/>
      <c r="BB38" s="554"/>
      <c r="BC38" s="554"/>
      <c r="BD38" s="554"/>
      <c r="BE38" s="554"/>
      <c r="BF38" s="554"/>
      <c r="BG38" s="554"/>
      <c r="BH38" s="554"/>
      <c r="BI38" s="554"/>
      <c r="BJ38" s="554"/>
      <c r="BK38" s="554"/>
      <c r="BL38" s="554"/>
      <c r="BM38" s="554"/>
      <c r="BN38" s="554"/>
      <c r="BO38" s="554"/>
      <c r="BP38" s="554"/>
      <c r="BQ38" s="554"/>
      <c r="BR38" s="555"/>
      <c r="BS38" s="727">
        <v>6</v>
      </c>
      <c r="BT38" s="728"/>
      <c r="BU38" s="731" t="s">
        <v>577</v>
      </c>
      <c r="BV38" s="731"/>
      <c r="BW38" s="731"/>
      <c r="BX38" s="731"/>
      <c r="BY38" s="731"/>
      <c r="BZ38" s="731"/>
      <c r="CA38" s="731"/>
      <c r="CB38" s="731"/>
      <c r="CC38" s="732"/>
      <c r="CD38" s="735" t="s">
        <v>680</v>
      </c>
      <c r="CE38" s="683"/>
      <c r="CF38" s="683"/>
      <c r="CG38" s="683"/>
      <c r="CH38" s="683"/>
      <c r="CI38" s="683"/>
      <c r="CJ38" s="684"/>
      <c r="CK38" s="682" t="s">
        <v>681</v>
      </c>
      <c r="CL38" s="683"/>
      <c r="CM38" s="683"/>
      <c r="CN38" s="683"/>
      <c r="CO38" s="683"/>
      <c r="CP38" s="683"/>
      <c r="CQ38" s="683"/>
      <c r="CR38" s="684"/>
      <c r="CS38" s="682" t="s">
        <v>682</v>
      </c>
      <c r="CT38" s="683"/>
      <c r="CU38" s="683"/>
      <c r="CV38" s="683"/>
      <c r="CW38" s="683"/>
      <c r="CX38" s="683"/>
      <c r="CY38" s="684"/>
      <c r="CZ38" s="682" t="s">
        <v>682</v>
      </c>
      <c r="DA38" s="683"/>
      <c r="DB38" s="683"/>
      <c r="DC38" s="683"/>
      <c r="DD38" s="683"/>
      <c r="DE38" s="683"/>
      <c r="DF38" s="684"/>
      <c r="DG38" s="682" t="s">
        <v>1434</v>
      </c>
      <c r="DH38" s="683"/>
      <c r="DI38" s="683"/>
      <c r="DJ38" s="683"/>
      <c r="DK38" s="683"/>
      <c r="DL38" s="683"/>
      <c r="DM38" s="684"/>
      <c r="DN38" s="682" t="s">
        <v>1434</v>
      </c>
      <c r="DO38" s="683"/>
      <c r="DP38" s="683"/>
      <c r="DQ38" s="683"/>
      <c r="DR38" s="683"/>
      <c r="DS38" s="683"/>
      <c r="DT38" s="754"/>
      <c r="DU38" s="51"/>
      <c r="DV38" s="51"/>
    </row>
    <row r="39" spans="1:126" ht="7.25" customHeight="1">
      <c r="A39" s="544"/>
      <c r="B39" s="545"/>
      <c r="C39" s="545"/>
      <c r="D39" s="545"/>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6"/>
      <c r="AD39" s="550"/>
      <c r="AE39" s="551"/>
      <c r="AF39" s="551"/>
      <c r="AG39" s="551"/>
      <c r="AH39" s="551"/>
      <c r="AI39" s="551"/>
      <c r="AJ39" s="551"/>
      <c r="AK39" s="551"/>
      <c r="AL39" s="551"/>
      <c r="AM39" s="551"/>
      <c r="AN39" s="552"/>
      <c r="AO39" s="556"/>
      <c r="AP39" s="557"/>
      <c r="AQ39" s="557"/>
      <c r="AR39" s="557"/>
      <c r="AS39" s="557"/>
      <c r="AT39" s="557"/>
      <c r="AU39" s="557"/>
      <c r="AV39" s="557"/>
      <c r="AW39" s="557"/>
      <c r="AX39" s="558"/>
      <c r="AY39" s="556"/>
      <c r="AZ39" s="557"/>
      <c r="BA39" s="557"/>
      <c r="BB39" s="557"/>
      <c r="BC39" s="557"/>
      <c r="BD39" s="557"/>
      <c r="BE39" s="557"/>
      <c r="BF39" s="557"/>
      <c r="BG39" s="557"/>
      <c r="BH39" s="557"/>
      <c r="BI39" s="557"/>
      <c r="BJ39" s="557"/>
      <c r="BK39" s="557"/>
      <c r="BL39" s="557"/>
      <c r="BM39" s="557"/>
      <c r="BN39" s="557"/>
      <c r="BO39" s="557"/>
      <c r="BP39" s="557"/>
      <c r="BQ39" s="557"/>
      <c r="BR39" s="558"/>
      <c r="BS39" s="729"/>
      <c r="BT39" s="730"/>
      <c r="BU39" s="733"/>
      <c r="BV39" s="733"/>
      <c r="BW39" s="733"/>
      <c r="BX39" s="733"/>
      <c r="BY39" s="733"/>
      <c r="BZ39" s="733"/>
      <c r="CA39" s="733"/>
      <c r="CB39" s="733"/>
      <c r="CC39" s="734"/>
      <c r="CD39" s="736"/>
      <c r="CE39" s="699"/>
      <c r="CF39" s="699"/>
      <c r="CG39" s="699"/>
      <c r="CH39" s="699"/>
      <c r="CI39" s="699"/>
      <c r="CJ39" s="700"/>
      <c r="CK39" s="698"/>
      <c r="CL39" s="699"/>
      <c r="CM39" s="699"/>
      <c r="CN39" s="699"/>
      <c r="CO39" s="699"/>
      <c r="CP39" s="699"/>
      <c r="CQ39" s="699"/>
      <c r="CR39" s="700"/>
      <c r="CS39" s="698"/>
      <c r="CT39" s="699"/>
      <c r="CU39" s="699"/>
      <c r="CV39" s="699"/>
      <c r="CW39" s="699"/>
      <c r="CX39" s="699"/>
      <c r="CY39" s="700"/>
      <c r="CZ39" s="698"/>
      <c r="DA39" s="699"/>
      <c r="DB39" s="699"/>
      <c r="DC39" s="699"/>
      <c r="DD39" s="699"/>
      <c r="DE39" s="699"/>
      <c r="DF39" s="700"/>
      <c r="DG39" s="701" t="s">
        <v>673</v>
      </c>
      <c r="DH39" s="702"/>
      <c r="DI39" s="702"/>
      <c r="DJ39" s="702"/>
      <c r="DK39" s="702"/>
      <c r="DL39" s="702"/>
      <c r="DM39" s="703"/>
      <c r="DN39" s="701" t="s">
        <v>673</v>
      </c>
      <c r="DO39" s="702"/>
      <c r="DP39" s="702"/>
      <c r="DQ39" s="702"/>
      <c r="DR39" s="702"/>
      <c r="DS39" s="702"/>
      <c r="DT39" s="704"/>
      <c r="DU39" s="51"/>
      <c r="DV39" s="51"/>
    </row>
    <row r="40" spans="1:126">
      <c r="A40" s="705" t="str">
        <f>'8a-Weapons'!AS119</f>
        <v/>
      </c>
      <c r="B40" s="624"/>
      <c r="C40" s="624"/>
      <c r="D40" s="624"/>
      <c r="E40" s="624"/>
      <c r="F40" s="624"/>
      <c r="G40" s="624"/>
      <c r="H40" s="624"/>
      <c r="I40" s="624"/>
      <c r="J40" s="624"/>
      <c r="K40" s="624"/>
      <c r="L40" s="624"/>
      <c r="M40" s="624"/>
      <c r="N40" s="624"/>
      <c r="O40" s="624"/>
      <c r="P40" s="624"/>
      <c r="Q40" s="624"/>
      <c r="R40" s="624"/>
      <c r="S40" s="624"/>
      <c r="T40" s="624"/>
      <c r="U40" s="624"/>
      <c r="V40" s="624"/>
      <c r="W40" s="624"/>
      <c r="X40" s="624"/>
      <c r="Y40" s="624"/>
      <c r="Z40" s="624"/>
      <c r="AA40" s="624"/>
      <c r="AB40" s="624"/>
      <c r="AC40" s="625"/>
      <c r="AD40" s="630" t="str">
        <f>'8a-Weapons'!AQ34</f>
        <v/>
      </c>
      <c r="AE40" s="631"/>
      <c r="AF40" s="631"/>
      <c r="AG40" s="631"/>
      <c r="AH40" s="631"/>
      <c r="AI40" s="631"/>
      <c r="AJ40" s="631"/>
      <c r="AK40" s="631"/>
      <c r="AL40" s="631"/>
      <c r="AM40" s="631"/>
      <c r="AN40" s="632"/>
      <c r="AO40" s="636" t="str">
        <f>'8a-Weapons'!AR34</f>
        <v/>
      </c>
      <c r="AP40" s="637"/>
      <c r="AQ40" s="637"/>
      <c r="AR40" s="637"/>
      <c r="AS40" s="637"/>
      <c r="AT40" s="637"/>
      <c r="AU40" s="637"/>
      <c r="AV40" s="637"/>
      <c r="AW40" s="637"/>
      <c r="AX40" s="638"/>
      <c r="AY40" s="636" t="str">
        <f>'8a-Weapons'!AU119</f>
        <v/>
      </c>
      <c r="AZ40" s="637"/>
      <c r="BA40" s="637"/>
      <c r="BB40" s="637"/>
      <c r="BC40" s="637"/>
      <c r="BD40" s="637"/>
      <c r="BE40" s="637"/>
      <c r="BF40" s="637"/>
      <c r="BG40" s="637"/>
      <c r="BH40" s="637"/>
      <c r="BI40" s="637"/>
      <c r="BJ40" s="637"/>
      <c r="BK40" s="637"/>
      <c r="BL40" s="637"/>
      <c r="BM40" s="637"/>
      <c r="BN40" s="637"/>
      <c r="BO40" s="637"/>
      <c r="BP40" s="637"/>
      <c r="BQ40" s="637"/>
      <c r="BR40" s="638"/>
      <c r="BS40" s="678">
        <v>7</v>
      </c>
      <c r="BT40" s="679"/>
      <c r="BU40" s="673" t="s">
        <v>574</v>
      </c>
      <c r="BV40" s="674"/>
      <c r="BW40" s="674"/>
      <c r="BX40" s="674"/>
      <c r="BY40" s="674"/>
      <c r="BZ40" s="674"/>
      <c r="CA40" s="674"/>
      <c r="CB40" s="674"/>
      <c r="CC40" s="675"/>
      <c r="CD40" s="610" t="s">
        <v>683</v>
      </c>
      <c r="CE40" s="589"/>
      <c r="CF40" s="589"/>
      <c r="CG40" s="589"/>
      <c r="CH40" s="589"/>
      <c r="CI40" s="589"/>
      <c r="CJ40" s="590"/>
      <c r="CK40" s="588" t="s">
        <v>684</v>
      </c>
      <c r="CL40" s="589"/>
      <c r="CM40" s="589"/>
      <c r="CN40" s="589"/>
      <c r="CO40" s="589"/>
      <c r="CP40" s="589"/>
      <c r="CQ40" s="589"/>
      <c r="CR40" s="590"/>
      <c r="CS40" s="588" t="s">
        <v>685</v>
      </c>
      <c r="CT40" s="589"/>
      <c r="CU40" s="589"/>
      <c r="CV40" s="589"/>
      <c r="CW40" s="589"/>
      <c r="CX40" s="589"/>
      <c r="CY40" s="590"/>
      <c r="CZ40" s="588" t="s">
        <v>686</v>
      </c>
      <c r="DA40" s="589"/>
      <c r="DB40" s="589"/>
      <c r="DC40" s="589"/>
      <c r="DD40" s="589"/>
      <c r="DE40" s="589"/>
      <c r="DF40" s="590"/>
      <c r="DG40" s="588" t="s">
        <v>687</v>
      </c>
      <c r="DH40" s="589"/>
      <c r="DI40" s="589"/>
      <c r="DJ40" s="589"/>
      <c r="DK40" s="589"/>
      <c r="DL40" s="589"/>
      <c r="DM40" s="590"/>
      <c r="DN40" s="588" t="s">
        <v>688</v>
      </c>
      <c r="DO40" s="589"/>
      <c r="DP40" s="589"/>
      <c r="DQ40" s="589"/>
      <c r="DR40" s="589"/>
      <c r="DS40" s="589"/>
      <c r="DT40" s="662"/>
      <c r="DU40" s="51"/>
      <c r="DV40" s="51"/>
    </row>
    <row r="41" spans="1:126">
      <c r="A41" s="532" t="str">
        <f>'8a-Weapons'!AS120</f>
        <v/>
      </c>
      <c r="B41" s="533"/>
      <c r="C41" s="533"/>
      <c r="D41" s="533"/>
      <c r="E41" s="533"/>
      <c r="F41" s="533"/>
      <c r="G41" s="533"/>
      <c r="H41" s="533"/>
      <c r="I41" s="533"/>
      <c r="J41" s="533"/>
      <c r="K41" s="533"/>
      <c r="L41" s="533"/>
      <c r="M41" s="533"/>
      <c r="N41" s="533"/>
      <c r="O41" s="533"/>
      <c r="P41" s="533"/>
      <c r="Q41" s="533"/>
      <c r="R41" s="533"/>
      <c r="S41" s="533"/>
      <c r="T41" s="533"/>
      <c r="U41" s="533"/>
      <c r="V41" s="533"/>
      <c r="W41" s="533"/>
      <c r="X41" s="533"/>
      <c r="Y41" s="533"/>
      <c r="Z41" s="533"/>
      <c r="AA41" s="533"/>
      <c r="AB41" s="533"/>
      <c r="AC41" s="534"/>
      <c r="AD41" s="627" t="str">
        <f>'8a-Weapons'!AQ35</f>
        <v/>
      </c>
      <c r="AE41" s="628"/>
      <c r="AF41" s="628"/>
      <c r="AG41" s="628"/>
      <c r="AH41" s="628"/>
      <c r="AI41" s="628"/>
      <c r="AJ41" s="628"/>
      <c r="AK41" s="628"/>
      <c r="AL41" s="628"/>
      <c r="AM41" s="628"/>
      <c r="AN41" s="629"/>
      <c r="AO41" s="633" t="str">
        <f>'8a-Weapons'!AR35</f>
        <v/>
      </c>
      <c r="AP41" s="634"/>
      <c r="AQ41" s="634"/>
      <c r="AR41" s="634"/>
      <c r="AS41" s="634"/>
      <c r="AT41" s="634"/>
      <c r="AU41" s="634"/>
      <c r="AV41" s="634"/>
      <c r="AW41" s="634"/>
      <c r="AX41" s="635"/>
      <c r="AY41" s="633" t="str">
        <f>'8a-Weapons'!AU120</f>
        <v/>
      </c>
      <c r="AZ41" s="634"/>
      <c r="BA41" s="634"/>
      <c r="BB41" s="634"/>
      <c r="BC41" s="634"/>
      <c r="BD41" s="634"/>
      <c r="BE41" s="634"/>
      <c r="BF41" s="634"/>
      <c r="BG41" s="634"/>
      <c r="BH41" s="634"/>
      <c r="BI41" s="634"/>
      <c r="BJ41" s="634"/>
      <c r="BK41" s="634"/>
      <c r="BL41" s="634"/>
      <c r="BM41" s="634"/>
      <c r="BN41" s="634"/>
      <c r="BO41" s="634"/>
      <c r="BP41" s="634"/>
      <c r="BQ41" s="634"/>
      <c r="BR41" s="635"/>
      <c r="BS41" s="709">
        <v>8</v>
      </c>
      <c r="BT41" s="710"/>
      <c r="BU41" s="676" t="str">
        <f>"M-Drive"&amp;IF('2-Drives'!C13="No",""," (CS-1)")</f>
        <v>M-Drive</v>
      </c>
      <c r="BV41" s="676"/>
      <c r="BW41" s="676"/>
      <c r="BX41" s="676"/>
      <c r="BY41" s="676"/>
      <c r="BZ41" s="676"/>
      <c r="CA41" s="676"/>
      <c r="CB41" s="676"/>
      <c r="CC41" s="677"/>
      <c r="CD41" s="607" t="s">
        <v>689</v>
      </c>
      <c r="CE41" s="608"/>
      <c r="CF41" s="608"/>
      <c r="CG41" s="608"/>
      <c r="CH41" s="608"/>
      <c r="CI41" s="608"/>
      <c r="CJ41" s="609"/>
      <c r="CK41" s="652" t="s">
        <v>690</v>
      </c>
      <c r="CL41" s="608"/>
      <c r="CM41" s="608"/>
      <c r="CN41" s="608"/>
      <c r="CO41" s="608"/>
      <c r="CP41" s="608"/>
      <c r="CQ41" s="608"/>
      <c r="CR41" s="609"/>
      <c r="CS41" s="652" t="s">
        <v>691</v>
      </c>
      <c r="CT41" s="608"/>
      <c r="CU41" s="608"/>
      <c r="CV41" s="608"/>
      <c r="CW41" s="608"/>
      <c r="CX41" s="608"/>
      <c r="CY41" s="609"/>
      <c r="CZ41" s="652" t="s">
        <v>692</v>
      </c>
      <c r="DA41" s="608"/>
      <c r="DB41" s="608"/>
      <c r="DC41" s="608"/>
      <c r="DD41" s="608"/>
      <c r="DE41" s="608"/>
      <c r="DF41" s="609"/>
      <c r="DG41" s="652" t="s">
        <v>693</v>
      </c>
      <c r="DH41" s="608"/>
      <c r="DI41" s="608"/>
      <c r="DJ41" s="608"/>
      <c r="DK41" s="608"/>
      <c r="DL41" s="608"/>
      <c r="DM41" s="609"/>
      <c r="DN41" s="652" t="s">
        <v>673</v>
      </c>
      <c r="DO41" s="608"/>
      <c r="DP41" s="608"/>
      <c r="DQ41" s="608"/>
      <c r="DR41" s="608"/>
      <c r="DS41" s="608"/>
      <c r="DT41" s="661"/>
      <c r="DU41" s="51"/>
      <c r="DV41" s="51"/>
    </row>
    <row r="42" spans="1:126">
      <c r="A42" s="705" t="str">
        <f>'8a-Weapons'!AS121</f>
        <v/>
      </c>
      <c r="B42" s="624"/>
      <c r="C42" s="624"/>
      <c r="D42" s="624"/>
      <c r="E42" s="624"/>
      <c r="F42" s="624"/>
      <c r="G42" s="624"/>
      <c r="H42" s="624"/>
      <c r="I42" s="624"/>
      <c r="J42" s="624"/>
      <c r="K42" s="624"/>
      <c r="L42" s="624"/>
      <c r="M42" s="624"/>
      <c r="N42" s="624"/>
      <c r="O42" s="624"/>
      <c r="P42" s="624"/>
      <c r="Q42" s="624"/>
      <c r="R42" s="624"/>
      <c r="S42" s="624"/>
      <c r="T42" s="624"/>
      <c r="U42" s="624"/>
      <c r="V42" s="624"/>
      <c r="W42" s="624"/>
      <c r="X42" s="624"/>
      <c r="Y42" s="624"/>
      <c r="Z42" s="624"/>
      <c r="AA42" s="624"/>
      <c r="AB42" s="624"/>
      <c r="AC42" s="625"/>
      <c r="AD42" s="630" t="str">
        <f>'8a-Weapons'!AQ36</f>
        <v/>
      </c>
      <c r="AE42" s="631"/>
      <c r="AF42" s="631"/>
      <c r="AG42" s="631"/>
      <c r="AH42" s="631"/>
      <c r="AI42" s="631"/>
      <c r="AJ42" s="631"/>
      <c r="AK42" s="631"/>
      <c r="AL42" s="631"/>
      <c r="AM42" s="631"/>
      <c r="AN42" s="632"/>
      <c r="AO42" s="636" t="str">
        <f>'8a-Weapons'!AR36</f>
        <v/>
      </c>
      <c r="AP42" s="637"/>
      <c r="AQ42" s="637"/>
      <c r="AR42" s="637"/>
      <c r="AS42" s="637"/>
      <c r="AT42" s="637"/>
      <c r="AU42" s="637"/>
      <c r="AV42" s="637"/>
      <c r="AW42" s="637"/>
      <c r="AX42" s="638"/>
      <c r="AY42" s="636" t="str">
        <f>'8a-Weapons'!AU121</f>
        <v/>
      </c>
      <c r="AZ42" s="637"/>
      <c r="BA42" s="637"/>
      <c r="BB42" s="637"/>
      <c r="BC42" s="637"/>
      <c r="BD42" s="637"/>
      <c r="BE42" s="637"/>
      <c r="BF42" s="637"/>
      <c r="BG42" s="637"/>
      <c r="BH42" s="637"/>
      <c r="BI42" s="637"/>
      <c r="BJ42" s="637"/>
      <c r="BK42" s="637"/>
      <c r="BL42" s="637"/>
      <c r="BM42" s="637"/>
      <c r="BN42" s="637"/>
      <c r="BO42" s="637"/>
      <c r="BP42" s="637"/>
      <c r="BQ42" s="637"/>
      <c r="BR42" s="638"/>
      <c r="BS42" s="678">
        <v>9</v>
      </c>
      <c r="BT42" s="679"/>
      <c r="BU42" s="533" t="str">
        <f>"Cargo"&amp;IF('12-Cargo'!D50="Yes"," (CS-1*)","")</f>
        <v>Cargo</v>
      </c>
      <c r="BV42" s="533"/>
      <c r="BW42" s="533"/>
      <c r="BX42" s="533"/>
      <c r="BY42" s="533"/>
      <c r="BZ42" s="533"/>
      <c r="CA42" s="533"/>
      <c r="CB42" s="533"/>
      <c r="CC42" s="534"/>
      <c r="CD42" s="610" t="s">
        <v>694</v>
      </c>
      <c r="CE42" s="589"/>
      <c r="CF42" s="589"/>
      <c r="CG42" s="589"/>
      <c r="CH42" s="589"/>
      <c r="CI42" s="589"/>
      <c r="CJ42" s="590"/>
      <c r="CK42" s="588" t="str">
        <f>"- 1D*10%"</f>
        <v>- 1D*10%</v>
      </c>
      <c r="CL42" s="589"/>
      <c r="CM42" s="589"/>
      <c r="CN42" s="589"/>
      <c r="CO42" s="589"/>
      <c r="CP42" s="589"/>
      <c r="CQ42" s="589"/>
      <c r="CR42" s="590"/>
      <c r="CS42" s="588" t="str">
        <f>"-2D*10%"</f>
        <v>-2D*10%</v>
      </c>
      <c r="CT42" s="589"/>
      <c r="CU42" s="589"/>
      <c r="CV42" s="589"/>
      <c r="CW42" s="589"/>
      <c r="CX42" s="589"/>
      <c r="CY42" s="590"/>
      <c r="CZ42" s="588" t="str">
        <f>"- All Cargo"</f>
        <v>- All Cargo</v>
      </c>
      <c r="DA42" s="589"/>
      <c r="DB42" s="589"/>
      <c r="DC42" s="589"/>
      <c r="DD42" s="589"/>
      <c r="DE42" s="589"/>
      <c r="DF42" s="590"/>
      <c r="DG42" s="588" t="s">
        <v>673</v>
      </c>
      <c r="DH42" s="589"/>
      <c r="DI42" s="589"/>
      <c r="DJ42" s="589"/>
      <c r="DK42" s="589"/>
      <c r="DL42" s="589"/>
      <c r="DM42" s="590"/>
      <c r="DN42" s="588" t="s">
        <v>673</v>
      </c>
      <c r="DO42" s="589"/>
      <c r="DP42" s="589"/>
      <c r="DQ42" s="589"/>
      <c r="DR42" s="589"/>
      <c r="DS42" s="589"/>
      <c r="DT42" s="662"/>
      <c r="DU42" s="51"/>
      <c r="DV42" s="51"/>
    </row>
    <row r="43" spans="1:126">
      <c r="A43" s="532" t="str">
        <f>'8a-Weapons'!AS122</f>
        <v/>
      </c>
      <c r="B43" s="533"/>
      <c r="C43" s="533"/>
      <c r="D43" s="533"/>
      <c r="E43" s="533"/>
      <c r="F43" s="533"/>
      <c r="G43" s="533"/>
      <c r="H43" s="533"/>
      <c r="I43" s="533"/>
      <c r="J43" s="533"/>
      <c r="K43" s="533"/>
      <c r="L43" s="533"/>
      <c r="M43" s="533"/>
      <c r="N43" s="533"/>
      <c r="O43" s="533"/>
      <c r="P43" s="533"/>
      <c r="Q43" s="533"/>
      <c r="R43" s="533"/>
      <c r="S43" s="533"/>
      <c r="T43" s="533"/>
      <c r="U43" s="533"/>
      <c r="V43" s="533"/>
      <c r="W43" s="533"/>
      <c r="X43" s="533"/>
      <c r="Y43" s="533"/>
      <c r="Z43" s="533"/>
      <c r="AA43" s="533"/>
      <c r="AB43" s="533"/>
      <c r="AC43" s="534"/>
      <c r="AD43" s="627" t="str">
        <f>'8a-Weapons'!AQ37</f>
        <v/>
      </c>
      <c r="AE43" s="628"/>
      <c r="AF43" s="628"/>
      <c r="AG43" s="628"/>
      <c r="AH43" s="628"/>
      <c r="AI43" s="628"/>
      <c r="AJ43" s="628"/>
      <c r="AK43" s="628"/>
      <c r="AL43" s="628"/>
      <c r="AM43" s="628"/>
      <c r="AN43" s="629"/>
      <c r="AO43" s="633" t="str">
        <f>'8a-Weapons'!AR37</f>
        <v/>
      </c>
      <c r="AP43" s="634"/>
      <c r="AQ43" s="634"/>
      <c r="AR43" s="634"/>
      <c r="AS43" s="634"/>
      <c r="AT43" s="634"/>
      <c r="AU43" s="634"/>
      <c r="AV43" s="634"/>
      <c r="AW43" s="634"/>
      <c r="AX43" s="635"/>
      <c r="AY43" s="633" t="str">
        <f>'8a-Weapons'!AU122</f>
        <v/>
      </c>
      <c r="AZ43" s="634"/>
      <c r="BA43" s="634"/>
      <c r="BB43" s="634"/>
      <c r="BC43" s="634"/>
      <c r="BD43" s="634"/>
      <c r="BE43" s="634"/>
      <c r="BF43" s="634"/>
      <c r="BG43" s="634"/>
      <c r="BH43" s="634"/>
      <c r="BI43" s="634"/>
      <c r="BJ43" s="634"/>
      <c r="BK43" s="634"/>
      <c r="BL43" s="634"/>
      <c r="BM43" s="634"/>
      <c r="BN43" s="634"/>
      <c r="BO43" s="634"/>
      <c r="BP43" s="634"/>
      <c r="BQ43" s="634"/>
      <c r="BR43" s="635"/>
      <c r="BS43" s="656">
        <v>10</v>
      </c>
      <c r="BT43" s="657"/>
      <c r="BU43" s="624" t="str">
        <f>"J-Drive"&amp;IF('2-Drives'!C27="No",""," (CS-1)")</f>
        <v>J-Drive</v>
      </c>
      <c r="BV43" s="624"/>
      <c r="BW43" s="624"/>
      <c r="BX43" s="624"/>
      <c r="BY43" s="624"/>
      <c r="BZ43" s="624"/>
      <c r="CA43" s="624"/>
      <c r="CB43" s="624"/>
      <c r="CC43" s="625"/>
      <c r="CD43" s="611" t="s">
        <v>695</v>
      </c>
      <c r="CE43" s="592"/>
      <c r="CF43" s="592"/>
      <c r="CG43" s="592"/>
      <c r="CH43" s="592"/>
      <c r="CI43" s="592"/>
      <c r="CJ43" s="593"/>
      <c r="CK43" s="658" t="s">
        <v>672</v>
      </c>
      <c r="CL43" s="659"/>
      <c r="CM43" s="659"/>
      <c r="CN43" s="659"/>
      <c r="CO43" s="659"/>
      <c r="CP43" s="659"/>
      <c r="CQ43" s="659"/>
      <c r="CR43" s="660"/>
      <c r="CS43" s="591" t="s">
        <v>679</v>
      </c>
      <c r="CT43" s="592"/>
      <c r="CU43" s="592"/>
      <c r="CV43" s="592"/>
      <c r="CW43" s="592"/>
      <c r="CX43" s="592"/>
      <c r="CY43" s="593"/>
      <c r="CZ43" s="591" t="s">
        <v>673</v>
      </c>
      <c r="DA43" s="592"/>
      <c r="DB43" s="592"/>
      <c r="DC43" s="592"/>
      <c r="DD43" s="592"/>
      <c r="DE43" s="592"/>
      <c r="DF43" s="593"/>
      <c r="DG43" s="591" t="s">
        <v>673</v>
      </c>
      <c r="DH43" s="592"/>
      <c r="DI43" s="592"/>
      <c r="DJ43" s="592"/>
      <c r="DK43" s="592"/>
      <c r="DL43" s="592"/>
      <c r="DM43" s="593"/>
      <c r="DN43" s="591" t="s">
        <v>673</v>
      </c>
      <c r="DO43" s="592"/>
      <c r="DP43" s="592"/>
      <c r="DQ43" s="592"/>
      <c r="DR43" s="592"/>
      <c r="DS43" s="592"/>
      <c r="DT43" s="680"/>
      <c r="DU43" s="51"/>
      <c r="DV43" s="51"/>
    </row>
    <row r="44" spans="1:126" ht="7.25" customHeight="1">
      <c r="A44" s="535" t="str">
        <f>'8a-Weapons'!AS123</f>
        <v/>
      </c>
      <c r="B44" s="536"/>
      <c r="C44" s="536"/>
      <c r="D44" s="536"/>
      <c r="E44" s="536"/>
      <c r="F44" s="536"/>
      <c r="G44" s="536"/>
      <c r="H44" s="536"/>
      <c r="I44" s="536"/>
      <c r="J44" s="536"/>
      <c r="K44" s="536"/>
      <c r="L44" s="536"/>
      <c r="M44" s="536"/>
      <c r="N44" s="536"/>
      <c r="O44" s="536"/>
      <c r="P44" s="536"/>
      <c r="Q44" s="536"/>
      <c r="R44" s="536"/>
      <c r="S44" s="536"/>
      <c r="T44" s="536"/>
      <c r="U44" s="536"/>
      <c r="V44" s="536"/>
      <c r="W44" s="536"/>
      <c r="X44" s="536"/>
      <c r="Y44" s="536"/>
      <c r="Z44" s="536"/>
      <c r="AA44" s="536"/>
      <c r="AB44" s="536"/>
      <c r="AC44" s="537"/>
      <c r="AD44" s="667" t="str">
        <f>'8a-Weapons'!AQ38</f>
        <v/>
      </c>
      <c r="AE44" s="668"/>
      <c r="AF44" s="668"/>
      <c r="AG44" s="668"/>
      <c r="AH44" s="668"/>
      <c r="AI44" s="668"/>
      <c r="AJ44" s="668"/>
      <c r="AK44" s="668"/>
      <c r="AL44" s="668"/>
      <c r="AM44" s="668"/>
      <c r="AN44" s="669"/>
      <c r="AO44" s="564" t="str">
        <f>'8a-Weapons'!AR38</f>
        <v/>
      </c>
      <c r="AP44" s="565"/>
      <c r="AQ44" s="565"/>
      <c r="AR44" s="565"/>
      <c r="AS44" s="565"/>
      <c r="AT44" s="565"/>
      <c r="AU44" s="565"/>
      <c r="AV44" s="565"/>
      <c r="AW44" s="565"/>
      <c r="AX44" s="566"/>
      <c r="AY44" s="564" t="str">
        <f>'8a-Weapons'!AU123</f>
        <v/>
      </c>
      <c r="AZ44" s="565"/>
      <c r="BA44" s="565"/>
      <c r="BB44" s="565"/>
      <c r="BC44" s="565"/>
      <c r="BD44" s="565"/>
      <c r="BE44" s="565"/>
      <c r="BF44" s="565"/>
      <c r="BG44" s="565"/>
      <c r="BH44" s="565"/>
      <c r="BI44" s="565"/>
      <c r="BJ44" s="565"/>
      <c r="BK44" s="565"/>
      <c r="BL44" s="565"/>
      <c r="BM44" s="565"/>
      <c r="BN44" s="565"/>
      <c r="BO44" s="565"/>
      <c r="BP44" s="565"/>
      <c r="BQ44" s="565"/>
      <c r="BR44" s="566"/>
      <c r="BS44" s="642">
        <v>11</v>
      </c>
      <c r="BT44" s="643"/>
      <c r="BU44" s="542" t="str">
        <f>"Crew"&amp;IF('11-Staterooms'!C58="No",""," (CS-1)")</f>
        <v>Crew</v>
      </c>
      <c r="BV44" s="542"/>
      <c r="BW44" s="542"/>
      <c r="BX44" s="542"/>
      <c r="BY44" s="542"/>
      <c r="BZ44" s="542"/>
      <c r="CA44" s="542"/>
      <c r="CB44" s="542"/>
      <c r="CC44" s="543"/>
      <c r="CD44" s="612" t="s">
        <v>1437</v>
      </c>
      <c r="CE44" s="595"/>
      <c r="CF44" s="595"/>
      <c r="CG44" s="595"/>
      <c r="CH44" s="595"/>
      <c r="CI44" s="595"/>
      <c r="CJ44" s="596"/>
      <c r="CK44" s="646" t="s">
        <v>696</v>
      </c>
      <c r="CL44" s="647"/>
      <c r="CM44" s="647"/>
      <c r="CN44" s="647"/>
      <c r="CO44" s="647"/>
      <c r="CP44" s="647"/>
      <c r="CQ44" s="647"/>
      <c r="CR44" s="648"/>
      <c r="CS44" s="594" t="s">
        <v>1435</v>
      </c>
      <c r="CT44" s="595"/>
      <c r="CU44" s="595"/>
      <c r="CV44" s="595"/>
      <c r="CW44" s="595"/>
      <c r="CX44" s="595"/>
      <c r="CY44" s="596"/>
      <c r="CZ44" s="646" t="s">
        <v>697</v>
      </c>
      <c r="DA44" s="647"/>
      <c r="DB44" s="647"/>
      <c r="DC44" s="647"/>
      <c r="DD44" s="647"/>
      <c r="DE44" s="647"/>
      <c r="DF44" s="648"/>
      <c r="DG44" s="594" t="s">
        <v>1436</v>
      </c>
      <c r="DH44" s="595"/>
      <c r="DI44" s="595"/>
      <c r="DJ44" s="595"/>
      <c r="DK44" s="595"/>
      <c r="DL44" s="595"/>
      <c r="DM44" s="596"/>
      <c r="DN44" s="646" t="s">
        <v>698</v>
      </c>
      <c r="DO44" s="647"/>
      <c r="DP44" s="647"/>
      <c r="DQ44" s="647"/>
      <c r="DR44" s="647"/>
      <c r="DS44" s="647"/>
      <c r="DT44" s="663"/>
      <c r="DU44" s="51"/>
      <c r="DV44" s="51"/>
    </row>
    <row r="45" spans="1:126" ht="7.25" customHeight="1">
      <c r="A45" s="538"/>
      <c r="B45" s="539"/>
      <c r="C45" s="539"/>
      <c r="D45" s="539"/>
      <c r="E45" s="539"/>
      <c r="F45" s="539"/>
      <c r="G45" s="539"/>
      <c r="H45" s="539"/>
      <c r="I45" s="539"/>
      <c r="J45" s="539"/>
      <c r="K45" s="539"/>
      <c r="L45" s="539"/>
      <c r="M45" s="539"/>
      <c r="N45" s="539"/>
      <c r="O45" s="539"/>
      <c r="P45" s="539"/>
      <c r="Q45" s="539"/>
      <c r="R45" s="539"/>
      <c r="S45" s="539"/>
      <c r="T45" s="539"/>
      <c r="U45" s="539"/>
      <c r="V45" s="539"/>
      <c r="W45" s="539"/>
      <c r="X45" s="539"/>
      <c r="Y45" s="539"/>
      <c r="Z45" s="539"/>
      <c r="AA45" s="539"/>
      <c r="AB45" s="539"/>
      <c r="AC45" s="540"/>
      <c r="AD45" s="670"/>
      <c r="AE45" s="671"/>
      <c r="AF45" s="671"/>
      <c r="AG45" s="671"/>
      <c r="AH45" s="671"/>
      <c r="AI45" s="671"/>
      <c r="AJ45" s="671"/>
      <c r="AK45" s="671"/>
      <c r="AL45" s="671"/>
      <c r="AM45" s="671"/>
      <c r="AN45" s="672"/>
      <c r="AO45" s="567"/>
      <c r="AP45" s="568"/>
      <c r="AQ45" s="568"/>
      <c r="AR45" s="568"/>
      <c r="AS45" s="568"/>
      <c r="AT45" s="568"/>
      <c r="AU45" s="568"/>
      <c r="AV45" s="568"/>
      <c r="AW45" s="568"/>
      <c r="AX45" s="569"/>
      <c r="AY45" s="567"/>
      <c r="AZ45" s="568"/>
      <c r="BA45" s="568"/>
      <c r="BB45" s="568"/>
      <c r="BC45" s="568"/>
      <c r="BD45" s="568"/>
      <c r="BE45" s="568"/>
      <c r="BF45" s="568"/>
      <c r="BG45" s="568"/>
      <c r="BH45" s="568"/>
      <c r="BI45" s="568"/>
      <c r="BJ45" s="568"/>
      <c r="BK45" s="568"/>
      <c r="BL45" s="568"/>
      <c r="BM45" s="568"/>
      <c r="BN45" s="568"/>
      <c r="BO45" s="568"/>
      <c r="BP45" s="568"/>
      <c r="BQ45" s="568"/>
      <c r="BR45" s="569"/>
      <c r="BS45" s="644"/>
      <c r="BT45" s="645"/>
      <c r="BU45" s="545"/>
      <c r="BV45" s="545"/>
      <c r="BW45" s="545"/>
      <c r="BX45" s="545"/>
      <c r="BY45" s="545"/>
      <c r="BZ45" s="545"/>
      <c r="CA45" s="545"/>
      <c r="CB45" s="545"/>
      <c r="CC45" s="546"/>
      <c r="CD45" s="641" t="s">
        <v>683</v>
      </c>
      <c r="CE45" s="620"/>
      <c r="CF45" s="620"/>
      <c r="CG45" s="620"/>
      <c r="CH45" s="620"/>
      <c r="CI45" s="620"/>
      <c r="CJ45" s="621"/>
      <c r="CK45" s="649"/>
      <c r="CL45" s="650"/>
      <c r="CM45" s="650"/>
      <c r="CN45" s="650"/>
      <c r="CO45" s="650"/>
      <c r="CP45" s="650"/>
      <c r="CQ45" s="650"/>
      <c r="CR45" s="651"/>
      <c r="CS45" s="619" t="s">
        <v>684</v>
      </c>
      <c r="CT45" s="620"/>
      <c r="CU45" s="620"/>
      <c r="CV45" s="620"/>
      <c r="CW45" s="620"/>
      <c r="CX45" s="620"/>
      <c r="CY45" s="621"/>
      <c r="CZ45" s="649"/>
      <c r="DA45" s="650"/>
      <c r="DB45" s="650"/>
      <c r="DC45" s="650"/>
      <c r="DD45" s="650"/>
      <c r="DE45" s="650"/>
      <c r="DF45" s="651"/>
      <c r="DG45" s="619" t="s">
        <v>685</v>
      </c>
      <c r="DH45" s="620"/>
      <c r="DI45" s="620"/>
      <c r="DJ45" s="620"/>
      <c r="DK45" s="620"/>
      <c r="DL45" s="620"/>
      <c r="DM45" s="621"/>
      <c r="DN45" s="649"/>
      <c r="DO45" s="650"/>
      <c r="DP45" s="650"/>
      <c r="DQ45" s="650"/>
      <c r="DR45" s="650"/>
      <c r="DS45" s="650"/>
      <c r="DT45" s="664"/>
      <c r="DU45" s="51"/>
      <c r="DV45" s="51"/>
    </row>
    <row r="46" spans="1:126" ht="7.25" customHeight="1">
      <c r="A46" s="541" t="str">
        <f>'8a-Weapons'!AS124</f>
        <v/>
      </c>
      <c r="B46" s="542"/>
      <c r="C46" s="542"/>
      <c r="D46" s="542"/>
      <c r="E46" s="542"/>
      <c r="F46" s="542"/>
      <c r="G46" s="542"/>
      <c r="H46" s="542"/>
      <c r="I46" s="542"/>
      <c r="J46" s="542"/>
      <c r="K46" s="542"/>
      <c r="L46" s="542"/>
      <c r="M46" s="542"/>
      <c r="N46" s="542"/>
      <c r="O46" s="542"/>
      <c r="P46" s="542"/>
      <c r="Q46" s="542"/>
      <c r="R46" s="542"/>
      <c r="S46" s="542"/>
      <c r="T46" s="542"/>
      <c r="U46" s="542"/>
      <c r="V46" s="542"/>
      <c r="W46" s="542"/>
      <c r="X46" s="542"/>
      <c r="Y46" s="542"/>
      <c r="Z46" s="542"/>
      <c r="AA46" s="542"/>
      <c r="AB46" s="542"/>
      <c r="AC46" s="543"/>
      <c r="AD46" s="547" t="str">
        <f>'8a-Weapons'!AQ39</f>
        <v/>
      </c>
      <c r="AE46" s="548"/>
      <c r="AF46" s="548"/>
      <c r="AG46" s="548"/>
      <c r="AH46" s="548"/>
      <c r="AI46" s="548"/>
      <c r="AJ46" s="548"/>
      <c r="AK46" s="548"/>
      <c r="AL46" s="548"/>
      <c r="AM46" s="548"/>
      <c r="AN46" s="549"/>
      <c r="AO46" s="553" t="str">
        <f>'8a-Weapons'!AR39</f>
        <v/>
      </c>
      <c r="AP46" s="554"/>
      <c r="AQ46" s="554"/>
      <c r="AR46" s="554"/>
      <c r="AS46" s="554"/>
      <c r="AT46" s="554"/>
      <c r="AU46" s="554"/>
      <c r="AV46" s="554"/>
      <c r="AW46" s="554"/>
      <c r="AX46" s="555"/>
      <c r="AY46" s="553" t="str">
        <f>'8a-Weapons'!AU124</f>
        <v/>
      </c>
      <c r="AZ46" s="554"/>
      <c r="BA46" s="554"/>
      <c r="BB46" s="554"/>
      <c r="BC46" s="554"/>
      <c r="BD46" s="554"/>
      <c r="BE46" s="554"/>
      <c r="BF46" s="554"/>
      <c r="BG46" s="554"/>
      <c r="BH46" s="554"/>
      <c r="BI46" s="554"/>
      <c r="BJ46" s="554"/>
      <c r="BK46" s="554"/>
      <c r="BL46" s="554"/>
      <c r="BM46" s="554"/>
      <c r="BN46" s="554"/>
      <c r="BO46" s="554"/>
      <c r="BP46" s="554"/>
      <c r="BQ46" s="554"/>
      <c r="BR46" s="555"/>
      <c r="BS46" s="559">
        <v>12</v>
      </c>
      <c r="BT46" s="560"/>
      <c r="BU46" s="536" t="str">
        <f>"Bridge"&amp;IF('5-Bridge'!C22="Yes"," (CS-1)","")</f>
        <v>Bridge</v>
      </c>
      <c r="BV46" s="536"/>
      <c r="BW46" s="536"/>
      <c r="BX46" s="536"/>
      <c r="BY46" s="536"/>
      <c r="BZ46" s="536"/>
      <c r="CA46" s="536"/>
      <c r="CB46" s="536"/>
      <c r="CC46" s="536"/>
      <c r="CD46" s="613" t="s">
        <v>1438</v>
      </c>
      <c r="CE46" s="597"/>
      <c r="CF46" s="597"/>
      <c r="CG46" s="597"/>
      <c r="CH46" s="597"/>
      <c r="CI46" s="597"/>
      <c r="CJ46" s="597"/>
      <c r="CK46" s="597" t="s">
        <v>1440</v>
      </c>
      <c r="CL46" s="597"/>
      <c r="CM46" s="597"/>
      <c r="CN46" s="597"/>
      <c r="CO46" s="597"/>
      <c r="CP46" s="597"/>
      <c r="CQ46" s="597"/>
      <c r="CR46" s="597"/>
      <c r="CS46" s="597" t="s">
        <v>1441</v>
      </c>
      <c r="CT46" s="597"/>
      <c r="CU46" s="597"/>
      <c r="CV46" s="597"/>
      <c r="CW46" s="597"/>
      <c r="CX46" s="597"/>
      <c r="CY46" s="597"/>
      <c r="CZ46" s="597" t="s">
        <v>1443</v>
      </c>
      <c r="DA46" s="597"/>
      <c r="DB46" s="597"/>
      <c r="DC46" s="597"/>
      <c r="DD46" s="597"/>
      <c r="DE46" s="597"/>
      <c r="DF46" s="597"/>
      <c r="DG46" s="597" t="s">
        <v>90</v>
      </c>
      <c r="DH46" s="597"/>
      <c r="DI46" s="597"/>
      <c r="DJ46" s="597"/>
      <c r="DK46" s="597"/>
      <c r="DL46" s="597"/>
      <c r="DM46" s="597"/>
      <c r="DN46" s="597" t="s">
        <v>1443</v>
      </c>
      <c r="DO46" s="597"/>
      <c r="DP46" s="597"/>
      <c r="DQ46" s="597"/>
      <c r="DR46" s="597"/>
      <c r="DS46" s="597"/>
      <c r="DT46" s="681"/>
      <c r="DU46" s="51"/>
      <c r="DV46" s="51"/>
    </row>
    <row r="47" spans="1:126" ht="7.25" customHeight="1" thickBot="1">
      <c r="A47" s="544"/>
      <c r="B47" s="545"/>
      <c r="C47" s="545"/>
      <c r="D47" s="545"/>
      <c r="E47" s="545"/>
      <c r="F47" s="545"/>
      <c r="G47" s="545"/>
      <c r="H47" s="545"/>
      <c r="I47" s="545"/>
      <c r="J47" s="545"/>
      <c r="K47" s="545"/>
      <c r="L47" s="545"/>
      <c r="M47" s="545"/>
      <c r="N47" s="545"/>
      <c r="O47" s="545"/>
      <c r="P47" s="545"/>
      <c r="Q47" s="545"/>
      <c r="R47" s="545"/>
      <c r="S47" s="545"/>
      <c r="T47" s="545"/>
      <c r="U47" s="545"/>
      <c r="V47" s="545"/>
      <c r="W47" s="545"/>
      <c r="X47" s="545"/>
      <c r="Y47" s="545"/>
      <c r="Z47" s="545"/>
      <c r="AA47" s="545"/>
      <c r="AB47" s="545"/>
      <c r="AC47" s="546"/>
      <c r="AD47" s="550"/>
      <c r="AE47" s="551"/>
      <c r="AF47" s="551"/>
      <c r="AG47" s="551"/>
      <c r="AH47" s="551"/>
      <c r="AI47" s="551"/>
      <c r="AJ47" s="551"/>
      <c r="AK47" s="551"/>
      <c r="AL47" s="551"/>
      <c r="AM47" s="551"/>
      <c r="AN47" s="552"/>
      <c r="AO47" s="556"/>
      <c r="AP47" s="557"/>
      <c r="AQ47" s="557"/>
      <c r="AR47" s="557"/>
      <c r="AS47" s="557"/>
      <c r="AT47" s="557"/>
      <c r="AU47" s="557"/>
      <c r="AV47" s="557"/>
      <c r="AW47" s="557"/>
      <c r="AX47" s="558"/>
      <c r="AY47" s="556"/>
      <c r="AZ47" s="557"/>
      <c r="BA47" s="557"/>
      <c r="BB47" s="557"/>
      <c r="BC47" s="557"/>
      <c r="BD47" s="557"/>
      <c r="BE47" s="557"/>
      <c r="BF47" s="557"/>
      <c r="BG47" s="557"/>
      <c r="BH47" s="557"/>
      <c r="BI47" s="557"/>
      <c r="BJ47" s="557"/>
      <c r="BK47" s="557"/>
      <c r="BL47" s="557"/>
      <c r="BM47" s="557"/>
      <c r="BN47" s="557"/>
      <c r="BO47" s="557"/>
      <c r="BP47" s="557"/>
      <c r="BQ47" s="557"/>
      <c r="BR47" s="558"/>
      <c r="BS47" s="561"/>
      <c r="BT47" s="562"/>
      <c r="BU47" s="563"/>
      <c r="BV47" s="563"/>
      <c r="BW47" s="563"/>
      <c r="BX47" s="563"/>
      <c r="BY47" s="563"/>
      <c r="BZ47" s="563"/>
      <c r="CA47" s="563"/>
      <c r="CB47" s="563"/>
      <c r="CC47" s="563"/>
      <c r="CD47" s="739" t="s">
        <v>672</v>
      </c>
      <c r="CE47" s="665"/>
      <c r="CF47" s="665"/>
      <c r="CG47" s="665"/>
      <c r="CH47" s="665"/>
      <c r="CI47" s="665"/>
      <c r="CJ47" s="665"/>
      <c r="CK47" s="665" t="s">
        <v>1439</v>
      </c>
      <c r="CL47" s="665"/>
      <c r="CM47" s="665"/>
      <c r="CN47" s="665"/>
      <c r="CO47" s="665"/>
      <c r="CP47" s="665"/>
      <c r="CQ47" s="665"/>
      <c r="CR47" s="665"/>
      <c r="CS47" s="748">
        <v>-0.5</v>
      </c>
      <c r="CT47" s="665"/>
      <c r="CU47" s="665"/>
      <c r="CV47" s="665"/>
      <c r="CW47" s="665"/>
      <c r="CX47" s="665"/>
      <c r="CY47" s="665"/>
      <c r="CZ47" s="665" t="s">
        <v>1442</v>
      </c>
      <c r="DA47" s="665"/>
      <c r="DB47" s="665"/>
      <c r="DC47" s="665"/>
      <c r="DD47" s="665"/>
      <c r="DE47" s="665"/>
      <c r="DF47" s="665"/>
      <c r="DG47" s="665" t="s">
        <v>679</v>
      </c>
      <c r="DH47" s="665"/>
      <c r="DI47" s="665"/>
      <c r="DJ47" s="665"/>
      <c r="DK47" s="665"/>
      <c r="DL47" s="665"/>
      <c r="DM47" s="665"/>
      <c r="DN47" s="665" t="s">
        <v>1444</v>
      </c>
      <c r="DO47" s="665"/>
      <c r="DP47" s="665"/>
      <c r="DQ47" s="665"/>
      <c r="DR47" s="665"/>
      <c r="DS47" s="665"/>
      <c r="DT47" s="666"/>
      <c r="DU47" s="51"/>
      <c r="DV47" s="51"/>
    </row>
    <row r="48" spans="1:126" ht="16" thickBot="1">
      <c r="A48" s="705" t="str">
        <f>'8a-Weapons'!AS125</f>
        <v/>
      </c>
      <c r="B48" s="624"/>
      <c r="C48" s="624"/>
      <c r="D48" s="624"/>
      <c r="E48" s="624"/>
      <c r="F48" s="624"/>
      <c r="G48" s="624"/>
      <c r="H48" s="624"/>
      <c r="I48" s="624"/>
      <c r="J48" s="624"/>
      <c r="K48" s="624"/>
      <c r="L48" s="624"/>
      <c r="M48" s="624"/>
      <c r="N48" s="624"/>
      <c r="O48" s="624"/>
      <c r="P48" s="624"/>
      <c r="Q48" s="624"/>
      <c r="R48" s="624"/>
      <c r="S48" s="624"/>
      <c r="T48" s="624"/>
      <c r="U48" s="624"/>
      <c r="V48" s="624"/>
      <c r="W48" s="624"/>
      <c r="X48" s="624"/>
      <c r="Y48" s="624"/>
      <c r="Z48" s="624"/>
      <c r="AA48" s="624"/>
      <c r="AB48" s="624"/>
      <c r="AC48" s="625"/>
      <c r="AD48" s="630" t="str">
        <f>'8a-Weapons'!AQ40</f>
        <v/>
      </c>
      <c r="AE48" s="631"/>
      <c r="AF48" s="631"/>
      <c r="AG48" s="631"/>
      <c r="AH48" s="631"/>
      <c r="AI48" s="631"/>
      <c r="AJ48" s="631"/>
      <c r="AK48" s="631"/>
      <c r="AL48" s="631"/>
      <c r="AM48" s="631"/>
      <c r="AN48" s="632"/>
      <c r="AO48" s="636" t="str">
        <f>'8a-Weapons'!AR40</f>
        <v/>
      </c>
      <c r="AP48" s="637"/>
      <c r="AQ48" s="637"/>
      <c r="AR48" s="637"/>
      <c r="AS48" s="637"/>
      <c r="AT48" s="637"/>
      <c r="AU48" s="637"/>
      <c r="AV48" s="637"/>
      <c r="AW48" s="637"/>
      <c r="AX48" s="638"/>
      <c r="AY48" s="636" t="str">
        <f>'8a-Weapons'!AU125</f>
        <v/>
      </c>
      <c r="AZ48" s="637"/>
      <c r="BA48" s="637"/>
      <c r="BB48" s="637"/>
      <c r="BC48" s="637"/>
      <c r="BD48" s="637"/>
      <c r="BE48" s="637"/>
      <c r="BF48" s="637"/>
      <c r="BG48" s="637"/>
      <c r="BH48" s="637"/>
      <c r="BI48" s="637"/>
      <c r="BJ48" s="637"/>
      <c r="BK48" s="637"/>
      <c r="BL48" s="637"/>
      <c r="BM48" s="637"/>
      <c r="BN48" s="637"/>
      <c r="BO48" s="637"/>
      <c r="BP48" s="637"/>
      <c r="BQ48" s="637"/>
      <c r="BR48" s="638"/>
      <c r="BS48" s="618" t="s">
        <v>741</v>
      </c>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51"/>
      <c r="DV48" s="51"/>
    </row>
    <row r="49" spans="1:126" ht="15" customHeight="1" thickBot="1">
      <c r="A49" s="532" t="str">
        <f>'8a-Weapons'!AS126</f>
        <v/>
      </c>
      <c r="B49" s="533"/>
      <c r="C49" s="533"/>
      <c r="D49" s="533"/>
      <c r="E49" s="533"/>
      <c r="F49" s="533"/>
      <c r="G49" s="533"/>
      <c r="H49" s="533"/>
      <c r="I49" s="533"/>
      <c r="J49" s="533"/>
      <c r="K49" s="533"/>
      <c r="L49" s="533"/>
      <c r="M49" s="533"/>
      <c r="N49" s="533"/>
      <c r="O49" s="533"/>
      <c r="P49" s="533"/>
      <c r="Q49" s="533"/>
      <c r="R49" s="533"/>
      <c r="S49" s="533"/>
      <c r="T49" s="533"/>
      <c r="U49" s="533"/>
      <c r="V49" s="533"/>
      <c r="W49" s="533"/>
      <c r="X49" s="533"/>
      <c r="Y49" s="533"/>
      <c r="Z49" s="533"/>
      <c r="AA49" s="533"/>
      <c r="AB49" s="533"/>
      <c r="AC49" s="534"/>
      <c r="AD49" s="627" t="str">
        <f>'8a-Weapons'!AQ41</f>
        <v/>
      </c>
      <c r="AE49" s="628"/>
      <c r="AF49" s="628"/>
      <c r="AG49" s="628"/>
      <c r="AH49" s="628"/>
      <c r="AI49" s="628"/>
      <c r="AJ49" s="628"/>
      <c r="AK49" s="628"/>
      <c r="AL49" s="628"/>
      <c r="AM49" s="628"/>
      <c r="AN49" s="629"/>
      <c r="AO49" s="633" t="str">
        <f>'8a-Weapons'!AR41</f>
        <v/>
      </c>
      <c r="AP49" s="634"/>
      <c r="AQ49" s="634"/>
      <c r="AR49" s="634"/>
      <c r="AS49" s="634"/>
      <c r="AT49" s="634"/>
      <c r="AU49" s="634"/>
      <c r="AV49" s="634"/>
      <c r="AW49" s="634"/>
      <c r="AX49" s="635"/>
      <c r="AY49" s="633" t="str">
        <f>'8a-Weapons'!AU126</f>
        <v/>
      </c>
      <c r="AZ49" s="634"/>
      <c r="BA49" s="634"/>
      <c r="BB49" s="634"/>
      <c r="BC49" s="634"/>
      <c r="BD49" s="634"/>
      <c r="BE49" s="634"/>
      <c r="BF49" s="634"/>
      <c r="BG49" s="634"/>
      <c r="BH49" s="634"/>
      <c r="BI49" s="634"/>
      <c r="BJ49" s="634"/>
      <c r="BK49" s="634"/>
      <c r="BL49" s="634"/>
      <c r="BM49" s="634"/>
      <c r="BN49" s="634"/>
      <c r="BO49" s="634"/>
      <c r="BP49" s="634"/>
      <c r="BQ49" s="634"/>
      <c r="BR49" s="635"/>
      <c r="BS49" s="622" t="s">
        <v>742</v>
      </c>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c r="CU49" s="623"/>
      <c r="CV49" s="623"/>
      <c r="CW49" s="623"/>
      <c r="CX49" s="623"/>
      <c r="CY49" s="623"/>
      <c r="CZ49" s="51"/>
      <c r="DA49" s="602" t="s">
        <v>582</v>
      </c>
      <c r="DB49" s="602"/>
      <c r="DC49" s="602"/>
      <c r="DD49" s="602"/>
      <c r="DE49" s="602"/>
      <c r="DF49" s="602"/>
      <c r="DG49" s="602"/>
      <c r="DH49" s="602"/>
      <c r="DI49" s="602"/>
      <c r="DJ49" s="602"/>
      <c r="DK49" s="602" t="str">
        <f>"Sensors (x"&amp;'7-Sensors'!C13&amp;")"</f>
        <v>Sensors (x1)</v>
      </c>
      <c r="DL49" s="602"/>
      <c r="DM49" s="602"/>
      <c r="DN49" s="602"/>
      <c r="DO49" s="602"/>
      <c r="DP49" s="602"/>
      <c r="DQ49" s="602"/>
      <c r="DR49" s="602"/>
      <c r="DS49" s="602"/>
      <c r="DT49" s="602"/>
      <c r="DU49" s="51"/>
      <c r="DV49" s="51"/>
    </row>
    <row r="50" spans="1:126" ht="15" customHeight="1" thickBot="1">
      <c r="A50" s="705" t="str">
        <f>'8a-Weapons'!AS127</f>
        <v/>
      </c>
      <c r="B50" s="624"/>
      <c r="C50" s="624"/>
      <c r="D50" s="624"/>
      <c r="E50" s="624"/>
      <c r="F50" s="624"/>
      <c r="G50" s="624"/>
      <c r="H50" s="624"/>
      <c r="I50" s="624"/>
      <c r="J50" s="624"/>
      <c r="K50" s="624"/>
      <c r="L50" s="624"/>
      <c r="M50" s="624"/>
      <c r="N50" s="624"/>
      <c r="O50" s="624"/>
      <c r="P50" s="624"/>
      <c r="Q50" s="624"/>
      <c r="R50" s="624"/>
      <c r="S50" s="624"/>
      <c r="T50" s="624"/>
      <c r="U50" s="624"/>
      <c r="V50" s="624"/>
      <c r="W50" s="624"/>
      <c r="X50" s="624"/>
      <c r="Y50" s="624"/>
      <c r="Z50" s="624"/>
      <c r="AA50" s="624"/>
      <c r="AB50" s="624"/>
      <c r="AC50" s="625"/>
      <c r="AD50" s="630" t="str">
        <f>'8a-Weapons'!AQ42</f>
        <v/>
      </c>
      <c r="AE50" s="631"/>
      <c r="AF50" s="631"/>
      <c r="AG50" s="631"/>
      <c r="AH50" s="631"/>
      <c r="AI50" s="631"/>
      <c r="AJ50" s="631"/>
      <c r="AK50" s="631"/>
      <c r="AL50" s="631"/>
      <c r="AM50" s="631"/>
      <c r="AN50" s="632"/>
      <c r="AO50" s="636" t="str">
        <f>'8a-Weapons'!AR42</f>
        <v/>
      </c>
      <c r="AP50" s="637"/>
      <c r="AQ50" s="637"/>
      <c r="AR50" s="637"/>
      <c r="AS50" s="637"/>
      <c r="AT50" s="637"/>
      <c r="AU50" s="637"/>
      <c r="AV50" s="637"/>
      <c r="AW50" s="637"/>
      <c r="AX50" s="638"/>
      <c r="AY50" s="636" t="str">
        <f>'8a-Weapons'!AU127</f>
        <v/>
      </c>
      <c r="AZ50" s="637"/>
      <c r="BA50" s="637"/>
      <c r="BB50" s="637"/>
      <c r="BC50" s="637"/>
      <c r="BD50" s="637"/>
      <c r="BE50" s="637"/>
      <c r="BF50" s="637"/>
      <c r="BG50" s="637"/>
      <c r="BH50" s="637"/>
      <c r="BI50" s="637"/>
      <c r="BJ50" s="637"/>
      <c r="BK50" s="637"/>
      <c r="BL50" s="637"/>
      <c r="BM50" s="637"/>
      <c r="BN50" s="637"/>
      <c r="BO50" s="637"/>
      <c r="BP50" s="637"/>
      <c r="BQ50" s="637"/>
      <c r="BR50" s="638"/>
      <c r="BS50" s="614" t="s">
        <v>408</v>
      </c>
      <c r="BT50" s="614"/>
      <c r="BU50" s="614"/>
      <c r="BV50" s="614"/>
      <c r="BW50" s="614"/>
      <c r="BX50" s="614"/>
      <c r="BY50" s="614"/>
      <c r="BZ50" s="614"/>
      <c r="CA50" s="614"/>
      <c r="CB50" s="614"/>
      <c r="CC50" s="614"/>
      <c r="CD50" s="614"/>
      <c r="CE50" s="614"/>
      <c r="CF50" s="615"/>
      <c r="CG50" s="605" t="s">
        <v>699</v>
      </c>
      <c r="CH50" s="605"/>
      <c r="CI50" s="605"/>
      <c r="CJ50" s="605"/>
      <c r="CK50" s="605" t="s">
        <v>123</v>
      </c>
      <c r="CL50" s="605"/>
      <c r="CM50" s="605"/>
      <c r="CN50" s="605"/>
      <c r="CO50" s="605"/>
      <c r="CP50" s="605"/>
      <c r="CQ50" s="605"/>
      <c r="CR50" s="605"/>
      <c r="CS50" s="605"/>
      <c r="CT50" s="605"/>
      <c r="CU50" s="605"/>
      <c r="CV50" s="605"/>
      <c r="CW50" s="605"/>
      <c r="CX50" s="605"/>
      <c r="CY50" s="639"/>
      <c r="CZ50" s="51"/>
      <c r="DA50" s="586" t="s">
        <v>700</v>
      </c>
      <c r="DB50" s="587"/>
      <c r="DC50" s="587"/>
      <c r="DD50" s="587"/>
      <c r="DE50" s="587"/>
      <c r="DF50" s="587"/>
      <c r="DG50" s="598" t="str">
        <f>'6-Comp'!Y5</f>
        <v>Bsc+1</v>
      </c>
      <c r="DH50" s="598"/>
      <c r="DI50" s="598"/>
      <c r="DJ50" s="599"/>
      <c r="DK50" s="586" t="s">
        <v>709</v>
      </c>
      <c r="DL50" s="587"/>
      <c r="DM50" s="587"/>
      <c r="DN50" s="587"/>
      <c r="DO50" s="587"/>
      <c r="DP50" s="587"/>
      <c r="DQ50" s="598" t="str">
        <f>'7-Sensors'!T24</f>
        <v>+1</v>
      </c>
      <c r="DR50" s="598"/>
      <c r="DS50" s="598"/>
      <c r="DT50" s="599"/>
      <c r="DU50" s="51"/>
      <c r="DV50" s="51"/>
    </row>
    <row r="51" spans="1:126" ht="15" customHeight="1">
      <c r="A51" s="532" t="str">
        <f>'8a-Weapons'!AS128</f>
        <v/>
      </c>
      <c r="B51" s="533"/>
      <c r="C51" s="533"/>
      <c r="D51" s="533"/>
      <c r="E51" s="533"/>
      <c r="F51" s="533"/>
      <c r="G51" s="533"/>
      <c r="H51" s="533"/>
      <c r="I51" s="533"/>
      <c r="J51" s="533"/>
      <c r="K51" s="533"/>
      <c r="L51" s="533"/>
      <c r="M51" s="533"/>
      <c r="N51" s="533"/>
      <c r="O51" s="533"/>
      <c r="P51" s="533"/>
      <c r="Q51" s="533"/>
      <c r="R51" s="533"/>
      <c r="S51" s="533"/>
      <c r="T51" s="533"/>
      <c r="U51" s="533"/>
      <c r="V51" s="533"/>
      <c r="W51" s="533"/>
      <c r="X51" s="533"/>
      <c r="Y51" s="533"/>
      <c r="Z51" s="533"/>
      <c r="AA51" s="533"/>
      <c r="AB51" s="533"/>
      <c r="AC51" s="534"/>
      <c r="AD51" s="627" t="str">
        <f>'8a-Weapons'!AQ43</f>
        <v/>
      </c>
      <c r="AE51" s="628"/>
      <c r="AF51" s="628"/>
      <c r="AG51" s="628"/>
      <c r="AH51" s="628"/>
      <c r="AI51" s="628"/>
      <c r="AJ51" s="628"/>
      <c r="AK51" s="628"/>
      <c r="AL51" s="628"/>
      <c r="AM51" s="628"/>
      <c r="AN51" s="629"/>
      <c r="AO51" s="633" t="str">
        <f>'8a-Weapons'!AR43</f>
        <v/>
      </c>
      <c r="AP51" s="634"/>
      <c r="AQ51" s="634"/>
      <c r="AR51" s="634"/>
      <c r="AS51" s="634"/>
      <c r="AT51" s="634"/>
      <c r="AU51" s="634"/>
      <c r="AV51" s="634"/>
      <c r="AW51" s="634"/>
      <c r="AX51" s="635"/>
      <c r="AY51" s="633" t="str">
        <f>'8a-Weapons'!AU128</f>
        <v/>
      </c>
      <c r="AZ51" s="634"/>
      <c r="BA51" s="634"/>
      <c r="BB51" s="634"/>
      <c r="BC51" s="634"/>
      <c r="BD51" s="634"/>
      <c r="BE51" s="634"/>
      <c r="BF51" s="634"/>
      <c r="BG51" s="634"/>
      <c r="BH51" s="634"/>
      <c r="BI51" s="634"/>
      <c r="BJ51" s="634"/>
      <c r="BK51" s="634"/>
      <c r="BL51" s="634"/>
      <c r="BM51" s="634"/>
      <c r="BN51" s="634"/>
      <c r="BO51" s="634"/>
      <c r="BP51" s="634"/>
      <c r="BQ51" s="634"/>
      <c r="BR51" s="635"/>
      <c r="BS51" s="616" t="str">
        <f>'8b-Screens'!B9</f>
        <v>Nuclear Damper</v>
      </c>
      <c r="BT51" s="606"/>
      <c r="BU51" s="606"/>
      <c r="BV51" s="606"/>
      <c r="BW51" s="606"/>
      <c r="BX51" s="606"/>
      <c r="BY51" s="606"/>
      <c r="BZ51" s="606"/>
      <c r="CA51" s="606"/>
      <c r="CB51" s="606"/>
      <c r="CC51" s="606"/>
      <c r="CD51" s="606"/>
      <c r="CE51" s="606"/>
      <c r="CF51" s="606"/>
      <c r="CG51" s="606">
        <f>'8b-Screens'!E9</f>
        <v>0</v>
      </c>
      <c r="CH51" s="606"/>
      <c r="CI51" s="606"/>
      <c r="CJ51" s="606"/>
      <c r="CK51" s="606" t="str">
        <f>'8b-Screens'!T60</f>
        <v xml:space="preserve">  </v>
      </c>
      <c r="CL51" s="606"/>
      <c r="CM51" s="606"/>
      <c r="CN51" s="606"/>
      <c r="CO51" s="606"/>
      <c r="CP51" s="606"/>
      <c r="CQ51" s="606"/>
      <c r="CR51" s="606"/>
      <c r="CS51" s="606"/>
      <c r="CT51" s="606"/>
      <c r="CU51" s="606"/>
      <c r="CV51" s="606"/>
      <c r="CW51" s="606"/>
      <c r="CX51" s="606"/>
      <c r="CY51" s="640"/>
      <c r="CZ51" s="51"/>
      <c r="DA51" s="600" t="s">
        <v>705</v>
      </c>
      <c r="DB51" s="601"/>
      <c r="DC51" s="601"/>
      <c r="DD51" s="601"/>
      <c r="DE51" s="601"/>
      <c r="DF51" s="601"/>
      <c r="DG51" s="578" t="str">
        <f>'6-Comp'!Y6</f>
        <v>+1</v>
      </c>
      <c r="DH51" s="578"/>
      <c r="DI51" s="578"/>
      <c r="DJ51" s="579"/>
      <c r="DK51" s="600" t="s">
        <v>710</v>
      </c>
      <c r="DL51" s="601"/>
      <c r="DM51" s="601"/>
      <c r="DN51" s="601"/>
      <c r="DO51" s="601"/>
      <c r="DP51" s="601"/>
      <c r="DQ51" s="578" t="str">
        <f>'7-Sensors'!T25</f>
        <v>0</v>
      </c>
      <c r="DR51" s="578"/>
      <c r="DS51" s="578"/>
      <c r="DT51" s="579"/>
      <c r="DU51" s="51"/>
      <c r="DV51" s="51"/>
    </row>
    <row r="52" spans="1:126" ht="15" customHeight="1">
      <c r="A52" s="705" t="str">
        <f>'8a-Weapons'!AS129</f>
        <v/>
      </c>
      <c r="B52" s="624"/>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5"/>
      <c r="AD52" s="630" t="str">
        <f>'8a-Weapons'!AQ44</f>
        <v/>
      </c>
      <c r="AE52" s="631"/>
      <c r="AF52" s="631"/>
      <c r="AG52" s="631"/>
      <c r="AH52" s="631"/>
      <c r="AI52" s="631"/>
      <c r="AJ52" s="631"/>
      <c r="AK52" s="631"/>
      <c r="AL52" s="631"/>
      <c r="AM52" s="631"/>
      <c r="AN52" s="632"/>
      <c r="AO52" s="636" t="str">
        <f>'8a-Weapons'!AR44</f>
        <v/>
      </c>
      <c r="AP52" s="637"/>
      <c r="AQ52" s="637"/>
      <c r="AR52" s="637"/>
      <c r="AS52" s="637"/>
      <c r="AT52" s="637"/>
      <c r="AU52" s="637"/>
      <c r="AV52" s="637"/>
      <c r="AW52" s="637"/>
      <c r="AX52" s="638"/>
      <c r="AY52" s="636" t="str">
        <f>'8a-Weapons'!AU129</f>
        <v/>
      </c>
      <c r="AZ52" s="637"/>
      <c r="BA52" s="637"/>
      <c r="BB52" s="637"/>
      <c r="BC52" s="637"/>
      <c r="BD52" s="637"/>
      <c r="BE52" s="637"/>
      <c r="BF52" s="637"/>
      <c r="BG52" s="637"/>
      <c r="BH52" s="637"/>
      <c r="BI52" s="637"/>
      <c r="BJ52" s="637"/>
      <c r="BK52" s="637"/>
      <c r="BL52" s="637"/>
      <c r="BM52" s="637"/>
      <c r="BN52" s="637"/>
      <c r="BO52" s="637"/>
      <c r="BP52" s="637"/>
      <c r="BQ52" s="637"/>
      <c r="BR52" s="638"/>
      <c r="BS52" s="617" t="str">
        <f>'8b-Screens'!B14</f>
        <v>Deflector Screens</v>
      </c>
      <c r="BT52" s="578"/>
      <c r="BU52" s="578"/>
      <c r="BV52" s="578"/>
      <c r="BW52" s="578"/>
      <c r="BX52" s="578"/>
      <c r="BY52" s="578"/>
      <c r="BZ52" s="578"/>
      <c r="CA52" s="578"/>
      <c r="CB52" s="578"/>
      <c r="CC52" s="578"/>
      <c r="CD52" s="578"/>
      <c r="CE52" s="578"/>
      <c r="CF52" s="578"/>
      <c r="CG52" s="578">
        <f>'8b-Screens'!E14</f>
        <v>0</v>
      </c>
      <c r="CH52" s="578"/>
      <c r="CI52" s="578"/>
      <c r="CJ52" s="578"/>
      <c r="CK52" s="578" t="str">
        <f>'8b-Screens'!V60</f>
        <v xml:space="preserve"> CS -1 </v>
      </c>
      <c r="CL52" s="578"/>
      <c r="CM52" s="578"/>
      <c r="CN52" s="578"/>
      <c r="CO52" s="578"/>
      <c r="CP52" s="578"/>
      <c r="CQ52" s="578"/>
      <c r="CR52" s="578"/>
      <c r="CS52" s="578"/>
      <c r="CT52" s="578"/>
      <c r="CU52" s="578"/>
      <c r="CV52" s="578"/>
      <c r="CW52" s="578"/>
      <c r="CX52" s="578"/>
      <c r="CY52" s="579"/>
      <c r="DA52" s="600" t="s">
        <v>708</v>
      </c>
      <c r="DB52" s="601"/>
      <c r="DC52" s="601"/>
      <c r="DD52" s="601"/>
      <c r="DE52" s="601"/>
      <c r="DF52" s="601"/>
      <c r="DG52" s="578" t="str">
        <f>'6-Comp'!Y7</f>
        <v>N/A</v>
      </c>
      <c r="DH52" s="578"/>
      <c r="DI52" s="578"/>
      <c r="DJ52" s="579"/>
      <c r="DK52" s="600" t="s">
        <v>711</v>
      </c>
      <c r="DL52" s="601"/>
      <c r="DM52" s="601"/>
      <c r="DN52" s="601"/>
      <c r="DO52" s="601"/>
      <c r="DP52" s="601"/>
      <c r="DQ52" s="578" t="str">
        <f>'7-Sensors'!T26</f>
        <v>+4</v>
      </c>
      <c r="DR52" s="578"/>
      <c r="DS52" s="578"/>
      <c r="DT52" s="579"/>
    </row>
    <row r="53" spans="1:126" ht="15" customHeight="1" thickBot="1">
      <c r="A53" s="532" t="str">
        <f>'8a-Weapons'!AS130</f>
        <v/>
      </c>
      <c r="B53" s="533"/>
      <c r="C53" s="533"/>
      <c r="D53" s="533"/>
      <c r="E53" s="533"/>
      <c r="F53" s="533"/>
      <c r="G53" s="533"/>
      <c r="H53" s="533"/>
      <c r="I53" s="533"/>
      <c r="J53" s="533"/>
      <c r="K53" s="533"/>
      <c r="L53" s="533"/>
      <c r="M53" s="533"/>
      <c r="N53" s="533"/>
      <c r="O53" s="533"/>
      <c r="P53" s="533"/>
      <c r="Q53" s="533"/>
      <c r="R53" s="533"/>
      <c r="S53" s="533"/>
      <c r="T53" s="533"/>
      <c r="U53" s="533"/>
      <c r="V53" s="533"/>
      <c r="W53" s="533"/>
      <c r="X53" s="533"/>
      <c r="Y53" s="533"/>
      <c r="Z53" s="533"/>
      <c r="AA53" s="533"/>
      <c r="AB53" s="533"/>
      <c r="AC53" s="534"/>
      <c r="AD53" s="627" t="str">
        <f>'8a-Weapons'!AQ45</f>
        <v/>
      </c>
      <c r="AE53" s="628"/>
      <c r="AF53" s="628"/>
      <c r="AG53" s="628"/>
      <c r="AH53" s="628"/>
      <c r="AI53" s="628"/>
      <c r="AJ53" s="628"/>
      <c r="AK53" s="628"/>
      <c r="AL53" s="628"/>
      <c r="AM53" s="628"/>
      <c r="AN53" s="629"/>
      <c r="AO53" s="633" t="str">
        <f>'8a-Weapons'!AR45</f>
        <v/>
      </c>
      <c r="AP53" s="634"/>
      <c r="AQ53" s="634"/>
      <c r="AR53" s="634"/>
      <c r="AS53" s="634"/>
      <c r="AT53" s="634"/>
      <c r="AU53" s="634"/>
      <c r="AV53" s="634"/>
      <c r="AW53" s="634"/>
      <c r="AX53" s="635"/>
      <c r="AY53" s="633" t="str">
        <f>'8a-Weapons'!AU130</f>
        <v/>
      </c>
      <c r="AZ53" s="634"/>
      <c r="BA53" s="634"/>
      <c r="BB53" s="634"/>
      <c r="BC53" s="634"/>
      <c r="BD53" s="634"/>
      <c r="BE53" s="634"/>
      <c r="BF53" s="634"/>
      <c r="BG53" s="634"/>
      <c r="BH53" s="634"/>
      <c r="BI53" s="634"/>
      <c r="BJ53" s="634"/>
      <c r="BK53" s="634"/>
      <c r="BL53" s="634"/>
      <c r="BM53" s="634"/>
      <c r="BN53" s="634"/>
      <c r="BO53" s="634"/>
      <c r="BP53" s="634"/>
      <c r="BQ53" s="634"/>
      <c r="BR53" s="635"/>
      <c r="BS53" s="617" t="str">
        <f>'8b-Screens'!B19</f>
        <v/>
      </c>
      <c r="BT53" s="578"/>
      <c r="BU53" s="578"/>
      <c r="BV53" s="578"/>
      <c r="BW53" s="578"/>
      <c r="BX53" s="578"/>
      <c r="BY53" s="578"/>
      <c r="BZ53" s="578"/>
      <c r="CA53" s="578"/>
      <c r="CB53" s="578"/>
      <c r="CC53" s="578"/>
      <c r="CD53" s="578"/>
      <c r="CE53" s="578"/>
      <c r="CF53" s="578"/>
      <c r="CG53" s="578">
        <f>'8b-Screens'!E19</f>
        <v>0</v>
      </c>
      <c r="CH53" s="578"/>
      <c r="CI53" s="578"/>
      <c r="CJ53" s="578"/>
      <c r="CK53" s="578" t="str">
        <f>'8b-Screens'!X60</f>
        <v xml:space="preserve">  </v>
      </c>
      <c r="CL53" s="578"/>
      <c r="CM53" s="578"/>
      <c r="CN53" s="578"/>
      <c r="CO53" s="578"/>
      <c r="CP53" s="578"/>
      <c r="CQ53" s="578"/>
      <c r="CR53" s="578"/>
      <c r="CS53" s="578"/>
      <c r="CT53" s="578"/>
      <c r="CU53" s="578"/>
      <c r="CV53" s="578"/>
      <c r="CW53" s="578"/>
      <c r="CX53" s="578"/>
      <c r="CY53" s="579"/>
      <c r="DA53" s="600" t="s">
        <v>253</v>
      </c>
      <c r="DB53" s="601"/>
      <c r="DC53" s="601"/>
      <c r="DD53" s="601"/>
      <c r="DE53" s="601"/>
      <c r="DF53" s="601"/>
      <c r="DG53" s="578" t="str">
        <f>'6-Comp'!Y8</f>
        <v>-1</v>
      </c>
      <c r="DH53" s="578"/>
      <c r="DI53" s="578"/>
      <c r="DJ53" s="579"/>
      <c r="DK53" s="580" t="s">
        <v>712</v>
      </c>
      <c r="DL53" s="581"/>
      <c r="DM53" s="581"/>
      <c r="DN53" s="581"/>
      <c r="DO53" s="581"/>
      <c r="DP53" s="581"/>
      <c r="DQ53" s="604" t="str">
        <f>'7-Sensors'!T27</f>
        <v>+Rng</v>
      </c>
      <c r="DR53" s="604"/>
      <c r="DS53" s="604"/>
      <c r="DT53" s="626"/>
    </row>
    <row r="54" spans="1:126" ht="15" customHeight="1">
      <c r="A54" s="705" t="str">
        <f>'8a-Weapons'!AS131</f>
        <v/>
      </c>
      <c r="B54" s="624"/>
      <c r="C54" s="624"/>
      <c r="D54" s="624"/>
      <c r="E54" s="624"/>
      <c r="F54" s="624"/>
      <c r="G54" s="624"/>
      <c r="H54" s="624"/>
      <c r="I54" s="624"/>
      <c r="J54" s="624"/>
      <c r="K54" s="624"/>
      <c r="L54" s="624"/>
      <c r="M54" s="624"/>
      <c r="N54" s="624"/>
      <c r="O54" s="624"/>
      <c r="P54" s="624"/>
      <c r="Q54" s="624"/>
      <c r="R54" s="624"/>
      <c r="S54" s="624"/>
      <c r="T54" s="624"/>
      <c r="U54" s="624"/>
      <c r="V54" s="624"/>
      <c r="W54" s="624"/>
      <c r="X54" s="624"/>
      <c r="Y54" s="624"/>
      <c r="Z54" s="624"/>
      <c r="AA54" s="624"/>
      <c r="AB54" s="624"/>
      <c r="AC54" s="625"/>
      <c r="AD54" s="630" t="str">
        <f>'8a-Weapons'!AQ46</f>
        <v/>
      </c>
      <c r="AE54" s="631"/>
      <c r="AF54" s="631"/>
      <c r="AG54" s="631"/>
      <c r="AH54" s="631"/>
      <c r="AI54" s="631"/>
      <c r="AJ54" s="631"/>
      <c r="AK54" s="631"/>
      <c r="AL54" s="631"/>
      <c r="AM54" s="631"/>
      <c r="AN54" s="632"/>
      <c r="AO54" s="636" t="str">
        <f>'8a-Weapons'!AR46</f>
        <v/>
      </c>
      <c r="AP54" s="637"/>
      <c r="AQ54" s="637"/>
      <c r="AR54" s="637"/>
      <c r="AS54" s="637"/>
      <c r="AT54" s="637"/>
      <c r="AU54" s="637"/>
      <c r="AV54" s="637"/>
      <c r="AW54" s="637"/>
      <c r="AX54" s="638"/>
      <c r="AY54" s="636" t="str">
        <f>'8a-Weapons'!AU131</f>
        <v/>
      </c>
      <c r="AZ54" s="637"/>
      <c r="BA54" s="637"/>
      <c r="BB54" s="637"/>
      <c r="BC54" s="637"/>
      <c r="BD54" s="637"/>
      <c r="BE54" s="637"/>
      <c r="BF54" s="637"/>
      <c r="BG54" s="637"/>
      <c r="BH54" s="637"/>
      <c r="BI54" s="637"/>
      <c r="BJ54" s="637"/>
      <c r="BK54" s="637"/>
      <c r="BL54" s="637"/>
      <c r="BM54" s="637"/>
      <c r="BN54" s="637"/>
      <c r="BO54" s="637"/>
      <c r="BP54" s="637"/>
      <c r="BQ54" s="637"/>
      <c r="BR54" s="638"/>
      <c r="BS54" s="617" t="str">
        <f>'8b-Screens'!B24</f>
        <v/>
      </c>
      <c r="BT54" s="578"/>
      <c r="BU54" s="578"/>
      <c r="BV54" s="578"/>
      <c r="BW54" s="578"/>
      <c r="BX54" s="578"/>
      <c r="BY54" s="578"/>
      <c r="BZ54" s="578"/>
      <c r="CA54" s="578"/>
      <c r="CB54" s="578"/>
      <c r="CC54" s="578"/>
      <c r="CD54" s="578"/>
      <c r="CE54" s="578"/>
      <c r="CF54" s="578"/>
      <c r="CG54" s="578">
        <f>'8b-Screens'!E24</f>
        <v>0</v>
      </c>
      <c r="CH54" s="578"/>
      <c r="CI54" s="578"/>
      <c r="CJ54" s="578"/>
      <c r="CK54" s="578" t="str">
        <f>'8b-Screens'!Z60</f>
        <v xml:space="preserve">  </v>
      </c>
      <c r="CL54" s="578"/>
      <c r="CM54" s="578"/>
      <c r="CN54" s="578"/>
      <c r="CO54" s="578"/>
      <c r="CP54" s="578"/>
      <c r="CQ54" s="578"/>
      <c r="CR54" s="578"/>
      <c r="CS54" s="578"/>
      <c r="CT54" s="578"/>
      <c r="CU54" s="578"/>
      <c r="CV54" s="578"/>
      <c r="CW54" s="578"/>
      <c r="CX54" s="578"/>
      <c r="CY54" s="579"/>
      <c r="DA54" s="600" t="s">
        <v>703</v>
      </c>
      <c r="DB54" s="601"/>
      <c r="DC54" s="601"/>
      <c r="DD54" s="601"/>
      <c r="DE54" s="601"/>
      <c r="DF54" s="601"/>
      <c r="DG54" s="578" t="str">
        <f>'6-Comp'!Y9</f>
        <v>N/A</v>
      </c>
      <c r="DH54" s="578"/>
      <c r="DI54" s="578"/>
      <c r="DJ54" s="579"/>
      <c r="DL54" s="575" t="s">
        <v>756</v>
      </c>
      <c r="DM54" s="576"/>
      <c r="DN54" s="576"/>
      <c r="DO54" s="576"/>
      <c r="DP54" s="576"/>
      <c r="DQ54" s="576"/>
      <c r="DR54" s="576"/>
      <c r="DS54" s="576"/>
      <c r="DT54" s="577"/>
    </row>
    <row r="55" spans="1:126" ht="16" thickBot="1">
      <c r="A55" s="532" t="str">
        <f>'8a-Weapons'!AS132</f>
        <v/>
      </c>
      <c r="B55" s="533"/>
      <c r="C55" s="533"/>
      <c r="D55" s="533"/>
      <c r="E55" s="533"/>
      <c r="F55" s="533"/>
      <c r="G55" s="533"/>
      <c r="H55" s="533"/>
      <c r="I55" s="533"/>
      <c r="J55" s="533"/>
      <c r="K55" s="533"/>
      <c r="L55" s="533"/>
      <c r="M55" s="533"/>
      <c r="N55" s="533"/>
      <c r="O55" s="533"/>
      <c r="P55" s="533"/>
      <c r="Q55" s="533"/>
      <c r="R55" s="533"/>
      <c r="S55" s="533"/>
      <c r="T55" s="533"/>
      <c r="U55" s="533"/>
      <c r="V55" s="533"/>
      <c r="W55" s="533"/>
      <c r="X55" s="533"/>
      <c r="Y55" s="533"/>
      <c r="Z55" s="533"/>
      <c r="AA55" s="533"/>
      <c r="AB55" s="533"/>
      <c r="AC55" s="534"/>
      <c r="AD55" s="627" t="str">
        <f>'8a-Weapons'!AQ47</f>
        <v/>
      </c>
      <c r="AE55" s="628"/>
      <c r="AF55" s="628"/>
      <c r="AG55" s="628"/>
      <c r="AH55" s="628"/>
      <c r="AI55" s="628"/>
      <c r="AJ55" s="628"/>
      <c r="AK55" s="628"/>
      <c r="AL55" s="628"/>
      <c r="AM55" s="628"/>
      <c r="AN55" s="629"/>
      <c r="AO55" s="751" t="str">
        <f>'8a-Weapons'!AR47</f>
        <v/>
      </c>
      <c r="AP55" s="752"/>
      <c r="AQ55" s="752"/>
      <c r="AR55" s="752"/>
      <c r="AS55" s="752"/>
      <c r="AT55" s="752"/>
      <c r="AU55" s="752"/>
      <c r="AV55" s="752"/>
      <c r="AW55" s="752"/>
      <c r="AX55" s="753"/>
      <c r="AY55" s="751" t="str">
        <f>'8a-Weapons'!AU132</f>
        <v/>
      </c>
      <c r="AZ55" s="752"/>
      <c r="BA55" s="752"/>
      <c r="BB55" s="752"/>
      <c r="BC55" s="752"/>
      <c r="BD55" s="752"/>
      <c r="BE55" s="752"/>
      <c r="BF55" s="752"/>
      <c r="BG55" s="752"/>
      <c r="BH55" s="752"/>
      <c r="BI55" s="752"/>
      <c r="BJ55" s="752"/>
      <c r="BK55" s="752"/>
      <c r="BL55" s="752"/>
      <c r="BM55" s="752"/>
      <c r="BN55" s="752"/>
      <c r="BO55" s="752"/>
      <c r="BP55" s="752"/>
      <c r="BQ55" s="752"/>
      <c r="BR55" s="753"/>
      <c r="BS55" s="617" t="str">
        <f>IF('8b-Screens'!D34=0,"","Grav Shielding")</f>
        <v/>
      </c>
      <c r="BT55" s="578"/>
      <c r="BU55" s="578"/>
      <c r="BV55" s="578"/>
      <c r="BW55" s="578"/>
      <c r="BX55" s="578"/>
      <c r="BY55" s="578"/>
      <c r="BZ55" s="578"/>
      <c r="CA55" s="578"/>
      <c r="CB55" s="578"/>
      <c r="CC55" s="578"/>
      <c r="CD55" s="578"/>
      <c r="CE55" s="578"/>
      <c r="CF55" s="578"/>
      <c r="CG55" s="582" t="str">
        <f>INDEX('8b-Screens'!T64:V70,MATCH('8b-Screens'!D34,'8b-Screens'!T64:T70,0),3)</f>
        <v/>
      </c>
      <c r="CH55" s="582"/>
      <c r="CI55" s="582"/>
      <c r="CJ55" s="582"/>
      <c r="CK55" s="582" t="str">
        <f>'8b-Screens'!Y52</f>
        <v xml:space="preserve">  </v>
      </c>
      <c r="CL55" s="582"/>
      <c r="CM55" s="582"/>
      <c r="CN55" s="582"/>
      <c r="CO55" s="582"/>
      <c r="CP55" s="582"/>
      <c r="CQ55" s="582"/>
      <c r="CR55" s="582"/>
      <c r="CS55" s="582"/>
      <c r="CT55" s="582"/>
      <c r="CU55" s="582"/>
      <c r="CV55" s="582"/>
      <c r="CW55" s="582"/>
      <c r="CX55" s="582"/>
      <c r="CY55" s="583"/>
      <c r="DA55" s="600" t="s">
        <v>704</v>
      </c>
      <c r="DB55" s="601"/>
      <c r="DC55" s="601"/>
      <c r="DD55" s="601"/>
      <c r="DE55" s="601"/>
      <c r="DF55" s="601"/>
      <c r="DG55" s="578" t="str">
        <f>'6-Comp'!Y10</f>
        <v>N/A</v>
      </c>
      <c r="DH55" s="578"/>
      <c r="DI55" s="578"/>
      <c r="DJ55" s="579"/>
      <c r="DL55" s="653" t="s">
        <v>755</v>
      </c>
      <c r="DM55" s="654"/>
      <c r="DN55" s="654"/>
      <c r="DO55" s="654"/>
      <c r="DP55" s="654"/>
      <c r="DQ55" s="654"/>
      <c r="DR55" s="654"/>
      <c r="DS55" s="654"/>
      <c r="DT55" s="655"/>
    </row>
    <row r="56" spans="1:126" ht="17" thickTop="1" thickBot="1">
      <c r="A56" s="749" t="str">
        <f>'8a-Weapons'!AS136</f>
        <v/>
      </c>
      <c r="B56" s="749"/>
      <c r="C56" s="749"/>
      <c r="D56" s="749"/>
      <c r="E56" s="749"/>
      <c r="F56" s="749"/>
      <c r="G56" s="749"/>
      <c r="H56" s="749"/>
      <c r="I56" s="749"/>
      <c r="J56" s="749"/>
      <c r="K56" s="749"/>
      <c r="L56" s="749"/>
      <c r="M56" s="749"/>
      <c r="N56" s="749"/>
      <c r="O56" s="749"/>
      <c r="P56" s="749"/>
      <c r="Q56" s="749"/>
      <c r="R56" s="749"/>
      <c r="S56" s="749"/>
      <c r="T56" s="749"/>
      <c r="U56" s="749"/>
      <c r="V56" s="749"/>
      <c r="W56" s="749"/>
      <c r="X56" s="749"/>
      <c r="Y56" s="749"/>
      <c r="Z56" s="749"/>
      <c r="AA56" s="749"/>
      <c r="AB56" s="749"/>
      <c r="AC56" s="749"/>
      <c r="AD56" s="750" t="str">
        <f>'8a-Weapons'!AW136</f>
        <v/>
      </c>
      <c r="AE56" s="750"/>
      <c r="AF56" s="750"/>
      <c r="AG56" s="750"/>
      <c r="AH56" s="750"/>
      <c r="AI56" s="750"/>
      <c r="AJ56" s="750"/>
      <c r="AK56" s="750"/>
      <c r="AL56" s="750"/>
      <c r="AM56" s="750"/>
      <c r="AN56" s="750"/>
      <c r="AO56" s="750" t="str">
        <f>'8a-Weapons'!AX136</f>
        <v>0DD (xK)</v>
      </c>
      <c r="AP56" s="750"/>
      <c r="AQ56" s="750"/>
      <c r="AR56" s="750"/>
      <c r="AS56" s="750"/>
      <c r="AT56" s="750"/>
      <c r="AU56" s="750"/>
      <c r="AV56" s="750"/>
      <c r="AW56" s="750"/>
      <c r="AX56" s="750"/>
      <c r="AY56" s="750" t="str">
        <f>'8a-Weapons'!AU136</f>
        <v/>
      </c>
      <c r="AZ56" s="750"/>
      <c r="BA56" s="750"/>
      <c r="BB56" s="750"/>
      <c r="BC56" s="750"/>
      <c r="BD56" s="750"/>
      <c r="BE56" s="750"/>
      <c r="BF56" s="750"/>
      <c r="BG56" s="750"/>
      <c r="BH56" s="750"/>
      <c r="BI56" s="750"/>
      <c r="BJ56" s="750"/>
      <c r="BK56" s="750"/>
      <c r="BL56" s="750"/>
      <c r="BM56" s="750"/>
      <c r="BN56" s="750"/>
      <c r="BO56" s="750"/>
      <c r="BP56" s="750"/>
      <c r="BQ56" s="750"/>
      <c r="BR56" s="750"/>
      <c r="BS56" s="603" t="str">
        <f>IF('8b-Screens'!C39='8b-Screens'!S6,"",'8b-Screens'!B39)</f>
        <v/>
      </c>
      <c r="BT56" s="604"/>
      <c r="BU56" s="604"/>
      <c r="BV56" s="604"/>
      <c r="BW56" s="604"/>
      <c r="BX56" s="604"/>
      <c r="BY56" s="604"/>
      <c r="BZ56" s="604"/>
      <c r="CA56" s="604"/>
      <c r="CB56" s="604"/>
      <c r="CC56" s="604"/>
      <c r="CD56" s="604"/>
      <c r="CE56" s="604"/>
      <c r="CF56" s="604"/>
      <c r="CG56" s="584">
        <f>'8b-Screens'!E39</f>
        <v>0</v>
      </c>
      <c r="CH56" s="584"/>
      <c r="CI56" s="584"/>
      <c r="CJ56" s="584"/>
      <c r="CK56" s="584" t="str">
        <f>IF(CG49&gt;0,"Dmg Cap:"&amp;'8b-Screens'!D42,"")</f>
        <v/>
      </c>
      <c r="CL56" s="584"/>
      <c r="CM56" s="584"/>
      <c r="CN56" s="584"/>
      <c r="CO56" s="584"/>
      <c r="CP56" s="584"/>
      <c r="CQ56" s="584"/>
      <c r="CR56" s="584"/>
      <c r="CS56" s="584"/>
      <c r="CT56" s="584"/>
      <c r="CU56" s="584"/>
      <c r="CV56" s="584"/>
      <c r="CW56" s="584"/>
      <c r="CX56" s="584"/>
      <c r="CY56" s="585"/>
      <c r="DA56" s="580" t="s">
        <v>707</v>
      </c>
      <c r="DB56" s="581"/>
      <c r="DC56" s="581"/>
      <c r="DD56" s="581"/>
      <c r="DE56" s="581"/>
      <c r="DF56" s="581"/>
      <c r="DG56" s="604" t="str">
        <f>'6-Comp'!Y11</f>
        <v>X</v>
      </c>
      <c r="DH56" s="604"/>
      <c r="DI56" s="604"/>
      <c r="DJ56" s="626"/>
      <c r="DL56" s="573">
        <f>SUM('12-Cargo'!D38:'12-Cargo'!D48)</f>
        <v>0</v>
      </c>
      <c r="DM56" s="563"/>
      <c r="DN56" s="563"/>
      <c r="DO56" s="563"/>
      <c r="DP56" s="563"/>
      <c r="DQ56" s="563"/>
      <c r="DR56" s="563"/>
      <c r="DS56" s="563"/>
      <c r="DT56" s="574"/>
    </row>
  </sheetData>
  <sheetProtection algorithmName="SHA-512" hashValue="spLN2ZyFjRh7S/aRUryLZWFJf+3N03HFOLNCTn5TsVDpL4jDUi/SnA+sgnrIcQgyNsRzBePM3TGPRAb+dnnECQ==" saltValue="81+K/0gWyrPlIkt2B0+Uqg==" spinCount="100000" sheet="1" selectLockedCells="1"/>
  <mergeCells count="292">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BS54:CF54"/>
    <mergeCell ref="BS55:CF55"/>
    <mergeCell ref="DL55:DT55"/>
    <mergeCell ref="DQ51:DT51"/>
    <mergeCell ref="DQ52:DT52"/>
    <mergeCell ref="DQ53:DT53"/>
    <mergeCell ref="DK52:DP52"/>
    <mergeCell ref="DQ50:DT50"/>
    <mergeCell ref="DK53:DP53"/>
    <mergeCell ref="DK51:DP51"/>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F3" sqref="F3"/>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2459</v>
      </c>
      <c r="G1" s="6" t="s">
        <v>1</v>
      </c>
      <c r="I1" s="786" t="s">
        <v>46</v>
      </c>
      <c r="J1" s="786"/>
      <c r="L1" s="786" t="s">
        <v>47</v>
      </c>
      <c r="M1" s="786"/>
      <c r="S1" s="119" t="s">
        <v>99</v>
      </c>
    </row>
    <row r="2" spans="1:19" ht="16" thickBot="1">
      <c r="A2" s="3" t="s">
        <v>432</v>
      </c>
      <c r="B2" s="197" t="s">
        <v>2460</v>
      </c>
      <c r="E2" s="7" t="s">
        <v>0</v>
      </c>
      <c r="F2" s="198">
        <v>14</v>
      </c>
      <c r="G2" s="4">
        <f>SUM('1-Hull'!F4,'2-Drives'!F5,'3-Pwr Plant'!F5,'4-Fuel'!F5,'5-Bridge'!F5,'6-Comp'!F5,'7-Sensors'!F5,'8a-Weapons'!L5,'8b-Screens'!F5,'9a-Optional'!F5,'9b-Optional'!F5,'11-Staterooms'!F5,'12-Cargo'!F5)*IF(F3="No",1,0.9)</f>
        <v>1536124666.6666665</v>
      </c>
      <c r="I2" s="1" t="s">
        <v>403</v>
      </c>
      <c r="J2" s="1" t="s">
        <v>27</v>
      </c>
      <c r="L2" s="1" t="s">
        <v>403</v>
      </c>
      <c r="M2" s="811" t="s">
        <v>27</v>
      </c>
      <c r="N2" s="811"/>
      <c r="S2" s="119" t="s">
        <v>100</v>
      </c>
    </row>
    <row r="3" spans="1:19" ht="16" thickBot="1">
      <c r="E3" s="7" t="s">
        <v>1067</v>
      </c>
      <c r="F3" s="197" t="s">
        <v>99</v>
      </c>
      <c r="I3" s="10">
        <f>J3-'1-Hull'!S57-'2-Drives'!S63-'3-Pwr Plant'!S38-'4-Fuel'!S20-'5-Bridge'!S17-'7-Sensors'!S14-'8a-Weapons'!N9-'8b-Screens'!S40-'9a-Optional'!S29-'9b-Optional'!S10-'11-Staterooms'!S26-'12-Cargo'!S19</f>
        <v>6.25</v>
      </c>
      <c r="J3" s="270">
        <f>'1-Hull'!I6</f>
        <v>1000</v>
      </c>
      <c r="L3" s="270">
        <f>M3-'2-Drives'!S66-'7-Sensors'!S17-'8a-Weapons'!Q9-'8b-Screens'!S43-'1-Hull'!T57-'9a-Optional'!S32-'9b-Optional'!S13-'11-Staterooms'!S30-'12-Cargo'!S22-'4-Fuel'!S23-'6-Comp'!S101</f>
        <v>6</v>
      </c>
      <c r="M3" s="812">
        <f>'3-Pwr Plant'!L6</f>
        <v>850</v>
      </c>
      <c r="N3" s="812"/>
    </row>
    <row r="4" spans="1:19" ht="16" thickBot="1">
      <c r="A4" s="3" t="str">
        <f>IF($F$5,"Ship's Name",IF($F$6,"Station's Name",IF($F$7,"Base Ship's Class Name","Ship's Name")))</f>
        <v>Ship's Name</v>
      </c>
      <c r="B4" s="199"/>
      <c r="L4" s="7" t="s">
        <v>406</v>
      </c>
      <c r="M4" s="812" t="str">
        <f>'3-Pwr Plant'!L15</f>
        <v xml:space="preserve"> </v>
      </c>
      <c r="N4" s="812"/>
    </row>
    <row r="5" spans="1:19" ht="16" thickBot="1">
      <c r="B5" s="7" t="s">
        <v>1468</v>
      </c>
      <c r="C5" s="198">
        <v>1500</v>
      </c>
      <c r="E5" t="s">
        <v>1463</v>
      </c>
      <c r="F5" s="119">
        <f>IF(E6="Ship",1,0)</f>
        <v>1</v>
      </c>
      <c r="L5" s="7" t="s">
        <v>407</v>
      </c>
      <c r="M5" s="812">
        <f>'3-Pwr Plant'!L18</f>
        <v>0</v>
      </c>
      <c r="N5" s="812"/>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787"/>
      <c r="B8" s="788"/>
      <c r="C8" s="789"/>
      <c r="D8" s="113"/>
      <c r="E8" s="192" t="s">
        <v>1002</v>
      </c>
      <c r="F8" s="193"/>
      <c r="G8" s="194" t="s">
        <v>1</v>
      </c>
      <c r="H8" s="194" t="s">
        <v>117</v>
      </c>
      <c r="I8" s="194" t="s">
        <v>55</v>
      </c>
      <c r="K8" s="275" t="s">
        <v>1469</v>
      </c>
      <c r="L8" s="805" t="s">
        <v>1486</v>
      </c>
      <c r="M8" s="806"/>
      <c r="N8" s="806"/>
      <c r="O8" s="806"/>
      <c r="P8" s="806"/>
      <c r="Q8" s="807"/>
    </row>
    <row r="9" spans="1:19">
      <c r="A9" s="790"/>
      <c r="B9" s="791"/>
      <c r="C9" s="792"/>
      <c r="D9" s="113"/>
      <c r="E9" s="136" t="s">
        <v>574</v>
      </c>
      <c r="F9" s="137"/>
      <c r="G9" s="189">
        <f>'1-Hull'!F4</f>
        <v>380000000</v>
      </c>
      <c r="H9" s="318">
        <f>'1-Hull'!S57</f>
        <v>50</v>
      </c>
      <c r="I9" s="318">
        <f>'1-Hull'!T57</f>
        <v>200</v>
      </c>
      <c r="K9" s="276" t="s">
        <v>1483</v>
      </c>
      <c r="L9" s="808"/>
      <c r="M9" s="809"/>
      <c r="N9" s="809"/>
      <c r="O9" s="809"/>
      <c r="P9" s="809"/>
      <c r="Q9" s="810"/>
    </row>
    <row r="10" spans="1:19">
      <c r="A10" s="790"/>
      <c r="B10" s="791"/>
      <c r="C10" s="792"/>
      <c r="D10" s="113"/>
      <c r="E10" s="92" t="s">
        <v>1003</v>
      </c>
      <c r="F10" s="46"/>
      <c r="G10" s="190">
        <f>'2-Drives'!F5</f>
        <v>420000000</v>
      </c>
      <c r="H10" s="319">
        <f>'2-Drives'!S63</f>
        <v>90</v>
      </c>
      <c r="I10" s="319">
        <f>'2-Drives'!S66</f>
        <v>450</v>
      </c>
      <c r="K10" s="277" t="str">
        <f>IF(K21=5,"*A*","A")</f>
        <v>A</v>
      </c>
      <c r="L10" s="123"/>
      <c r="M10" s="123"/>
      <c r="N10" s="123"/>
      <c r="O10" s="123"/>
      <c r="P10" s="123"/>
      <c r="Q10" s="284"/>
    </row>
    <row r="11" spans="1:19">
      <c r="A11" s="790"/>
      <c r="B11" s="791"/>
      <c r="C11" s="792"/>
      <c r="D11" s="113"/>
      <c r="E11" s="136" t="s">
        <v>64</v>
      </c>
      <c r="F11" s="137"/>
      <c r="G11" s="189">
        <f>'3-Pwr Plant'!F5</f>
        <v>141666666.66666666</v>
      </c>
      <c r="H11" s="318">
        <f>'3-Pwr Plant'!S38</f>
        <v>51</v>
      </c>
      <c r="I11" s="318" t="s">
        <v>579</v>
      </c>
      <c r="K11" s="278" t="str">
        <f>IF(K21=4,"*B*","B")</f>
        <v>B</v>
      </c>
      <c r="L11" s="123"/>
      <c r="M11" s="123"/>
      <c r="N11" s="123"/>
      <c r="O11" s="123"/>
      <c r="P11" s="123"/>
      <c r="Q11" s="282"/>
    </row>
    <row r="12" spans="1:19">
      <c r="A12" s="790"/>
      <c r="B12" s="791"/>
      <c r="C12" s="792"/>
      <c r="D12" s="113"/>
      <c r="E12" s="92" t="s">
        <v>67</v>
      </c>
      <c r="F12" s="46"/>
      <c r="G12" s="190">
        <f>'4-Fuel'!F5</f>
        <v>800000</v>
      </c>
      <c r="H12" s="319">
        <f>'4-Fuel'!S20</f>
        <v>328</v>
      </c>
      <c r="I12" s="319">
        <f>'4-Fuel'!S23</f>
        <v>16</v>
      </c>
      <c r="K12" s="279" t="str">
        <f>IF(K21=3,"*C*","C")</f>
        <v>C</v>
      </c>
      <c r="L12" s="123"/>
      <c r="M12" s="123"/>
      <c r="N12" s="123"/>
      <c r="O12" s="123"/>
      <c r="P12" s="123"/>
      <c r="Q12" s="282"/>
    </row>
    <row r="13" spans="1:19">
      <c r="A13" s="790"/>
      <c r="B13" s="791"/>
      <c r="C13" s="792"/>
      <c r="D13" s="113"/>
      <c r="E13" s="136" t="s">
        <v>78</v>
      </c>
      <c r="F13" s="137"/>
      <c r="G13" s="189">
        <f>'5-Bridge'!F5</f>
        <v>10000000</v>
      </c>
      <c r="H13" s="318">
        <f>'5-Bridge'!S17</f>
        <v>20</v>
      </c>
      <c r="I13" s="318">
        <v>0</v>
      </c>
      <c r="K13" s="280" t="str">
        <f>IF(K21=2,"*D*","D")</f>
        <v>D</v>
      </c>
      <c r="L13" s="123"/>
      <c r="M13" s="123"/>
      <c r="N13" s="123"/>
      <c r="O13" s="123"/>
      <c r="P13" s="123"/>
      <c r="Q13" s="282"/>
    </row>
    <row r="14" spans="1:19">
      <c r="A14" s="790"/>
      <c r="B14" s="791"/>
      <c r="C14" s="792"/>
      <c r="D14" s="113"/>
      <c r="E14" s="92" t="s">
        <v>90</v>
      </c>
      <c r="F14" s="46"/>
      <c r="G14" s="190">
        <f>'6-Comp'!F5</f>
        <v>187500000</v>
      </c>
      <c r="H14" s="319">
        <v>0</v>
      </c>
      <c r="I14" s="319">
        <v>0</v>
      </c>
      <c r="K14" s="281" t="str">
        <f>IF(K21=1,"*E*","E")</f>
        <v>*E*</v>
      </c>
      <c r="L14" s="123"/>
      <c r="M14" s="123"/>
      <c r="N14" s="123"/>
      <c r="O14" s="123"/>
      <c r="P14" s="123"/>
      <c r="Q14" s="283"/>
    </row>
    <row r="15" spans="1:19" ht="15" customHeight="1">
      <c r="A15" s="790"/>
      <c r="B15" s="791"/>
      <c r="C15" s="792"/>
      <c r="D15" s="113"/>
      <c r="E15" s="136" t="s">
        <v>609</v>
      </c>
      <c r="F15" s="137"/>
      <c r="G15" s="189">
        <f>'7-Sensors'!F5</f>
        <v>97700000</v>
      </c>
      <c r="H15" s="318">
        <f>'7-Sensors'!S14</f>
        <v>60</v>
      </c>
      <c r="I15" s="318">
        <f>'7-Sensors'!S17</f>
        <v>49</v>
      </c>
      <c r="K15" s="273"/>
      <c r="L15" s="799" t="s">
        <v>609</v>
      </c>
      <c r="M15" s="796" t="s">
        <v>639</v>
      </c>
      <c r="N15" s="799" t="s">
        <v>1484</v>
      </c>
      <c r="O15" s="796" t="s">
        <v>1460</v>
      </c>
      <c r="P15" s="799" t="s">
        <v>1454</v>
      </c>
      <c r="Q15" s="802" t="s">
        <v>1485</v>
      </c>
    </row>
    <row r="16" spans="1:19" ht="15" customHeight="1">
      <c r="A16" s="790"/>
      <c r="B16" s="791"/>
      <c r="C16" s="792"/>
      <c r="D16" s="113"/>
      <c r="E16" s="92" t="s">
        <v>307</v>
      </c>
      <c r="F16" s="46"/>
      <c r="G16" s="190">
        <f>'8a-Weapons'!L5</f>
        <v>65000000</v>
      </c>
      <c r="H16" s="319">
        <f>'8a-Weapons'!N9</f>
        <v>5</v>
      </c>
      <c r="I16" s="319">
        <f>'8a-Weapons'!Q9</f>
        <v>125</v>
      </c>
      <c r="K16" s="273"/>
      <c r="L16" s="800"/>
      <c r="M16" s="797"/>
      <c r="N16" s="800"/>
      <c r="O16" s="797"/>
      <c r="P16" s="800"/>
      <c r="Q16" s="803"/>
    </row>
    <row r="17" spans="1:18">
      <c r="A17" s="790"/>
      <c r="B17" s="791"/>
      <c r="C17" s="792"/>
      <c r="D17" s="113"/>
      <c r="E17" s="136" t="s">
        <v>936</v>
      </c>
      <c r="F17" s="137"/>
      <c r="G17" s="189">
        <f>'8b-Screens'!F5</f>
        <v>0</v>
      </c>
      <c r="H17" s="318">
        <f>'8b-Screens'!S40</f>
        <v>0</v>
      </c>
      <c r="I17" s="318">
        <f>'8b-Screens'!S43</f>
        <v>0</v>
      </c>
      <c r="K17" s="273"/>
      <c r="L17" s="800"/>
      <c r="M17" s="797"/>
      <c r="N17" s="800"/>
      <c r="O17" s="797"/>
      <c r="P17" s="800"/>
      <c r="Q17" s="803"/>
    </row>
    <row r="18" spans="1:18">
      <c r="A18" s="790"/>
      <c r="B18" s="791"/>
      <c r="C18" s="792"/>
      <c r="D18" s="113"/>
      <c r="E18" s="92" t="s">
        <v>637</v>
      </c>
      <c r="F18" s="46"/>
      <c r="G18" s="190">
        <f>'9a-Optional'!F5+'9b-Optional'!F5</f>
        <v>211115000</v>
      </c>
      <c r="H18" s="319">
        <f>'9a-Optional'!S29+'9b-Optional'!S10</f>
        <v>148</v>
      </c>
      <c r="I18" s="319">
        <f>'9a-Optional'!S32+'9b-Optional'!S13</f>
        <v>2</v>
      </c>
      <c r="K18" s="273"/>
      <c r="L18" s="800"/>
      <c r="M18" s="797"/>
      <c r="N18" s="800"/>
      <c r="O18" s="797"/>
      <c r="P18" s="800"/>
      <c r="Q18" s="803"/>
    </row>
    <row r="19" spans="1:18" ht="15" customHeight="1" thickBot="1">
      <c r="A19" s="793"/>
      <c r="B19" s="794"/>
      <c r="C19" s="795"/>
      <c r="D19" s="29"/>
      <c r="E19" s="136" t="s">
        <v>613</v>
      </c>
      <c r="F19" s="137"/>
      <c r="G19" s="189">
        <f>'11-Staterooms'!F5</f>
        <v>21837000</v>
      </c>
      <c r="H19" s="318">
        <f>'11-Staterooms'!S26</f>
        <v>162.25</v>
      </c>
      <c r="I19" s="318">
        <f>'11-Staterooms'!S30</f>
        <v>0</v>
      </c>
      <c r="K19" s="273"/>
      <c r="L19" s="800"/>
      <c r="M19" s="797"/>
      <c r="N19" s="800"/>
      <c r="O19" s="797"/>
      <c r="P19" s="800"/>
      <c r="Q19" s="803"/>
      <c r="R19" s="271"/>
    </row>
    <row r="20" spans="1:18" ht="16" thickBot="1">
      <c r="A20" s="2"/>
      <c r="E20" s="141" t="s">
        <v>610</v>
      </c>
      <c r="F20" s="79"/>
      <c r="G20" s="191">
        <f>'12-Cargo'!F5</f>
        <v>506000</v>
      </c>
      <c r="H20" s="320">
        <f>'12-Cargo'!S19</f>
        <v>79.5</v>
      </c>
      <c r="I20" s="320">
        <f>'12-Cargo'!S22</f>
        <v>2</v>
      </c>
      <c r="K20" s="274"/>
      <c r="L20" s="801"/>
      <c r="M20" s="798"/>
      <c r="N20" s="801"/>
      <c r="O20" s="798"/>
      <c r="P20" s="801"/>
      <c r="Q20" s="804"/>
    </row>
    <row r="21" spans="1:18" ht="17" thickTop="1" thickBot="1">
      <c r="K21" s="119">
        <f>MIN(L21:Q21)</f>
        <v>1</v>
      </c>
      <c r="L21" s="119">
        <f>'7-Sensors'!W41</f>
        <v>5</v>
      </c>
      <c r="M21" s="119">
        <f>'9b-Optional'!T101</f>
        <v>1</v>
      </c>
      <c r="N21" s="119">
        <f>'9b-Optional'!T108</f>
        <v>3</v>
      </c>
      <c r="O21" s="119">
        <f>'9b-Optional'!T98</f>
        <v>1</v>
      </c>
      <c r="P21" s="119">
        <f>'9b-Optional'!T94</f>
        <v>3</v>
      </c>
      <c r="Q21" s="119">
        <f>'9b-Optional'!T115</f>
        <v>2</v>
      </c>
    </row>
    <row r="22" spans="1:18" ht="16" thickBot="1">
      <c r="A22" s="784" t="s">
        <v>2141</v>
      </c>
      <c r="B22" s="785"/>
      <c r="E22" s="3" t="s">
        <v>1566</v>
      </c>
      <c r="G22" s="197" t="s">
        <v>1572</v>
      </c>
    </row>
    <row r="23" spans="1:18" ht="16" thickBot="1">
      <c r="A23" s="479"/>
      <c r="B23" s="301"/>
      <c r="G23" s="1" t="s">
        <v>1573</v>
      </c>
      <c r="H23" s="285" t="s">
        <v>1574</v>
      </c>
    </row>
    <row r="24" spans="1:18">
      <c r="A24" s="480" t="s">
        <v>2140</v>
      </c>
      <c r="B24" s="483">
        <f>IF(C31="Yes",0,G2/240)</f>
        <v>6400519.444444444</v>
      </c>
      <c r="E24" s="291" t="s">
        <v>1567</v>
      </c>
      <c r="F24" s="292"/>
      <c r="G24" s="293">
        <v>0.6</v>
      </c>
      <c r="H24" s="294">
        <v>2</v>
      </c>
      <c r="I24" s="295" t="s">
        <v>1575</v>
      </c>
      <c r="J24" s="292"/>
      <c r="K24" s="292"/>
      <c r="L24" s="292"/>
      <c r="M24" s="296"/>
    </row>
    <row r="25" spans="1:18">
      <c r="A25" s="480" t="s">
        <v>665</v>
      </c>
      <c r="B25" s="483">
        <f>ROUND(G2/12/1000,0)</f>
        <v>128010</v>
      </c>
      <c r="E25" s="297" t="s">
        <v>1568</v>
      </c>
      <c r="G25" s="90">
        <v>0.8</v>
      </c>
      <c r="H25" s="2">
        <v>1.4</v>
      </c>
      <c r="I25" s="78" t="s">
        <v>1576</v>
      </c>
      <c r="K25" s="272"/>
      <c r="L25" s="272"/>
      <c r="M25" s="298"/>
      <c r="O25" s="272"/>
      <c r="P25" s="272"/>
      <c r="Q25" s="272"/>
    </row>
    <row r="26" spans="1:18">
      <c r="A26" s="481" t="s">
        <v>2142</v>
      </c>
      <c r="B26" s="483">
        <f>'11-Staterooms'!F7</f>
        <v>88000</v>
      </c>
      <c r="E26" s="299" t="s">
        <v>1569</v>
      </c>
      <c r="F26" s="22"/>
      <c r="G26" s="188">
        <v>1</v>
      </c>
      <c r="H26" s="27">
        <v>1</v>
      </c>
      <c r="I26" s="80" t="str">
        <f>""</f>
        <v/>
      </c>
      <c r="J26" s="22"/>
      <c r="K26" s="290"/>
      <c r="L26" s="290"/>
      <c r="M26" s="300"/>
      <c r="O26" s="272"/>
      <c r="P26" s="272"/>
      <c r="Q26" s="272"/>
    </row>
    <row r="27" spans="1:18">
      <c r="A27" s="481" t="s">
        <v>2143</v>
      </c>
      <c r="B27" s="483">
        <f>'10-Crew'!G32</f>
        <v>183000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6799529.444444444</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Q15:Q20"/>
    <mergeCell ref="L1:M1"/>
    <mergeCell ref="L8:Q9"/>
    <mergeCell ref="L15:L20"/>
    <mergeCell ref="M15:M20"/>
    <mergeCell ref="N15:N20"/>
    <mergeCell ref="M2:N2"/>
    <mergeCell ref="M3:N3"/>
    <mergeCell ref="M4:N4"/>
    <mergeCell ref="M5:N5"/>
    <mergeCell ref="A22:B22"/>
    <mergeCell ref="I1:J1"/>
    <mergeCell ref="A8:C19"/>
    <mergeCell ref="O15:O20"/>
    <mergeCell ref="P15:P20"/>
  </mergeCells>
  <conditionalFormatting sqref="A24:B24 C31">
    <cfRule type="expression" dxfId="700" priority="1">
      <formula>$C$31="Yes"</formula>
    </cfRule>
  </conditionalFormatting>
  <conditionalFormatting sqref="A5:C6">
    <cfRule type="expression" dxfId="699" priority="19" stopIfTrue="1">
      <formula>OR($F$5,$F$6)</formula>
    </cfRule>
  </conditionalFormatting>
  <conditionalFormatting sqref="C6">
    <cfRule type="expression" dxfId="697" priority="20">
      <formula>OR(AND($C$5&lt;35,$C$6&gt;1),AND($C$5&lt;70,$C$6&gt;2),AND($C$5&lt;100,$C$6&gt;3),AND($C$5&gt;99.9,$C$6&gt;$C$5/100))</formula>
    </cfRule>
  </conditionalFormatting>
  <conditionalFormatting sqref="G6:I6">
    <cfRule type="expression" dxfId="696" priority="2">
      <formula>$E$6="Module"</formula>
    </cfRule>
  </conditionalFormatting>
  <conditionalFormatting sqref="I3">
    <cfRule type="expression" dxfId="695" priority="25">
      <formula>$I$3&lt;0</formula>
    </cfRule>
  </conditionalFormatting>
  <conditionalFormatting sqref="K8:L8 K9 K10:Q15 K16:K20">
    <cfRule type="expression" dxfId="694" priority="3" stopIfTrue="1">
      <formula>$F$7</formula>
    </cfRule>
    <cfRule type="expression" dxfId="693" priority="4" stopIfTrue="1">
      <formula>$F$5</formula>
    </cfRule>
  </conditionalFormatting>
  <conditionalFormatting sqref="L3">
    <cfRule type="expression" dxfId="692" priority="24">
      <formula>$L$3&lt;0</formula>
    </cfRule>
  </conditionalFormatting>
  <conditionalFormatting sqref="L10:L14">
    <cfRule type="expression" dxfId="691" priority="15">
      <formula>$L$21=5</formula>
    </cfRule>
  </conditionalFormatting>
  <conditionalFormatting sqref="L11:L14">
    <cfRule type="expression" dxfId="690" priority="16">
      <formula>$L$21=4</formula>
    </cfRule>
  </conditionalFormatting>
  <conditionalFormatting sqref="L13:L14">
    <cfRule type="expression" dxfId="689" priority="17">
      <formula>$L$21=2</formula>
    </cfRule>
  </conditionalFormatting>
  <conditionalFormatting sqref="M10:Q14">
    <cfRule type="expression" dxfId="688" priority="9">
      <formula>M$21=5</formula>
    </cfRule>
  </conditionalFormatting>
  <conditionalFormatting sqref="M11:Q14">
    <cfRule type="expression" dxfId="687" priority="8">
      <formula>M$21=4</formula>
    </cfRule>
  </conditionalFormatting>
  <conditionalFormatting sqref="M12:Q14">
    <cfRule type="expression" dxfId="686" priority="7">
      <formula>M$21=3</formula>
    </cfRule>
  </conditionalFormatting>
  <conditionalFormatting sqref="M13:Q14">
    <cfRule type="expression" dxfId="685" priority="6">
      <formula>M$21=2</formula>
    </cfRule>
  </conditionalFormatting>
  <conditionalFormatting sqref="M14:Q14">
    <cfRule type="expression" dxfId="684"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topLeftCell="A3" workbookViewId="0">
      <selection activeCell="A15" sqref="A15"/>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Survey and Exploration Ship</v>
      </c>
      <c r="F1" s="6" t="s">
        <v>1</v>
      </c>
      <c r="S1" s="68" t="s">
        <v>3</v>
      </c>
      <c r="T1" s="68" t="s">
        <v>4</v>
      </c>
      <c r="U1" s="68" t="s">
        <v>5</v>
      </c>
      <c r="V1" s="68" t="s">
        <v>1</v>
      </c>
      <c r="W1" s="68" t="s">
        <v>6</v>
      </c>
      <c r="X1" s="68" t="s">
        <v>7</v>
      </c>
      <c r="Y1" s="69" t="s">
        <v>8</v>
      </c>
      <c r="Z1" s="67" t="s">
        <v>1297</v>
      </c>
    </row>
    <row r="2" spans="1:29">
      <c r="A2" s="3" t="s">
        <v>432</v>
      </c>
      <c r="B2" t="str">
        <f>'Ship Info'!B2</f>
        <v>Scout</v>
      </c>
      <c r="D2" t="s">
        <v>0</v>
      </c>
      <c r="E2" s="2">
        <f>'Ship Info'!F2</f>
        <v>14</v>
      </c>
      <c r="F2" s="4">
        <f>'Ship Info'!G2</f>
        <v>1536124666.6666665</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50</v>
      </c>
      <c r="I3" s="44"/>
      <c r="J3" s="45"/>
      <c r="K3" s="507">
        <f>T57</f>
        <v>200</v>
      </c>
      <c r="S3" s="67" t="s">
        <v>11</v>
      </c>
      <c r="T3" s="67" t="s">
        <v>12</v>
      </c>
      <c r="U3" s="67">
        <v>1</v>
      </c>
      <c r="V3" s="67">
        <v>0.8</v>
      </c>
      <c r="W3" s="67">
        <v>1</v>
      </c>
      <c r="X3" s="67">
        <f>IF($A$20=$S$41,4,0)</f>
        <v>0</v>
      </c>
      <c r="Y3" s="67">
        <v>1.5</v>
      </c>
      <c r="Z3" s="67">
        <v>0.5</v>
      </c>
      <c r="AA3" s="67" t="s">
        <v>26</v>
      </c>
      <c r="AB3">
        <f>E9</f>
        <v>0</v>
      </c>
      <c r="AC3">
        <f>IF(AB3&gt;E2,1,0)</f>
        <v>0</v>
      </c>
    </row>
    <row r="4" spans="1:29" ht="16" thickBot="1">
      <c r="A4" s="3" t="s">
        <v>2</v>
      </c>
      <c r="B4" s="289">
        <v>1000</v>
      </c>
      <c r="F4" s="505">
        <f>SUM(F6:F43)</f>
        <v>380000000</v>
      </c>
      <c r="H4" s="786" t="s">
        <v>46</v>
      </c>
      <c r="I4" s="786"/>
      <c r="K4" s="786" t="s">
        <v>47</v>
      </c>
      <c r="L4" s="786"/>
      <c r="S4" s="67" t="s">
        <v>13</v>
      </c>
      <c r="T4" s="67" t="s">
        <v>14</v>
      </c>
      <c r="U4" s="67">
        <v>1</v>
      </c>
      <c r="V4" s="67">
        <v>1.2</v>
      </c>
      <c r="W4" s="67">
        <v>1</v>
      </c>
      <c r="X4" s="67">
        <f t="shared" ref="X4:X7" si="0">IF($A$20=$S$41,4,0)</f>
        <v>0</v>
      </c>
      <c r="Y4" s="67">
        <v>1.2</v>
      </c>
      <c r="Z4" s="67">
        <v>0</v>
      </c>
      <c r="AA4" s="67" t="s">
        <v>768</v>
      </c>
      <c r="AB4" s="73">
        <f>D9</f>
        <v>0</v>
      </c>
      <c r="AC4">
        <f>IF(AB4&gt;VLOOKUP(B9,S18:W22,5),1,0)</f>
        <v>0</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0</v>
      </c>
    </row>
    <row r="6" spans="1:29" ht="16" thickBot="1">
      <c r="A6" s="3" t="s">
        <v>3</v>
      </c>
      <c r="B6" s="197" t="s">
        <v>16</v>
      </c>
      <c r="C6" s="3" t="s">
        <v>21</v>
      </c>
      <c r="D6" s="198" t="s">
        <v>24</v>
      </c>
      <c r="F6" s="4">
        <f>B4*IF(AND('Ship Info'!F7=1,'Ship Info'!I6="No"),25000,Y14*(VLOOKUP(B6,S2:Y11,4))*(VLOOKUP(D6,S13:U15,3)))*'Ship Info'!G31</f>
        <v>120000000</v>
      </c>
      <c r="H6" s="10">
        <f>'Ship Info'!I3</f>
        <v>6.25</v>
      </c>
      <c r="I6" s="270">
        <f>IF('Ship Info'!F7,Tonnage,Tonnage*VLOOKUP(B6,S2:W11,5))</f>
        <v>1000</v>
      </c>
      <c r="K6" s="270">
        <f>'Ship Info'!L3</f>
        <v>6</v>
      </c>
      <c r="L6" s="270">
        <f>'3-Pwr Plant'!L6</f>
        <v>850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400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575</v>
      </c>
      <c r="C9" s="3" t="s">
        <v>44</v>
      </c>
      <c r="D9" s="235">
        <v>0</v>
      </c>
      <c r="E9" s="2">
        <f>INDEX(S18:V22,MATCH(B9,S18:S22,0),4)</f>
        <v>0</v>
      </c>
      <c r="F9" s="4">
        <f>INDEX(S18:U22,MATCH(B9,S18:S22,0),3)*H9*'Ship Info'!G31</f>
        <v>0</v>
      </c>
      <c r="H9" s="10">
        <f>INDEX(S18:T22,MATCH(B9,S18:S22,0),2)*B4*(D10-Z17)*INDEX(S2:Y11,MATCH(B6,S2:S11,0),7)*FtrArmr</f>
        <v>0</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0</v>
      </c>
      <c r="F10" s="4"/>
      <c r="H10" s="2"/>
      <c r="I10" s="2"/>
      <c r="J10" t="s">
        <v>424</v>
      </c>
      <c r="K10" s="10">
        <f>0.2*B4*T16</f>
        <v>200</v>
      </c>
      <c r="L10" s="2"/>
      <c r="S10" s="67" t="s">
        <v>19</v>
      </c>
      <c r="T10" s="67" t="s">
        <v>12</v>
      </c>
      <c r="U10" s="67">
        <v>1</v>
      </c>
      <c r="V10" s="67">
        <v>1</v>
      </c>
      <c r="W10" s="67">
        <v>1</v>
      </c>
      <c r="X10" s="67">
        <f t="shared" si="1"/>
        <v>0</v>
      </c>
      <c r="Y10" s="67">
        <v>1</v>
      </c>
      <c r="Z10" s="67">
        <v>1</v>
      </c>
    </row>
    <row r="11" spans="1:29">
      <c r="C11" s="815" t="str">
        <f>"Max Armor = "&amp;Y17</f>
        <v>Max Armor = 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404</v>
      </c>
      <c r="B13" s="2" t="str">
        <f>INDEX($S$24:$AB$25,MATCH(A13,$S$24:$S$25,0),6)</f>
        <v>DM +2 to Atmospheric Pilot Checks</v>
      </c>
      <c r="E13" s="2">
        <f>INDEX($S$24:$AB$25,MATCH(A13,$S$24:$S$25,0),4)</f>
        <v>7</v>
      </c>
      <c r="F13" s="4">
        <f>INDEX($S$24:$AB$25,MATCH(A13,$S$24:$S$25,0),3)*'Ship Info'!G31</f>
        <v>10000000</v>
      </c>
      <c r="H13" s="270">
        <f>INDEX($S$24:$AB$25,MATCH(A13,$S$24:$S$25,0),2)</f>
        <v>50</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200000000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0</v>
      </c>
      <c r="Y17" s="67">
        <f>IF('Ship Info'!F7,0,INDEX(S18:W22,MATCH(B9,S18:S22,0),5))</f>
        <v>0</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50000000</v>
      </c>
      <c r="H21" s="270">
        <f>VLOOKUP(A21,S45:X46,2)</f>
        <v>0</v>
      </c>
      <c r="K21" s="270">
        <f>VLOOKUP(A21,S45:W46,5)</f>
        <v>0</v>
      </c>
      <c r="S21" s="67" t="s">
        <v>28</v>
      </c>
      <c r="T21" s="67">
        <v>8.0000000000000002E-3</v>
      </c>
      <c r="U21" s="67">
        <v>500000</v>
      </c>
      <c r="V21" s="67">
        <v>14</v>
      </c>
      <c r="W21" s="67">
        <f>$E$2*IF($C$8=$W$14,2,1)</f>
        <v>14</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18</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50</v>
      </c>
      <c r="U25" s="67">
        <f>T25*100000</f>
        <v>5000000</v>
      </c>
      <c r="V25" s="67">
        <v>7</v>
      </c>
      <c r="W25" s="67">
        <v>0</v>
      </c>
      <c r="X25" s="67" t="s">
        <v>405</v>
      </c>
      <c r="AB25" t="b">
        <f>OR(A13=S25,A14=S25,A15=S25,A17=S25,A18=S25,A19=S25)</f>
        <v>1</v>
      </c>
      <c r="AC25">
        <f>COUNTIF(AB25:AB41,TRUE)</f>
        <v>2</v>
      </c>
      <c r="AD25" t="s">
        <v>1313</v>
      </c>
    </row>
    <row r="26" spans="1:30" ht="16" thickBot="1">
      <c r="A26" s="78"/>
      <c r="B26" s="2" t="str">
        <f>"Limit: "&amp;IF('Ship Info'!F7,'Ship Info'!C5*0.75,ROUNDDOWN(T50,1))&amp;" Tons"</f>
        <v>Limit: 750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100000000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100000000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100000000</v>
      </c>
      <c r="V31" s="67">
        <v>10</v>
      </c>
      <c r="W31" s="67">
        <f>B4/2</f>
        <v>500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20</v>
      </c>
      <c r="U33" s="67">
        <f>40000*Tonnage</f>
        <v>40000000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100000000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500000000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1000000000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50</v>
      </c>
      <c r="U38" s="67">
        <f>0.1*F6</f>
        <v>12000000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10</v>
      </c>
      <c r="U39" s="164">
        <f>F6</f>
        <v>120000000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250</v>
      </c>
      <c r="U41" s="67">
        <f>9*F6</f>
        <v>1080000000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120000000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160000000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25000000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50</v>
      </c>
      <c r="U48" s="67">
        <f>100000*Tonnage</f>
        <v>100000000</v>
      </c>
      <c r="V48" s="67">
        <v>7</v>
      </c>
      <c r="W48" s="67">
        <v>0</v>
      </c>
      <c r="X48" s="67" t="s">
        <v>1526</v>
      </c>
      <c r="AB48" t="b">
        <f>OR(A16=S48)</f>
        <v>0</v>
      </c>
    </row>
    <row r="49" spans="19:29" ht="15" customHeight="1"/>
    <row r="50" spans="19:29" ht="15" customHeight="1">
      <c r="S50" s="70" t="s">
        <v>312</v>
      </c>
      <c r="T50" s="67">
        <f>0.750001*B4</f>
        <v>750.00099999999998</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50</v>
      </c>
      <c r="T57" s="67">
        <f>SUM(K10:K21)</f>
        <v>200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1000 tons, Streamlined Needle, Standard Hull, Aerofins, Heat Shielding, Radiation Shielding</v>
      </c>
    </row>
    <row r="60" spans="19:29">
      <c r="S60" s="67">
        <f>IF(D7&lt;10560,D7,IF(D7&lt;105600,D7/10,IF(D7&lt;1056000,D7/100,D7/1000)))</f>
        <v>400</v>
      </c>
    </row>
    <row r="61" spans="19:29">
      <c r="S61" s="67">
        <v>10</v>
      </c>
      <c r="T61" s="67">
        <v>20</v>
      </c>
      <c r="U61" s="67">
        <v>30</v>
      </c>
      <c r="V61" s="67">
        <v>40</v>
      </c>
      <c r="W61" s="67">
        <v>50</v>
      </c>
      <c r="X61" s="67">
        <v>60</v>
      </c>
      <c r="Y61" s="67">
        <v>70</v>
      </c>
      <c r="Z61" s="67">
        <v>80</v>
      </c>
      <c r="AA61" s="67">
        <v>90</v>
      </c>
    </row>
    <row r="62" spans="19:29">
      <c r="S62" s="67">
        <f>ROUNDUP(0.1*S60,0)</f>
        <v>40</v>
      </c>
      <c r="T62" s="67">
        <f>ROUNDUP(0.2*S60,0)</f>
        <v>80</v>
      </c>
      <c r="U62" s="67">
        <f>ROUNDUP(0.3*S60,0)</f>
        <v>120</v>
      </c>
      <c r="V62" s="67">
        <f>ROUNDUP(0.4*S60,0)</f>
        <v>160</v>
      </c>
      <c r="W62" s="67">
        <f>ROUNDUP(0.5*S60,0)</f>
        <v>200</v>
      </c>
      <c r="X62" s="67">
        <f>ROUNDUP(0.6*S60,0)</f>
        <v>240</v>
      </c>
      <c r="Y62" s="67">
        <f>ROUNDUP(0.7*S60,0)</f>
        <v>280</v>
      </c>
      <c r="Z62" s="67">
        <f>ROUNDUP(0.8*S60,0)</f>
        <v>320</v>
      </c>
      <c r="AA62" s="67">
        <f>ROUNDUP(0.9*S60,0)</f>
        <v>360</v>
      </c>
    </row>
    <row r="64" spans="19:29">
      <c r="S64" s="71" t="s">
        <v>740</v>
      </c>
      <c r="T64" s="67" t="str">
        <f>IF(OR(A13=S25,A14=S25,A15=S25,A17=S25,A18=S25,A19=S25),"/Atm+2","")</f>
        <v>/Atm+2</v>
      </c>
    </row>
    <row r="66" spans="19:21">
      <c r="S66" s="67" t="s">
        <v>757</v>
      </c>
    </row>
    <row r="67" spans="19:21">
      <c r="S67" s="67">
        <f>SUM(H13:H22)</f>
        <v>50</v>
      </c>
    </row>
    <row r="68" spans="19:21">
      <c r="S68" s="67" t="s">
        <v>2069</v>
      </c>
      <c r="T68" s="67">
        <f>IF(H6&lt;0,1,0)</f>
        <v>0</v>
      </c>
    </row>
    <row r="69" spans="19:21">
      <c r="S69" s="67" t="s">
        <v>808</v>
      </c>
      <c r="T69" s="67">
        <f>IF(C25&gt;T50,1,0)</f>
        <v>0</v>
      </c>
    </row>
    <row r="70" spans="19:21">
      <c r="S70" s="67" t="s">
        <v>809</v>
      </c>
      <c r="T70" s="67">
        <f>IF(U70&gt;E2,1,0)</f>
        <v>0</v>
      </c>
      <c r="U70" s="67">
        <f>MAX(E13:E22)</f>
        <v>7</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3" priority="134">
      <formula>#REF!&gt;$E$2</formula>
    </cfRule>
  </conditionalFormatting>
  <conditionalFormatting sqref="A13">
    <cfRule type="expression" dxfId="682" priority="15">
      <formula>$E$13&gt;$E$2</formula>
    </cfRule>
  </conditionalFormatting>
  <conditionalFormatting sqref="A13:A20">
    <cfRule type="expression" dxfId="681" priority="639">
      <formula>AND($AC$43=1,$AC$25&gt;0)</formula>
    </cfRule>
    <cfRule type="expression" dxfId="680" priority="686">
      <formula>OR($AB$43,$AB$44)</formula>
    </cfRule>
  </conditionalFormatting>
  <conditionalFormatting sqref="A13:A22">
    <cfRule type="expression" dxfId="679" priority="689">
      <formula>$A13&lt;&gt;$S$24</formula>
    </cfRule>
  </conditionalFormatting>
  <conditionalFormatting sqref="A14">
    <cfRule type="expression" dxfId="677" priority="133">
      <formula>$E$14&gt;$E$2</formula>
    </cfRule>
  </conditionalFormatting>
  <conditionalFormatting sqref="A15:A16">
    <cfRule type="expression" dxfId="676" priority="637">
      <formula>$E$15&gt;$E$2</formula>
    </cfRule>
  </conditionalFormatting>
  <conditionalFormatting sqref="A17">
    <cfRule type="expression" dxfId="675" priority="638">
      <formula>$E$17&gt;$E$2</formula>
    </cfRule>
  </conditionalFormatting>
  <conditionalFormatting sqref="A18">
    <cfRule type="expression" dxfId="674" priority="14">
      <formula>$E$18&gt;$E$2</formula>
    </cfRule>
  </conditionalFormatting>
  <conditionalFormatting sqref="A19">
    <cfRule type="expression" dxfId="673" priority="13">
      <formula>$E$19&gt;$E$2</formula>
    </cfRule>
  </conditionalFormatting>
  <conditionalFormatting sqref="A20">
    <cfRule type="expression" dxfId="672" priority="12">
      <formula>$E$20&gt;$E$2</formula>
    </cfRule>
  </conditionalFormatting>
  <conditionalFormatting sqref="A21">
    <cfRule type="expression" dxfId="671" priority="11">
      <formula>$E$21&gt;$E$2</formula>
    </cfRule>
  </conditionalFormatting>
  <conditionalFormatting sqref="A22">
    <cfRule type="expression" dxfId="670" priority="10">
      <formula>$E$22&gt;$E$2</formula>
    </cfRule>
    <cfRule type="expression" dxfId="669" priority="688">
      <formula>$Z$12=0</formula>
    </cfRule>
    <cfRule type="expression" dxfId="668" priority="687">
      <formula>AND($Z$12=0,$AC$43&gt;0)</formula>
    </cfRule>
  </conditionalFormatting>
  <conditionalFormatting sqref="A37">
    <cfRule type="expression" dxfId="667" priority="1">
      <formula>$A$37=$AC$51</formula>
    </cfRule>
  </conditionalFormatting>
  <conditionalFormatting sqref="B4">
    <cfRule type="expression" dxfId="665" priority="29">
      <formula>AND($D$5=$W$13,$B$4&gt;500000)</formula>
    </cfRule>
  </conditionalFormatting>
  <conditionalFormatting sqref="B9">
    <cfRule type="cellIs" dxfId="664" priority="8" operator="notEqual">
      <formula>$S$18</formula>
    </cfRule>
    <cfRule type="expression" dxfId="663" priority="27">
      <formula>$E$9&gt;$E$2</formula>
    </cfRule>
  </conditionalFormatting>
  <conditionalFormatting sqref="B12">
    <cfRule type="expression" dxfId="662" priority="698">
      <formula>AND($AB$38,$AB$39)</formula>
    </cfRule>
    <cfRule type="expression" dxfId="661" priority="697">
      <formula>$AC$33&gt;1</formula>
    </cfRule>
  </conditionalFormatting>
  <conditionalFormatting sqref="C8">
    <cfRule type="expression" dxfId="660" priority="23">
      <formula>$B$4&lt;5000</formula>
    </cfRule>
    <cfRule type="expression" dxfId="659" priority="22" stopIfTrue="1">
      <formula>AND($B$4&lt;5000,$C$8=$W$14)</formula>
    </cfRule>
  </conditionalFormatting>
  <conditionalFormatting sqref="C25">
    <cfRule type="expression" dxfId="658" priority="916">
      <formula>$C$25&gt;$T$50</formula>
    </cfRule>
    <cfRule type="cellIs" dxfId="657" priority="915" operator="greaterThan">
      <formula>0</formula>
    </cfRule>
  </conditionalFormatting>
  <conditionalFormatting sqref="C29">
    <cfRule type="cellIs" dxfId="656" priority="7" operator="greaterThan">
      <formula>0</formula>
    </cfRule>
  </conditionalFormatting>
  <conditionalFormatting sqref="C36">
    <cfRule type="expression" dxfId="655" priority="6">
      <formula>$A$37=TRUE</formula>
    </cfRule>
  </conditionalFormatting>
  <conditionalFormatting sqref="C39">
    <cfRule type="cellIs" dxfId="654" priority="5" operator="greaterThan">
      <formula>0</formula>
    </cfRule>
  </conditionalFormatting>
  <conditionalFormatting sqref="C7:D7">
    <cfRule type="expression" dxfId="653" priority="658">
      <formula>$D$10&gt;($D$7-1)</formula>
    </cfRule>
  </conditionalFormatting>
  <conditionalFormatting sqref="C9:D9">
    <cfRule type="expression" dxfId="652" priority="39">
      <formula>$D$9&gt;$Y$17</formula>
    </cfRule>
  </conditionalFormatting>
  <conditionalFormatting sqref="E9">
    <cfRule type="expression" dxfId="651" priority="28">
      <formula>$E$9&gt;$E$2</formula>
    </cfRule>
  </conditionalFormatting>
  <conditionalFormatting sqref="H6">
    <cfRule type="expression" dxfId="650" priority="26">
      <formula>$H$6&lt;0</formula>
    </cfRule>
  </conditionalFormatting>
  <conditionalFormatting sqref="K6">
    <cfRule type="expression" dxfId="649"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C14" sqref="C14"/>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Survey and Exploration Ship</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Scout</v>
      </c>
      <c r="D2" t="s">
        <v>0</v>
      </c>
      <c r="E2" s="2">
        <f>Tech_Level</f>
        <v>14</v>
      </c>
      <c r="F2" s="4">
        <f>'Ship Info'!G2</f>
        <v>1536124666.6666665</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0.02</v>
      </c>
      <c r="BA2">
        <f>IF(P8=0,ROUNDDOWN(H42/C4,2),ROUNDDOWN(H42/P8,2))</f>
        <v>0</v>
      </c>
      <c r="BB2">
        <f>IF(E2&lt;9,0,IF(E2&lt;10,1,IF(E2&lt;11,3,IF(E2&lt;12,5,IF(E2&lt;13,7,IF(E2&lt;14,9,IF(E2&lt;17,10,11)))))))</f>
        <v>10</v>
      </c>
    </row>
    <row r="3" spans="1:86">
      <c r="B3" s="24" t="str">
        <f>'1-Hull'!B3</f>
        <v>High Automation - Costs x 2</v>
      </c>
      <c r="C3" s="816" t="s">
        <v>1011</v>
      </c>
      <c r="D3" s="817"/>
      <c r="E3" s="2"/>
      <c r="G3" s="28"/>
      <c r="H3" s="506">
        <f>S63</f>
        <v>90</v>
      </c>
      <c r="I3" s="28"/>
      <c r="J3" s="28"/>
      <c r="K3" s="507">
        <f>S66</f>
        <v>450</v>
      </c>
      <c r="S3" t="s">
        <v>50</v>
      </c>
      <c r="T3">
        <f>C4*HLOOKUP(D11,AF1:AQ3,2)</f>
        <v>20</v>
      </c>
      <c r="U3">
        <f>2000000*(T3)</f>
        <v>40000000</v>
      </c>
      <c r="V3">
        <f>HLOOKUP(D11,AF1:AQ3,3)</f>
        <v>10</v>
      </c>
      <c r="W3">
        <f>IF(D11&gt;0,D11*0.1*C4,0.1*C4*0.25)</f>
        <v>200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1000</v>
      </c>
      <c r="C4" s="325">
        <f>U107</f>
        <v>1000</v>
      </c>
      <c r="D4" s="116" t="s">
        <v>1012</v>
      </c>
      <c r="E4" s="2"/>
      <c r="F4" s="504" t="s">
        <v>45</v>
      </c>
      <c r="H4" s="6" t="s">
        <v>46</v>
      </c>
      <c r="I4" s="6"/>
      <c r="K4" s="6" t="s">
        <v>55</v>
      </c>
      <c r="L4" s="6"/>
      <c r="S4" t="s">
        <v>56</v>
      </c>
      <c r="T4">
        <f>C4*HLOOKUP(D19,AF1:AV5,4)</f>
        <v>10</v>
      </c>
      <c r="U4">
        <f>200000*(T4)</f>
        <v>2000000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7.4999999999999997E-2</v>
      </c>
      <c r="BA4">
        <f>IF(P8=0,ROUNDDOWN(H51/C4,2),ROUNDDOWN(H51/P8,2))</f>
        <v>0</v>
      </c>
      <c r="BB4">
        <f>IF(E2&lt;9,0,IF(E2&lt;10,1,IF(E2&lt;12,2,IF(E2&lt;13,3,IF(E2&lt;14,4,IF(E2&lt;15,5,IF(E2&lt;16,6,IF(E2&lt;17,7,IF(E2&lt;18,8,9)))))))))</f>
        <v>5</v>
      </c>
    </row>
    <row r="5" spans="1:86" ht="16" thickBot="1">
      <c r="B5" s="6" t="s">
        <v>890</v>
      </c>
      <c r="F5" s="505">
        <f>SUM(F11:F56)</f>
        <v>420000000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6.25</v>
      </c>
      <c r="I6" s="270">
        <f>'1-Hull'!I6</f>
        <v>1000</v>
      </c>
      <c r="K6" s="270">
        <f>'Ship Info'!L3</f>
        <v>6</v>
      </c>
      <c r="L6" s="270">
        <f>'3-Pwr Plant'!L6</f>
        <v>850</v>
      </c>
      <c r="S6" s="78" t="s">
        <v>57</v>
      </c>
      <c r="T6">
        <f>C4*HLOOKUP(D25,AF6:AO8,2)</f>
        <v>140</v>
      </c>
      <c r="U6">
        <f>2000000*(T6)</f>
        <v>280000000</v>
      </c>
      <c r="V6">
        <f>HLOOKUP(D25,AF6:AO8,3)</f>
        <v>20</v>
      </c>
      <c r="W6" s="46">
        <f>T6+H28</f>
        <v>132</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31" t="s">
        <v>1702</v>
      </c>
      <c r="BD6" s="832"/>
      <c r="BE6" s="832"/>
      <c r="BF6" s="832"/>
      <c r="BG6" s="832"/>
      <c r="BH6" s="832"/>
      <c r="BI6" s="832"/>
      <c r="BJ6" s="832"/>
      <c r="BK6" s="832"/>
      <c r="BL6" s="832"/>
      <c r="BM6" s="832"/>
      <c r="BN6" s="832"/>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80</v>
      </c>
      <c r="U7">
        <f>1500000*(T7)</f>
        <v>120000000</v>
      </c>
      <c r="V7">
        <f>HLOOKUP(D25,AF6:AO10,5)</f>
        <v>12</v>
      </c>
      <c r="W7" s="46">
        <f>0.1*C4*D25</f>
        <v>300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18">
        <v>0</v>
      </c>
      <c r="Q8" s="818"/>
      <c r="S8" t="s">
        <v>1661</v>
      </c>
      <c r="T8">
        <f>IF((C4*HLOOKUP(D25,AF6:AO12,6)+5)&gt;9.99,C4*HLOOKUP(D25,AF6:AO12,6)+5,10)</f>
        <v>80</v>
      </c>
      <c r="U8">
        <f>15000000*T8</f>
        <v>1200000000</v>
      </c>
      <c r="V8">
        <f>HLOOKUP(D25,AF6:AO12,7)</f>
        <v>19</v>
      </c>
      <c r="W8">
        <f>0.1*C4*D25</f>
        <v>300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3</v>
      </c>
      <c r="BA8">
        <f>IF(BA4&gt;0.224,9,IF(BA4&gt;0.199,8,IF(BA4&gt;0.174,7,IF(BA4&gt;0.149,6,IF(BA4&gt;0.124,5,IF(BA4&gt;0.099,4,IF(BA4&gt;0.074,3,IF(BA4&gt;0.049,2,IF(BA4&gt;0.024,1,0)))))))))</f>
        <v>0</v>
      </c>
      <c r="BC8" s="833">
        <v>1</v>
      </c>
      <c r="BD8" s="830"/>
      <c r="BE8" s="829">
        <v>2</v>
      </c>
      <c r="BF8" s="830"/>
      <c r="BG8" s="829">
        <v>3</v>
      </c>
      <c r="BH8" s="830"/>
      <c r="BI8" s="827">
        <v>4</v>
      </c>
      <c r="BJ8" s="828"/>
      <c r="BK8" s="827">
        <v>5</v>
      </c>
      <c r="BL8" s="828"/>
      <c r="BM8" s="827">
        <v>6</v>
      </c>
      <c r="BN8" s="828"/>
      <c r="BO8" s="827">
        <v>7</v>
      </c>
      <c r="BP8" s="828"/>
      <c r="BQ8" s="827">
        <v>8</v>
      </c>
      <c r="BR8" s="828"/>
      <c r="BS8" s="829">
        <v>9</v>
      </c>
      <c r="BT8" s="830"/>
      <c r="BU8" s="829">
        <v>10</v>
      </c>
      <c r="BV8" s="830"/>
      <c r="BW8" s="827">
        <v>11</v>
      </c>
      <c r="BX8" s="828"/>
      <c r="BY8" s="838">
        <v>12</v>
      </c>
      <c r="BZ8" s="828"/>
      <c r="CA8" s="827">
        <v>13</v>
      </c>
      <c r="CB8" s="828"/>
      <c r="CC8" s="827">
        <v>14</v>
      </c>
      <c r="CD8" s="828"/>
      <c r="CE8" s="827">
        <v>15</v>
      </c>
      <c r="CF8" s="828"/>
      <c r="CG8" s="829">
        <v>16</v>
      </c>
      <c r="CH8" s="837"/>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80</v>
      </c>
      <c r="U9">
        <f>150000000*T9</f>
        <v>12000000000</v>
      </c>
      <c r="V9">
        <f>HLOOKUP(D25,AF6:AO14,9)</f>
        <v>22</v>
      </c>
      <c r="W9">
        <f>0.1*C4*D25</f>
        <v>300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3</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2</v>
      </c>
      <c r="Q10" s="137"/>
      <c r="R10" s="22"/>
      <c r="S10" s="80" t="s">
        <v>58</v>
      </c>
      <c r="T10" s="22">
        <f>IF(C4*HLOOKUP(D25,AF6:AO16,6)&gt;19.99,C4*HLOOKUP(D25,AF6:AO16,6),20)</f>
        <v>75</v>
      </c>
      <c r="U10" s="22">
        <f>(T10)*3000000</f>
        <v>225000000</v>
      </c>
      <c r="V10" s="22">
        <f>HLOOKUP(D25,AF6:AO16,7)</f>
        <v>19</v>
      </c>
      <c r="W10" s="137">
        <f>0.5*C4*D25</f>
        <v>1500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3</v>
      </c>
      <c r="BA10" s="22">
        <f>IF(BA4&gt;0.224,9,IF(BA4&gt;0.199,8,IF(BA4&gt;0.174,7,IF(BA4&gt;0.149,6,IF(BA4&gt;0.124,5,IF(BA4&gt;0.099,4,IF(BA4&gt;0.074,3,IF(BA4&gt;0.049,2,IF(BA4&gt;0.024,1,0)))))))))</f>
        <v>0</v>
      </c>
      <c r="BB10" s="22"/>
      <c r="BC10" s="821">
        <f>$H$11/0.01</f>
        <v>2000</v>
      </c>
      <c r="BD10" s="822"/>
      <c r="BE10" s="826">
        <f>H11/0.02</f>
        <v>1000</v>
      </c>
      <c r="BF10" s="822"/>
      <c r="BG10" s="826">
        <f>$H$11/0.03</f>
        <v>666.66666666666674</v>
      </c>
      <c r="BH10" s="822"/>
      <c r="BI10" s="826">
        <f>$H$11/0.04</f>
        <v>500</v>
      </c>
      <c r="BJ10" s="822"/>
      <c r="BK10" s="826">
        <f>$H$11/0.05</f>
        <v>400</v>
      </c>
      <c r="BL10" s="822"/>
      <c r="BM10" s="826">
        <f>$H$11/0.06</f>
        <v>333.33333333333337</v>
      </c>
      <c r="BN10" s="822"/>
      <c r="BO10" s="826">
        <f>$H$11/0.07</f>
        <v>285.71428571428567</v>
      </c>
      <c r="BP10" s="822"/>
      <c r="BQ10" s="826">
        <f>$H$11/0.08</f>
        <v>250</v>
      </c>
      <c r="BR10" s="822"/>
      <c r="BS10" s="826">
        <f>$H$11/0.09</f>
        <v>222.22222222222223</v>
      </c>
      <c r="BT10" s="822"/>
      <c r="BU10" s="826">
        <f>$H$11/0.1</f>
        <v>200</v>
      </c>
      <c r="BV10" s="822"/>
      <c r="BW10" s="826">
        <f>$H$11/0.11</f>
        <v>181.81818181818181</v>
      </c>
      <c r="BX10" s="822"/>
      <c r="BY10" s="377"/>
      <c r="BZ10" s="378"/>
      <c r="CA10" s="379"/>
      <c r="CB10" s="378"/>
      <c r="CC10" s="379"/>
      <c r="CD10" s="378"/>
      <c r="CE10" s="379"/>
      <c r="CF10" s="378"/>
      <c r="CG10" s="379"/>
      <c r="CH10" s="380"/>
    </row>
    <row r="11" spans="1:86" ht="16" thickBot="1">
      <c r="A11" s="102" t="s">
        <v>842</v>
      </c>
      <c r="B11" s="254" t="s">
        <v>50</v>
      </c>
      <c r="C11" s="102" t="s">
        <v>51</v>
      </c>
      <c r="D11" s="205">
        <v>2</v>
      </c>
      <c r="E11" s="22">
        <f>VLOOKUP(B11,S2:V4,4)+SUM(E15:E17)</f>
        <v>13</v>
      </c>
      <c r="F11" s="23">
        <f>VLOOKUP(B11,S2:U4,3)*'Ship Info'!G31</f>
        <v>80000000</v>
      </c>
      <c r="G11" s="22"/>
      <c r="H11" s="359">
        <f>VLOOKUP(B11,S2:T4,2)</f>
        <v>20</v>
      </c>
      <c r="I11" s="27"/>
      <c r="J11" s="22"/>
      <c r="K11" s="324">
        <f>VLOOKUP(B11,S2:W4,5)</f>
        <v>200</v>
      </c>
      <c r="L11" s="22"/>
      <c r="M11" s="78"/>
      <c r="P11" s="2"/>
      <c r="Q11" s="46"/>
      <c r="S11" s="86" t="s">
        <v>59</v>
      </c>
      <c r="T11" s="28">
        <f>C4*HLOOKUP(D25,AF6:AO8,2)</f>
        <v>140</v>
      </c>
      <c r="U11" s="28">
        <f>2000000*(T11)</f>
        <v>280000000</v>
      </c>
      <c r="V11" s="28">
        <f>HLOOKUP(D25,AF6:AO8,3)</f>
        <v>20</v>
      </c>
      <c r="W11" s="79">
        <f>T11+H28</f>
        <v>132</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3</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99</v>
      </c>
      <c r="D12" s="27"/>
      <c r="E12" s="22"/>
      <c r="F12" s="23" t="str">
        <f>IF(C12=S13,0.5*(SUM(F11,F14,F15))," ")</f>
        <v xml:space="preserve"> </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21">
        <f>$H$19/0.02</f>
        <v>0</v>
      </c>
      <c r="BD12" s="822"/>
      <c r="BE12" s="826">
        <f>$H$19/0.04</f>
        <v>0</v>
      </c>
      <c r="BF12" s="822"/>
      <c r="BG12" s="826">
        <f>$H$19/0.06</f>
        <v>0</v>
      </c>
      <c r="BH12" s="822"/>
      <c r="BI12" s="826">
        <f>$H$19/0.08</f>
        <v>0</v>
      </c>
      <c r="BJ12" s="822"/>
      <c r="BK12" s="826">
        <f>$H$19/0.1</f>
        <v>0</v>
      </c>
      <c r="BL12" s="822"/>
      <c r="BM12" s="826">
        <f>$H$19/0.12</f>
        <v>0</v>
      </c>
      <c r="BN12" s="822"/>
      <c r="BO12" s="826">
        <f>$H$19/0.14</f>
        <v>0</v>
      </c>
      <c r="BP12" s="822"/>
      <c r="BQ12" s="826">
        <f>$H$19/0.16</f>
        <v>0</v>
      </c>
      <c r="BR12" s="822"/>
      <c r="BS12" s="826">
        <f>$H$19/0.18</f>
        <v>0</v>
      </c>
      <c r="BT12" s="822"/>
      <c r="BU12" s="826">
        <f>$H$19/0.2</f>
        <v>0</v>
      </c>
      <c r="BV12" s="822"/>
      <c r="BW12" s="826">
        <f>$H$19/0.22</f>
        <v>0</v>
      </c>
      <c r="BX12" s="822"/>
      <c r="BY12" s="826">
        <f>$H$19/0.24</f>
        <v>0</v>
      </c>
      <c r="BZ12" s="822"/>
      <c r="CA12" s="826">
        <f>$H$19/0.26</f>
        <v>0</v>
      </c>
      <c r="CB12" s="822"/>
      <c r="CC12" s="826">
        <f>$H$19/0.28</f>
        <v>0</v>
      </c>
      <c r="CD12" s="822"/>
      <c r="CE12" s="826">
        <f>$H$19/0.3</f>
        <v>0</v>
      </c>
      <c r="CF12" s="822"/>
      <c r="CG12" s="826">
        <f>$H$19/0.32</f>
        <v>0</v>
      </c>
      <c r="CH12" s="839"/>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300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3</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300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21">
        <f>($H$25-5)/0.025</f>
        <v>3000</v>
      </c>
      <c r="BD14" s="822"/>
      <c r="BE14" s="826">
        <f>($H$25-5)/0.05</f>
        <v>1500</v>
      </c>
      <c r="BF14" s="822"/>
      <c r="BG14" s="826">
        <f>($H$25-5)/0.075</f>
        <v>1000</v>
      </c>
      <c r="BH14" s="822"/>
      <c r="BI14" s="826">
        <f>($H$25-5)/0.1</f>
        <v>750</v>
      </c>
      <c r="BJ14" s="822"/>
      <c r="BK14" s="826">
        <f>($H$25-5)/0.125</f>
        <v>600</v>
      </c>
      <c r="BL14" s="822"/>
      <c r="BM14" s="826">
        <f>($H$25-5)/0.15</f>
        <v>500</v>
      </c>
      <c r="BN14" s="822"/>
      <c r="BO14" s="826">
        <f>($H$25-5)/0.175</f>
        <v>428.57142857142861</v>
      </c>
      <c r="BP14" s="822"/>
      <c r="BQ14" s="826">
        <f>($H$25-5)/0.2</f>
        <v>375</v>
      </c>
      <c r="BR14" s="822"/>
      <c r="BS14" s="826">
        <f>($H$25-5)/0.225</f>
        <v>333.33333333333331</v>
      </c>
      <c r="BT14" s="822"/>
      <c r="BU14" s="379"/>
      <c r="BV14" s="378"/>
      <c r="BW14" s="379"/>
      <c r="BX14" s="378"/>
      <c r="BY14" s="377"/>
      <c r="BZ14" s="378"/>
      <c r="CA14" s="379"/>
      <c r="CB14" s="378"/>
      <c r="CC14" s="379"/>
      <c r="CD14" s="378"/>
      <c r="CE14" s="379"/>
      <c r="CF14" s="378"/>
      <c r="CG14" s="379"/>
      <c r="CH14" s="380"/>
    </row>
    <row r="15" spans="1:86" ht="16" thickBot="1">
      <c r="A15" s="102" t="s">
        <v>843</v>
      </c>
      <c r="B15" s="206" t="s">
        <v>846</v>
      </c>
      <c r="C15" s="22"/>
      <c r="D15" s="22"/>
      <c r="E15" s="22">
        <f>VLOOKUP(B15,S24:W48,4)</f>
        <v>1</v>
      </c>
      <c r="F15" s="23">
        <f>IF(B11=S2,0,U49)</f>
        <v>40000000</v>
      </c>
      <c r="G15" s="22"/>
      <c r="H15" s="359">
        <f>IF(B11=S2,0,VLOOKUP(B15,S24:W48,2)+VLOOKUP(B16,S24:W48,2)+VLOOKUP(B17,S24:W48,2))</f>
        <v>-2</v>
      </c>
      <c r="I15" s="22"/>
      <c r="J15" s="22"/>
      <c r="K15" s="324">
        <f>IF(B11=S2,0,VLOOKUP(B15,S24:W48,5)+VLOOKUP(B16,S24:W48,5)+VLOOKUP(B17,S24:W48,5))</f>
        <v>-50</v>
      </c>
      <c r="L15" s="22"/>
      <c r="M15" s="78"/>
      <c r="P15" s="2"/>
      <c r="Q15" s="46"/>
      <c r="S15" t="s">
        <v>120</v>
      </c>
      <c r="T15">
        <f>C4*HLOOKUP(D33,AF1:AV5,4)</f>
        <v>10</v>
      </c>
      <c r="U15">
        <f>200000*(T15+H35)</f>
        <v>2000000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836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21">
        <f>$H$33/(2*0.01*BC8)</f>
        <v>0</v>
      </c>
      <c r="BD16" s="822"/>
      <c r="BE16" s="826">
        <f t="shared" ref="BE16" si="0">$H$33/(2*0.01*BE8)</f>
        <v>0</v>
      </c>
      <c r="BF16" s="822"/>
      <c r="BG16" s="826">
        <f t="shared" ref="BG16" si="1">$H$33/(2*0.01*BG8)</f>
        <v>0</v>
      </c>
      <c r="BH16" s="822"/>
      <c r="BI16" s="826">
        <f t="shared" ref="BI16" si="2">$H$33/(2*0.01*BI8)</f>
        <v>0</v>
      </c>
      <c r="BJ16" s="822"/>
      <c r="BK16" s="826">
        <f t="shared" ref="BK16" si="3">$H$33/(2*0.01*BK8)</f>
        <v>0</v>
      </c>
      <c r="BL16" s="822"/>
      <c r="BM16" s="826">
        <f t="shared" ref="BM16" si="4">$H$33/(2*0.01*BM8)</f>
        <v>0</v>
      </c>
      <c r="BN16" s="822"/>
      <c r="BO16" s="826">
        <f t="shared" ref="BO16" si="5">$H$33/(2*0.01*BO8)</f>
        <v>0</v>
      </c>
      <c r="BP16" s="822"/>
      <c r="BQ16" s="826">
        <f t="shared" ref="BQ16" si="6">$H$33/(2*0.01*BQ8)</f>
        <v>0</v>
      </c>
      <c r="BR16" s="822"/>
      <c r="BS16" s="826">
        <f t="shared" ref="BS16" si="7">$H$33/(2*0.01*BS8)</f>
        <v>0</v>
      </c>
      <c r="BT16" s="822"/>
      <c r="BU16" s="826">
        <f t="shared" ref="BU16" si="8">$H$33/(2*0.01*BU8)</f>
        <v>0</v>
      </c>
      <c r="BV16" s="822"/>
      <c r="BW16" s="826">
        <f t="shared" ref="BW16" si="9">$H$33/(2*0.01*BW8)</f>
        <v>0</v>
      </c>
      <c r="BX16" s="822"/>
      <c r="BY16" s="834">
        <f t="shared" ref="BY16" si="10">$H$33/(2*0.01*BY8)</f>
        <v>0</v>
      </c>
      <c r="BZ16" s="835"/>
      <c r="CA16" s="834">
        <f t="shared" ref="CA16" si="11">$H$33/(2*0.01*CA8)</f>
        <v>0</v>
      </c>
      <c r="CB16" s="835"/>
      <c r="CC16" s="834">
        <f t="shared" ref="CC16" si="12">$H$33/(2*0.01*CC8)</f>
        <v>0</v>
      </c>
      <c r="CD16" s="835"/>
      <c r="CE16" s="834">
        <f t="shared" ref="CE16" si="13">$H$33/(2*0.01*CE8)</f>
        <v>0</v>
      </c>
      <c r="CF16" s="835"/>
      <c r="CG16" s="834">
        <f t="shared" ref="CG16" si="14">$H$33/(2*0.01*CG8)</f>
        <v>0</v>
      </c>
      <c r="CH16" s="836"/>
    </row>
    <row r="17" spans="1:86" ht="16" thickBot="1">
      <c r="A17" s="22"/>
      <c r="B17" s="206" t="s">
        <v>837</v>
      </c>
      <c r="C17" s="22"/>
      <c r="D17" s="27">
        <f>VLOOKUP(B15,S24:AA49,9)+VLOOKUP(B16,S24:AA49,9)+VLOOKUP(B17,S24:AA49,9)</f>
        <v>3</v>
      </c>
      <c r="E17" s="22">
        <f>VLOOKUP(B17,S24:W48,4)</f>
        <v>1</v>
      </c>
      <c r="F17" s="22"/>
      <c r="G17" s="22"/>
      <c r="H17" s="358"/>
      <c r="I17" s="22"/>
      <c r="J17" s="22"/>
      <c r="K17" s="22"/>
      <c r="L17" s="22"/>
      <c r="M17" s="78"/>
      <c r="P17" s="2"/>
      <c r="Q17" s="46"/>
      <c r="S17" t="s">
        <v>121</v>
      </c>
      <c r="T17">
        <f>0.05*C4</f>
        <v>50</v>
      </c>
      <c r="U17">
        <f>200000*T17</f>
        <v>10000000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21">
        <f>$H$42/(0.01*BC8)</f>
        <v>0</v>
      </c>
      <c r="BD18" s="822"/>
      <c r="BE18" s="826">
        <f t="shared" ref="BE18" si="15">$H$42/(0.01*BE8)</f>
        <v>0</v>
      </c>
      <c r="BF18" s="822"/>
      <c r="BG18" s="826">
        <f t="shared" ref="BG18" si="16">$H$42/(0.01*BG8)</f>
        <v>0</v>
      </c>
      <c r="BH18" s="822"/>
      <c r="BI18" s="826">
        <f t="shared" ref="BI18" si="17">$H$42/(0.01*BI8)</f>
        <v>0</v>
      </c>
      <c r="BJ18" s="822"/>
      <c r="BK18" s="826">
        <f t="shared" ref="BK18" si="18">$H$42/(0.01*BK8)</f>
        <v>0</v>
      </c>
      <c r="BL18" s="822"/>
      <c r="BM18" s="826">
        <f t="shared" ref="BM18" si="19">$H$42/(0.01*BM8)</f>
        <v>0</v>
      </c>
      <c r="BN18" s="822"/>
      <c r="BO18" s="826">
        <f t="shared" ref="BO18" si="20">$H$42/(0.01*BO8)</f>
        <v>0</v>
      </c>
      <c r="BP18" s="822"/>
      <c r="BQ18" s="826">
        <f t="shared" ref="BQ18" si="21">$H$42/(0.01*BQ8)</f>
        <v>0</v>
      </c>
      <c r="BR18" s="822"/>
      <c r="BS18" s="826">
        <f t="shared" ref="BS18" si="22">$H$42/(0.01*BS8)</f>
        <v>0</v>
      </c>
      <c r="BT18" s="822"/>
      <c r="BU18" s="834">
        <f t="shared" ref="BU18" si="23">$H$42/(0.01*BU8)</f>
        <v>0</v>
      </c>
      <c r="BV18" s="835"/>
      <c r="BW18" s="834">
        <f t="shared" ref="BW18" si="24">$H$42/(0.01*BW8)</f>
        <v>0</v>
      </c>
      <c r="BX18" s="835"/>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23">
        <f>($H$51-5)/(0.025*BC8)</f>
        <v>-200</v>
      </c>
      <c r="BD20" s="824"/>
      <c r="BE20" s="825">
        <f>($H$51-5)/(0.025*BE8)</f>
        <v>-100</v>
      </c>
      <c r="BF20" s="824"/>
      <c r="BG20" s="825">
        <f>($H$51-5)/(0.025*BG8)</f>
        <v>-66.666666666666657</v>
      </c>
      <c r="BH20" s="824"/>
      <c r="BI20" s="825">
        <f>($H$51-5)/(0.025*BI8)</f>
        <v>-50</v>
      </c>
      <c r="BJ20" s="824"/>
      <c r="BK20" s="825">
        <f>($H$51-5)/(0.025*BK8)</f>
        <v>-40</v>
      </c>
      <c r="BL20" s="824"/>
      <c r="BM20" s="825">
        <f>($H$51-5)/(0.025*BM8)</f>
        <v>-33.333333333333329</v>
      </c>
      <c r="BN20" s="824"/>
      <c r="BO20" s="825">
        <f>($H$51-5)/(0.025*BO8)</f>
        <v>-28.571428571428569</v>
      </c>
      <c r="BP20" s="824"/>
      <c r="BQ20" s="825">
        <f>($H$51-5)/(0.025*BQ8)</f>
        <v>-25</v>
      </c>
      <c r="BR20" s="824"/>
      <c r="BS20" s="825">
        <f>($H$51-5)/(0.025*BS8)</f>
        <v>-22.222222222222221</v>
      </c>
      <c r="BT20" s="824"/>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20"/>
      <c r="O23" s="820"/>
      <c r="P23" s="820"/>
      <c r="Q23" s="820"/>
      <c r="R23" s="820"/>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19" t="s">
        <v>866</v>
      </c>
      <c r="O24" s="819"/>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3</v>
      </c>
      <c r="E25" s="22">
        <f>VLOOKUP(B25,S5:W11,4)+SUM(E28:E30)</f>
        <v>14</v>
      </c>
      <c r="F25" s="23">
        <f>IF(D25=0,0,VLOOKUP(B25,S5:W11,3))*'Ship Info'!G31</f>
        <v>240000000</v>
      </c>
      <c r="G25" s="22"/>
      <c r="H25" s="359">
        <f>IF(D25=0,0,VLOOKUP(B25,S5:W11,2))</f>
        <v>80</v>
      </c>
      <c r="I25" s="27"/>
      <c r="J25" s="22"/>
      <c r="K25" s="324">
        <f>VLOOKUP(B25,S5:W11,5)</f>
        <v>300</v>
      </c>
      <c r="L25" s="22"/>
      <c r="M25" s="95" t="s">
        <v>867</v>
      </c>
      <c r="N25" s="93" t="s">
        <v>1</v>
      </c>
      <c r="O25" s="57" t="s">
        <v>55</v>
      </c>
      <c r="P25" s="96" t="s">
        <v>67</v>
      </c>
      <c r="Q25" s="93" t="s">
        <v>26</v>
      </c>
      <c r="R25" s="96" t="s">
        <v>860</v>
      </c>
      <c r="S25" s="78" t="s">
        <v>830</v>
      </c>
      <c r="T25">
        <f>0.25*T3</f>
        <v>5</v>
      </c>
      <c r="U25">
        <f>-0.25*F11</f>
        <v>-20000000</v>
      </c>
      <c r="V25">
        <v>0</v>
      </c>
      <c r="W25">
        <v>0</v>
      </c>
      <c r="X25" s="78">
        <f>0.25*T70</f>
        <v>1.25</v>
      </c>
      <c r="Y25" t="e">
        <f>-0.25*(F42+F46)</f>
        <v>#VALUE!</v>
      </c>
      <c r="Z25" s="88">
        <v>0</v>
      </c>
      <c r="AA25" s="90">
        <v>3</v>
      </c>
      <c r="AB25" s="78" t="s">
        <v>830</v>
      </c>
      <c r="AE25">
        <f>0.25*VLOOKUP(B25,S5:W11,2)</f>
        <v>20</v>
      </c>
      <c r="AF25">
        <f>-0.25*F25</f>
        <v>-60000000</v>
      </c>
      <c r="AG25">
        <v>0</v>
      </c>
      <c r="AH25">
        <v>0</v>
      </c>
      <c r="AI25">
        <v>0</v>
      </c>
      <c r="AJ25">
        <v>3</v>
      </c>
      <c r="AK25">
        <f>0.25*VLOOKUP(B51,X10:AB16,2)</f>
        <v>0</v>
      </c>
      <c r="AL25">
        <f>-0.25*F51</f>
        <v>0</v>
      </c>
      <c r="AM25" s="46">
        <v>0</v>
      </c>
      <c r="AN25" s="78" t="s">
        <v>830</v>
      </c>
      <c r="AS25">
        <f>0.25*T4</f>
        <v>2.5</v>
      </c>
      <c r="AT25">
        <f>-0.25*U4</f>
        <v>-500000</v>
      </c>
      <c r="AU25">
        <v>0</v>
      </c>
      <c r="AV25" s="46">
        <v>0</v>
      </c>
      <c r="AW25" s="2">
        <v>3</v>
      </c>
      <c r="AX25" s="92">
        <f>0.25*T15</f>
        <v>2.5</v>
      </c>
      <c r="AY25" s="2">
        <f>-0.25*U15</f>
        <v>-500000</v>
      </c>
      <c r="AZ25" s="88">
        <v>0</v>
      </c>
    </row>
    <row r="26" spans="1:86" ht="16" thickBot="1">
      <c r="A26" s="22"/>
      <c r="B26" s="103" t="s">
        <v>97</v>
      </c>
      <c r="C26" s="206" t="s">
        <v>99</v>
      </c>
      <c r="D26" s="27"/>
      <c r="E26" s="22"/>
      <c r="F26" s="23" t="str">
        <f>IF(C26=S13,0.5*(F25+F28)," ")</f>
        <v xml:space="preserve"> </v>
      </c>
      <c r="G26" s="22"/>
      <c r="H26" s="359"/>
      <c r="I26" s="27"/>
      <c r="J26" s="22"/>
      <c r="K26" s="27"/>
      <c r="L26" s="22"/>
      <c r="M26" s="235">
        <v>0</v>
      </c>
      <c r="N26" s="235">
        <v>0</v>
      </c>
      <c r="O26" s="289">
        <v>0</v>
      </c>
      <c r="P26" s="235">
        <v>0</v>
      </c>
      <c r="Q26" s="198"/>
      <c r="R26" s="198"/>
      <c r="S26" s="78" t="s">
        <v>831</v>
      </c>
      <c r="T26">
        <v>0</v>
      </c>
      <c r="U26">
        <f>-0.25*F11</f>
        <v>-20000000</v>
      </c>
      <c r="V26">
        <v>0</v>
      </c>
      <c r="W26">
        <f>0.3*W3</f>
        <v>60</v>
      </c>
      <c r="X26" s="78">
        <v>0</v>
      </c>
      <c r="Y26" t="e">
        <f>-0.25*(F42+F46)</f>
        <v>#VALUE!</v>
      </c>
      <c r="Z26" s="88">
        <f>0.3*VLOOKUP(B42,S69:W71,5)</f>
        <v>0</v>
      </c>
      <c r="AA26" s="90">
        <v>3</v>
      </c>
      <c r="AB26" s="78" t="s">
        <v>871</v>
      </c>
      <c r="AE26">
        <v>0</v>
      </c>
      <c r="AF26">
        <f>-0.25*F25</f>
        <v>-60000000</v>
      </c>
      <c r="AG26">
        <v>0</v>
      </c>
      <c r="AH26">
        <v>0</v>
      </c>
      <c r="AI26">
        <f>0.3*VLOOKUP(B25,S5:W11,5)</f>
        <v>90</v>
      </c>
      <c r="AJ26">
        <v>3</v>
      </c>
      <c r="AK26">
        <v>0</v>
      </c>
      <c r="AL26">
        <f>-0.25*F51</f>
        <v>0</v>
      </c>
      <c r="AM26" s="46">
        <f>0.3*VLOOKUP(B51,S5:W11,5)</f>
        <v>0</v>
      </c>
      <c r="AN26" s="78" t="s">
        <v>848</v>
      </c>
      <c r="AS26">
        <v>0</v>
      </c>
      <c r="AT26">
        <f>-0.25*U4</f>
        <v>-500000</v>
      </c>
      <c r="AU26">
        <v>0.25</v>
      </c>
      <c r="AV26" s="46">
        <v>0</v>
      </c>
      <c r="AW26" s="2">
        <v>3</v>
      </c>
      <c r="AX26" s="92">
        <v>0</v>
      </c>
      <c r="AY26" s="2">
        <f>-0.25*U15</f>
        <v>-500000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-20000000</v>
      </c>
      <c r="V27">
        <v>0</v>
      </c>
      <c r="W27">
        <v>0</v>
      </c>
      <c r="X27" s="78">
        <v>0</v>
      </c>
      <c r="Y27" t="e">
        <f>-0.25*(F42+F46)</f>
        <v>#VALUE!</v>
      </c>
      <c r="Z27" s="88">
        <v>0</v>
      </c>
      <c r="AA27" s="90">
        <v>3</v>
      </c>
      <c r="AB27" s="78" t="s">
        <v>833</v>
      </c>
      <c r="AE27">
        <v>0</v>
      </c>
      <c r="AF27">
        <f>-0.1*F25</f>
        <v>-24000000</v>
      </c>
      <c r="AG27">
        <v>0</v>
      </c>
      <c r="AH27">
        <v>1</v>
      </c>
      <c r="AI27">
        <v>0</v>
      </c>
      <c r="AJ27">
        <v>3</v>
      </c>
      <c r="AK27">
        <v>0</v>
      </c>
      <c r="AL27">
        <f>-0.1*F51</f>
        <v>0</v>
      </c>
      <c r="AM27" s="46">
        <v>0</v>
      </c>
      <c r="AN27" s="78" t="s">
        <v>833</v>
      </c>
      <c r="AS27">
        <v>0</v>
      </c>
      <c r="AT27">
        <f>-0.1*U4</f>
        <v>-200000</v>
      </c>
      <c r="AU27">
        <v>0</v>
      </c>
      <c r="AV27" s="46">
        <v>1</v>
      </c>
      <c r="AW27" s="2">
        <v>3</v>
      </c>
      <c r="AX27" s="92">
        <v>0</v>
      </c>
      <c r="AY27" s="2">
        <f>-0.1*U15</f>
        <v>-200000</v>
      </c>
      <c r="AZ27" s="88">
        <v>0</v>
      </c>
    </row>
    <row r="28" spans="1:86" ht="16" thickBot="1">
      <c r="A28" s="102" t="s">
        <v>126</v>
      </c>
      <c r="B28" s="206" t="s">
        <v>878</v>
      </c>
      <c r="C28" s="22"/>
      <c r="D28" s="22"/>
      <c r="E28" s="22">
        <f>VLOOKUP(B28,AB24:AM48,7)</f>
        <v>1</v>
      </c>
      <c r="F28" s="23">
        <f>AE51</f>
        <v>60000000</v>
      </c>
      <c r="G28" s="22"/>
      <c r="H28" s="359">
        <f>IF(D25=0,0,VLOOKUP(B28,AB24:AM48,4)+VLOOKUP(B29,AB24:AM48,4)+VLOOKUP(B30,AB24:AM48,4))</f>
        <v>-8</v>
      </c>
      <c r="I28" s="22"/>
      <c r="J28" s="22"/>
      <c r="K28" s="324">
        <f>IF(B25=S5,0,VLOOKUP(B28,AB24:AM48,8)+VLOOKUP(B29,AB24:AM48,8)+VLOOKUP(B30,AB24:AM48,8))</f>
        <v>0</v>
      </c>
      <c r="L28" s="22"/>
      <c r="S28" s="78" t="s">
        <v>833</v>
      </c>
      <c r="T28">
        <v>0</v>
      </c>
      <c r="U28">
        <f>-0.1*F11</f>
        <v>-8000000</v>
      </c>
      <c r="V28">
        <v>1</v>
      </c>
      <c r="W28">
        <v>0</v>
      </c>
      <c r="X28" s="78">
        <v>0</v>
      </c>
      <c r="Y28" t="e">
        <f>-0.1*(F42+F46)</f>
        <v>#VALUE!</v>
      </c>
      <c r="Z28" s="88">
        <v>0</v>
      </c>
      <c r="AA28" s="90">
        <v>3</v>
      </c>
      <c r="AB28" s="78" t="s">
        <v>834</v>
      </c>
      <c r="AE28">
        <v>0</v>
      </c>
      <c r="AF28">
        <f>-0.2*F25</f>
        <v>-48000000</v>
      </c>
      <c r="AG28">
        <v>0</v>
      </c>
      <c r="AH28">
        <v>2</v>
      </c>
      <c r="AI28">
        <v>0</v>
      </c>
      <c r="AJ28">
        <v>3</v>
      </c>
      <c r="AK28">
        <v>0</v>
      </c>
      <c r="AL28">
        <f>-0.2*F51</f>
        <v>0</v>
      </c>
      <c r="AM28" s="46">
        <v>0</v>
      </c>
      <c r="AN28" s="78" t="s">
        <v>834</v>
      </c>
      <c r="AS28">
        <v>0</v>
      </c>
      <c r="AT28">
        <f>-0.15*U4</f>
        <v>-300000</v>
      </c>
      <c r="AU28">
        <v>0</v>
      </c>
      <c r="AV28" s="46">
        <v>2</v>
      </c>
      <c r="AW28" s="2">
        <v>3</v>
      </c>
      <c r="AX28" s="92">
        <v>0</v>
      </c>
      <c r="AY28" s="2">
        <f>-0.15*U15</f>
        <v>-300000</v>
      </c>
      <c r="AZ28" s="88">
        <v>0</v>
      </c>
    </row>
    <row r="29" spans="1:86" ht="16" thickBot="1">
      <c r="A29" s="22"/>
      <c r="B29" s="206" t="s">
        <v>879</v>
      </c>
      <c r="C29" s="22"/>
      <c r="D29" s="104" t="s">
        <v>818</v>
      </c>
      <c r="E29" s="22">
        <f>VLOOKUP(B29,AB24:AM48,7)</f>
        <v>1</v>
      </c>
      <c r="F29" s="22"/>
      <c r="G29" s="22"/>
      <c r="H29" s="23"/>
      <c r="I29" s="22"/>
      <c r="J29" s="22"/>
      <c r="K29" s="22"/>
      <c r="L29" s="22"/>
      <c r="M29" t="s">
        <v>868</v>
      </c>
      <c r="S29" s="78" t="s">
        <v>834</v>
      </c>
      <c r="T29">
        <v>0</v>
      </c>
      <c r="U29">
        <f>-0.15*F11</f>
        <v>-12000000</v>
      </c>
      <c r="V29">
        <v>2</v>
      </c>
      <c r="W29">
        <v>0</v>
      </c>
      <c r="X29" s="78">
        <v>0</v>
      </c>
      <c r="Y29" t="e">
        <f>-0.15*(F42+F46)</f>
        <v>#VALUE!</v>
      </c>
      <c r="Z29" s="88">
        <v>0</v>
      </c>
      <c r="AA29" s="90">
        <v>3</v>
      </c>
      <c r="AB29" s="78" t="s">
        <v>835</v>
      </c>
      <c r="AE29">
        <v>0</v>
      </c>
      <c r="AF29">
        <f>-0.3*F25</f>
        <v>-72000000</v>
      </c>
      <c r="AG29">
        <v>0</v>
      </c>
      <c r="AH29">
        <v>3</v>
      </c>
      <c r="AI29">
        <v>0</v>
      </c>
      <c r="AJ29">
        <v>3</v>
      </c>
      <c r="AK29">
        <v>0</v>
      </c>
      <c r="AL29">
        <f>-0.3*F51</f>
        <v>0</v>
      </c>
      <c r="AM29" s="46">
        <v>0</v>
      </c>
      <c r="AN29" s="78" t="s">
        <v>835</v>
      </c>
      <c r="AS29">
        <v>0</v>
      </c>
      <c r="AT29">
        <f>-0.2*U4</f>
        <v>-400000</v>
      </c>
      <c r="AU29">
        <v>0</v>
      </c>
      <c r="AV29" s="46">
        <v>3</v>
      </c>
      <c r="AW29" s="2">
        <v>3</v>
      </c>
      <c r="AX29" s="92">
        <v>0</v>
      </c>
      <c r="AY29" s="2">
        <f>-0.2*U15</f>
        <v>-400000</v>
      </c>
      <c r="AZ29" s="88">
        <v>0</v>
      </c>
    </row>
    <row r="30" spans="1:86" ht="16" thickBot="1">
      <c r="A30" s="22"/>
      <c r="B30" s="206" t="s">
        <v>829</v>
      </c>
      <c r="C30" s="22"/>
      <c r="D30" s="27">
        <f>VLOOKUP(B28,AB24:AM48,9)+VLOOKUP(B29,AB24:AM48,9)+VLOOKUP(B30,AB24:AM48,9)</f>
        <v>2</v>
      </c>
      <c r="E30" s="22">
        <f>VLOOKUP(B30,AB24:AM48,7)</f>
        <v>0</v>
      </c>
      <c r="F30" s="22"/>
      <c r="G30" s="22"/>
      <c r="H30" s="23"/>
      <c r="I30" s="22"/>
      <c r="J30" s="22"/>
      <c r="K30" s="22"/>
      <c r="L30" s="22"/>
      <c r="M30" s="83" t="s">
        <v>857</v>
      </c>
      <c r="N30" s="820"/>
      <c r="O30" s="820"/>
      <c r="P30" s="820"/>
      <c r="Q30" s="820"/>
      <c r="R30" s="820"/>
      <c r="S30" t="s">
        <v>835</v>
      </c>
      <c r="T30">
        <v>0</v>
      </c>
      <c r="U30">
        <f>-0.2*F11</f>
        <v>-16000000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19" t="s">
        <v>866</v>
      </c>
      <c r="O31" s="819"/>
      <c r="P31" s="94"/>
      <c r="Q31" s="57"/>
      <c r="R31" s="94"/>
      <c r="S31" s="78" t="s">
        <v>846</v>
      </c>
      <c r="T31">
        <v>0</v>
      </c>
      <c r="U31">
        <v>0</v>
      </c>
      <c r="V31">
        <v>1</v>
      </c>
      <c r="W31">
        <f>-0.25*W3</f>
        <v>-50</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-1</v>
      </c>
      <c r="AT31">
        <v>0</v>
      </c>
      <c r="AU31">
        <v>0</v>
      </c>
      <c r="AV31" s="46">
        <v>1</v>
      </c>
      <c r="AW31" s="2">
        <v>1</v>
      </c>
      <c r="AX31" s="92">
        <f>-0.1*T15</f>
        <v>-1</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-2</v>
      </c>
      <c r="U32">
        <v>0</v>
      </c>
      <c r="V32">
        <v>1</v>
      </c>
      <c r="W32">
        <v>0</v>
      </c>
      <c r="X32" s="78">
        <f>-0.1*T70</f>
        <v>-0.5</v>
      </c>
      <c r="Y32">
        <v>0</v>
      </c>
      <c r="Z32" s="88">
        <v>0</v>
      </c>
      <c r="AA32" s="90">
        <v>1</v>
      </c>
      <c r="AB32" s="78" t="s">
        <v>877</v>
      </c>
      <c r="AE32">
        <v>0</v>
      </c>
      <c r="AF32">
        <v>0</v>
      </c>
      <c r="AG32">
        <v>0</v>
      </c>
      <c r="AH32">
        <v>1</v>
      </c>
      <c r="AI32">
        <f>-0.25*VLOOKUP(B25,S5:W11,5)</f>
        <v>-75</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-8</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2.5</v>
      </c>
      <c r="AT34">
        <f>5*U4</f>
        <v>10000000</v>
      </c>
      <c r="AU34">
        <v>0</v>
      </c>
      <c r="AV34" s="46">
        <v>-1</v>
      </c>
      <c r="AW34" s="2">
        <v>3</v>
      </c>
      <c r="AX34" s="92">
        <f>0.25*T15</f>
        <v>2.5</v>
      </c>
      <c r="AY34" s="2">
        <f>5*U15</f>
        <v>10000000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30</v>
      </c>
      <c r="U35">
        <v>-1.0000000000000001E-9</v>
      </c>
      <c r="V35">
        <f>INDEX(AF1:AV3,3,MATCH(D11*2,AF1:AV1,0))-INDEX(AF1:AV3,3,MATCH(D11,AF1:AV1,0))</f>
        <v>1</v>
      </c>
      <c r="W35">
        <v>0</v>
      </c>
      <c r="X35" s="78">
        <f>INDEX(AF1:AQ3,2,MATCH(D42*2,AF1:AQ1,0))*Tonnage-H42+0.25*INDEX(AF1:AQ3,2,MATCH(D42*2,AF1:AQ1,0))*Tonnage</f>
        <v>6.25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10000000</v>
      </c>
      <c r="AU35">
        <v>0.25</v>
      </c>
      <c r="AV35" s="46">
        <v>-1</v>
      </c>
      <c r="AW35" s="2">
        <v>3</v>
      </c>
      <c r="AX35" s="92">
        <v>0</v>
      </c>
      <c r="AY35" s="2">
        <f>5*U15</f>
        <v>10000000</v>
      </c>
      <c r="AZ35" s="88">
        <v>0.25</v>
      </c>
    </row>
    <row r="36" spans="1:53" ht="16" thickBot="1">
      <c r="B36" s="197" t="s">
        <v>829</v>
      </c>
      <c r="D36" s="52" t="s">
        <v>818</v>
      </c>
      <c r="E36">
        <f>VLOOKUP(B36,AN24:AV42,9)</f>
        <v>0</v>
      </c>
      <c r="H36" s="4"/>
      <c r="M36" t="s">
        <v>868</v>
      </c>
      <c r="S36" s="78" t="s">
        <v>840</v>
      </c>
      <c r="T36">
        <f>0.25*T3</f>
        <v>5</v>
      </c>
      <c r="U36">
        <f>5*F11</f>
        <v>400000000</v>
      </c>
      <c r="V36">
        <v>-1</v>
      </c>
      <c r="W36">
        <v>0</v>
      </c>
      <c r="X36" s="78">
        <f>0.25*T70</f>
        <v>1.25</v>
      </c>
      <c r="Y36" t="e">
        <f>5*(F42+F46)</f>
        <v>#VALUE!</v>
      </c>
      <c r="Z36" s="88">
        <v>0</v>
      </c>
      <c r="AA36" s="90">
        <v>3</v>
      </c>
      <c r="AB36" s="78" t="s">
        <v>840</v>
      </c>
      <c r="AE36">
        <f>0.25*VLOOKUP(B25,S5:W11,2)</f>
        <v>20</v>
      </c>
      <c r="AF36">
        <f>5*F25</f>
        <v>1200000000</v>
      </c>
      <c r="AG36">
        <v>0</v>
      </c>
      <c r="AH36">
        <v>-1</v>
      </c>
      <c r="AI36">
        <v>0</v>
      </c>
      <c r="AJ36">
        <v>3</v>
      </c>
      <c r="AK36">
        <f>0.25*VLOOKUP(B51,X10:AB16,2)</f>
        <v>0</v>
      </c>
      <c r="AL36">
        <f>5*F51</f>
        <v>0</v>
      </c>
      <c r="AM36" s="46">
        <v>0</v>
      </c>
      <c r="AN36" s="78" t="s">
        <v>850</v>
      </c>
      <c r="AS36">
        <f>1.5*T4</f>
        <v>15</v>
      </c>
      <c r="AT36">
        <f>10*U4</f>
        <v>20000000</v>
      </c>
      <c r="AU36">
        <v>0</v>
      </c>
      <c r="AV36" s="46">
        <v>-2</v>
      </c>
      <c r="AW36" s="2">
        <v>3</v>
      </c>
      <c r="AX36" s="92">
        <f>1.5*T15</f>
        <v>15</v>
      </c>
      <c r="AY36" s="2">
        <f>10*U15</f>
        <v>20000000</v>
      </c>
      <c r="AZ36" s="88">
        <v>0</v>
      </c>
    </row>
    <row r="37" spans="1:53" ht="16" thickBot="1">
      <c r="B37" s="197" t="s">
        <v>829</v>
      </c>
      <c r="D37" s="2">
        <f>VLOOKUP(B35,AN24:AZ42,10)+VLOOKUP(B36,AN24:AZ42,10)+VLOOKUP(B37,AN24:AZ42,10)</f>
        <v>0</v>
      </c>
      <c r="E37">
        <f>VLOOKUP(B37,AN24:AV42,9)</f>
        <v>0</v>
      </c>
      <c r="H37" s="4"/>
      <c r="M37" s="83" t="s">
        <v>858</v>
      </c>
      <c r="N37" s="820"/>
      <c r="O37" s="820"/>
      <c r="P37" s="820"/>
      <c r="Q37" s="820"/>
      <c r="R37" s="820"/>
      <c r="S37" s="78" t="s">
        <v>847</v>
      </c>
      <c r="T37">
        <v>0</v>
      </c>
      <c r="U37">
        <f>5*F11</f>
        <v>400000000</v>
      </c>
      <c r="V37">
        <v>-1</v>
      </c>
      <c r="W37">
        <f>0.3*W3</f>
        <v>60</v>
      </c>
      <c r="X37" s="78">
        <f>-0.2*VLOOKUP(B42,S69:T71,2)</f>
        <v>0</v>
      </c>
      <c r="Y37" t="e">
        <f>5*(F42+F46)</f>
        <v>#VALUE!</v>
      </c>
      <c r="Z37" s="88">
        <f>0.3*VLOOKUP(B42,S69:W71,5)</f>
        <v>0</v>
      </c>
      <c r="AA37" s="90">
        <v>3</v>
      </c>
      <c r="AB37" s="78" t="s">
        <v>847</v>
      </c>
      <c r="AE37">
        <v>0</v>
      </c>
      <c r="AF37">
        <f>5*F25</f>
        <v>1200000000</v>
      </c>
      <c r="AG37">
        <v>0</v>
      </c>
      <c r="AH37">
        <v>-1</v>
      </c>
      <c r="AI37">
        <f>0.3*VLOOKUP(B25,S5:W11,5)</f>
        <v>90</v>
      </c>
      <c r="AJ37">
        <v>3</v>
      </c>
      <c r="AK37">
        <v>0</v>
      </c>
      <c r="AL37">
        <f>5*F51</f>
        <v>0</v>
      </c>
      <c r="AM37" s="46">
        <f>0.3*VLOOKUP(B51,S5:W11,5)</f>
        <v>0</v>
      </c>
      <c r="AN37" s="78" t="s">
        <v>851</v>
      </c>
      <c r="AS37">
        <f>1*T4</f>
        <v>10</v>
      </c>
      <c r="AT37">
        <f>10*U4</f>
        <v>20000000</v>
      </c>
      <c r="AU37">
        <v>0.5</v>
      </c>
      <c r="AV37" s="46">
        <v>-2</v>
      </c>
      <c r="AW37" s="2">
        <v>3</v>
      </c>
      <c r="AX37" s="92">
        <f>T15</f>
        <v>10</v>
      </c>
      <c r="AY37" s="2">
        <f>10*U15</f>
        <v>20000000</v>
      </c>
      <c r="AZ37" s="88">
        <v>0.5</v>
      </c>
    </row>
    <row r="38" spans="1:53">
      <c r="B38" s="77"/>
      <c r="H38" s="4"/>
      <c r="M38" s="83"/>
      <c r="N38" s="819" t="s">
        <v>866</v>
      </c>
      <c r="O38" s="819"/>
      <c r="P38" s="94"/>
      <c r="Q38" s="57"/>
      <c r="R38" s="94"/>
      <c r="S38" t="s">
        <v>841</v>
      </c>
      <c r="T38">
        <v>0</v>
      </c>
      <c r="U38">
        <f>5*F11</f>
        <v>400000000</v>
      </c>
      <c r="V38">
        <v>-1</v>
      </c>
      <c r="W38">
        <v>0</v>
      </c>
      <c r="X38" s="78">
        <v>0</v>
      </c>
      <c r="Y38" t="e">
        <f>5*(F42+F46)</f>
        <v>#VALUE!</v>
      </c>
      <c r="Z38" s="88">
        <v>0</v>
      </c>
      <c r="AA38" s="90">
        <v>3</v>
      </c>
      <c r="AB38" s="78" t="s">
        <v>862</v>
      </c>
      <c r="AE38">
        <v>0</v>
      </c>
      <c r="AF38">
        <f>5*F25</f>
        <v>1200000000</v>
      </c>
      <c r="AG38">
        <v>0</v>
      </c>
      <c r="AH38">
        <v>-1</v>
      </c>
      <c r="AI38">
        <v>0</v>
      </c>
      <c r="AJ38">
        <v>3</v>
      </c>
      <c r="AK38">
        <v>0</v>
      </c>
      <c r="AL38">
        <f>5*F51</f>
        <v>0</v>
      </c>
      <c r="AM38" s="46">
        <v>0</v>
      </c>
      <c r="AN38" s="78" t="s">
        <v>852</v>
      </c>
      <c r="AS38">
        <f>1*T4</f>
        <v>10</v>
      </c>
      <c r="AT38">
        <f>10*U4</f>
        <v>20000000</v>
      </c>
      <c r="AU38">
        <v>0.25</v>
      </c>
      <c r="AV38" s="46">
        <v>-2</v>
      </c>
      <c r="AW38" s="2">
        <v>3</v>
      </c>
      <c r="AX38" s="92">
        <f>T15</f>
        <v>10</v>
      </c>
      <c r="AY38" s="2">
        <f>10*U15</f>
        <v>20000000</v>
      </c>
      <c r="AZ38" s="88">
        <v>0.25</v>
      </c>
    </row>
    <row r="39" spans="1:53" ht="16" thickBot="1">
      <c r="F39" s="4"/>
      <c r="H39" s="10"/>
      <c r="K39" s="2"/>
      <c r="M39" s="95" t="s">
        <v>867</v>
      </c>
      <c r="N39" s="93" t="s">
        <v>1</v>
      </c>
      <c r="O39" s="57" t="s">
        <v>55</v>
      </c>
      <c r="P39" s="96" t="s">
        <v>67</v>
      </c>
      <c r="Q39" s="93" t="s">
        <v>26</v>
      </c>
      <c r="R39" s="96" t="s">
        <v>860</v>
      </c>
      <c r="S39" s="78" t="s">
        <v>825</v>
      </c>
      <c r="T39">
        <f>1*T3</f>
        <v>20</v>
      </c>
      <c r="U39">
        <f>10*F11</f>
        <v>800000000</v>
      </c>
      <c r="V39">
        <v>-2</v>
      </c>
      <c r="W39">
        <v>0</v>
      </c>
      <c r="X39" s="78">
        <f>1*T70</f>
        <v>5</v>
      </c>
      <c r="Y39" t="e">
        <f>10*(F42+F46)</f>
        <v>#VALUE!</v>
      </c>
      <c r="Z39" s="88">
        <v>0</v>
      </c>
      <c r="AA39" s="90">
        <v>3</v>
      </c>
      <c r="AB39" s="78" t="s">
        <v>863</v>
      </c>
      <c r="AE39">
        <f>1*VLOOKUP(B25,S5:W11,2)</f>
        <v>80</v>
      </c>
      <c r="AF39">
        <f>10*F25</f>
        <v>2400000000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30</v>
      </c>
      <c r="U40">
        <f>10*F11</f>
        <v>800000000</v>
      </c>
      <c r="V40">
        <v>-2</v>
      </c>
      <c r="W40">
        <v>0</v>
      </c>
      <c r="X40" s="78">
        <f>1.5*T70</f>
        <v>7.5</v>
      </c>
      <c r="Y40" t="e">
        <f>10*(F42+F46)</f>
        <v>#VALUE!</v>
      </c>
      <c r="Z40" s="88">
        <v>0</v>
      </c>
      <c r="AA40" s="90">
        <v>3</v>
      </c>
      <c r="AB40" s="78" t="s">
        <v>826</v>
      </c>
      <c r="AE40">
        <f>1.5*VLOOKUP(B25,S5:W11,2)</f>
        <v>120</v>
      </c>
      <c r="AF40">
        <f>10*F25</f>
        <v>2400000000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20</v>
      </c>
      <c r="U41">
        <f>10*F11</f>
        <v>800000000</v>
      </c>
      <c r="V41">
        <v>-2</v>
      </c>
      <c r="W41">
        <f>0.6*W3</f>
        <v>120</v>
      </c>
      <c r="X41" s="78">
        <f>1*T70</f>
        <v>5</v>
      </c>
      <c r="Y41" t="e">
        <f>10*(F42+F46)</f>
        <v>#VALUE!</v>
      </c>
      <c r="Z41" s="88">
        <f>0.6*VLOOKUP(B42,S69:W71,5)</f>
        <v>0</v>
      </c>
      <c r="AA41" s="90">
        <v>3</v>
      </c>
      <c r="AB41" s="78" t="s">
        <v>861</v>
      </c>
      <c r="AE41">
        <f>1*VLOOKUP(B25,S5:W11,2)</f>
        <v>80</v>
      </c>
      <c r="AF41">
        <f>10*F25</f>
        <v>2400000000</v>
      </c>
      <c r="AG41">
        <v>0</v>
      </c>
      <c r="AH41">
        <v>-2</v>
      </c>
      <c r="AI41">
        <f>0.6*VLOOKUP(B25,S5:W11,5)</f>
        <v>180</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25</v>
      </c>
      <c r="U42">
        <f>10*F11</f>
        <v>800000000</v>
      </c>
      <c r="V42">
        <v>-2</v>
      </c>
      <c r="W42">
        <f>0.3*W3</f>
        <v>60</v>
      </c>
      <c r="X42" s="78">
        <f>1.25*T70</f>
        <v>6.25</v>
      </c>
      <c r="Y42" t="e">
        <f>10*(F42+F46)</f>
        <v>#VALUE!</v>
      </c>
      <c r="Z42" s="88">
        <v>0</v>
      </c>
      <c r="AA42" s="90">
        <v>3</v>
      </c>
      <c r="AB42" s="78" t="s">
        <v>827</v>
      </c>
      <c r="AE42">
        <f>1.25*VLOOKUP(B25,S5:W11,2)</f>
        <v>100</v>
      </c>
      <c r="AF42">
        <f>10*F25</f>
        <v>2400000000</v>
      </c>
      <c r="AG42">
        <v>0</v>
      </c>
      <c r="AH42">
        <v>-2</v>
      </c>
      <c r="AI42">
        <f>0.3*VLOOKUP(B25,S5:W11,5)</f>
        <v>90</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25</v>
      </c>
      <c r="U43">
        <f>10*F11</f>
        <v>800000000</v>
      </c>
      <c r="V43">
        <v>-2</v>
      </c>
      <c r="W43">
        <v>0</v>
      </c>
      <c r="X43" s="78">
        <f>1.25*T70</f>
        <v>6.25</v>
      </c>
      <c r="Y43" t="e">
        <f>10*(F42+F46)</f>
        <v>#VALUE!</v>
      </c>
      <c r="Z43" s="88">
        <v>0</v>
      </c>
      <c r="AA43" s="90">
        <v>3</v>
      </c>
      <c r="AB43" s="78" t="s">
        <v>864</v>
      </c>
      <c r="AE43">
        <f>1*VLOOKUP(B25,S5:W11,2)</f>
        <v>80</v>
      </c>
      <c r="AF43">
        <f>10*F25</f>
        <v>2400000000</v>
      </c>
      <c r="AG43">
        <v>0</v>
      </c>
      <c r="AH43">
        <v>-2</v>
      </c>
      <c r="AI43">
        <f>0.3*VLOOKUP(B25,S5:W11,5)</f>
        <v>90</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20"/>
      <c r="O44" s="820"/>
      <c r="P44" s="820"/>
      <c r="Q44" s="820"/>
      <c r="R44" s="820"/>
      <c r="S44" s="78" t="s">
        <v>869</v>
      </c>
      <c r="T44">
        <f>1*T3</f>
        <v>20</v>
      </c>
      <c r="U44">
        <f>10*F11</f>
        <v>800000000</v>
      </c>
      <c r="V44">
        <v>-2</v>
      </c>
      <c r="W44">
        <f>0.3*W3</f>
        <v>60</v>
      </c>
      <c r="X44" s="78">
        <f>1*T70</f>
        <v>5</v>
      </c>
      <c r="Y44" s="2" t="e">
        <f>10*(F42+F46)</f>
        <v>#VALUE!</v>
      </c>
      <c r="Z44" s="88">
        <f>0.3*VLOOKUP(B42,S69:W71,5)</f>
        <v>0</v>
      </c>
      <c r="AA44" s="90">
        <v>3</v>
      </c>
      <c r="AB44" s="78" t="s">
        <v>865</v>
      </c>
      <c r="AE44">
        <f>1.25*VLOOKUP(B25,S5:W11,2)</f>
        <v>100</v>
      </c>
      <c r="AF44">
        <f>10*F25</f>
        <v>2400000000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19" t="s">
        <v>866</v>
      </c>
      <c r="O45" s="819"/>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40000000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60000000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3</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3</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0</v>
      </c>
      <c r="Z62" t="s">
        <v>982</v>
      </c>
      <c r="AE62" s="44" t="s">
        <v>829</v>
      </c>
      <c r="AF62" t="str">
        <f>""</f>
        <v/>
      </c>
      <c r="AP62">
        <v>0.06</v>
      </c>
      <c r="AQ62">
        <v>3</v>
      </c>
    </row>
    <row r="63" spans="1:53">
      <c r="S63">
        <f>SUM(H11:H56)</f>
        <v>90</v>
      </c>
      <c r="U63" t="s">
        <v>922</v>
      </c>
      <c r="V63">
        <f>SUM('6-Comp'!Y14)</f>
        <v>0</v>
      </c>
      <c r="Z63" s="44" t="str">
        <f>VLOOKUP(B15,AE62:AF86,2)</f>
        <v>Efficient</v>
      </c>
      <c r="AA63" s="47"/>
      <c r="AE63" s="78" t="s">
        <v>830</v>
      </c>
      <c r="AF63" t="s">
        <v>955</v>
      </c>
      <c r="AP63">
        <v>7.0000000000000007E-2</v>
      </c>
      <c r="AQ63">
        <v>3.5</v>
      </c>
    </row>
    <row r="64" spans="1:53">
      <c r="A64" s="9" t="s">
        <v>102</v>
      </c>
      <c r="B64" t="s">
        <v>124</v>
      </c>
      <c r="U64" t="s">
        <v>923</v>
      </c>
      <c r="V64">
        <f>IF(C7="Yes",1,0)</f>
        <v>0</v>
      </c>
      <c r="Z64" s="78" t="str">
        <f>VLOOKUP(B16,AE62:AF86,2)</f>
        <v>Small</v>
      </c>
      <c r="AA64" s="46"/>
      <c r="AB64" t="s">
        <v>995</v>
      </c>
      <c r="AC64" t="str">
        <f>C12</f>
        <v>No</v>
      </c>
      <c r="AE64" s="78" t="s">
        <v>831</v>
      </c>
      <c r="AF64" t="s">
        <v>974</v>
      </c>
      <c r="AP64">
        <v>0.08</v>
      </c>
      <c r="AQ64">
        <v>4</v>
      </c>
    </row>
    <row r="65" spans="1:43">
      <c r="B65" t="s">
        <v>125</v>
      </c>
      <c r="S65" t="s">
        <v>400</v>
      </c>
      <c r="U65" t="s">
        <v>924</v>
      </c>
      <c r="V65">
        <f>IF(C8="Yes",1,0)</f>
        <v>0</v>
      </c>
      <c r="Z65" s="78" t="str">
        <f>VLOOKUP(B17,AE62:AF86,2)</f>
        <v>Easy to Repair</v>
      </c>
      <c r="AA65" s="46"/>
      <c r="AB65" t="s">
        <v>7</v>
      </c>
      <c r="AC65" t="str">
        <f>C13</f>
        <v>No</v>
      </c>
      <c r="AE65" s="78" t="s">
        <v>832</v>
      </c>
      <c r="AF65" t="s">
        <v>969</v>
      </c>
      <c r="AP65">
        <v>0.09</v>
      </c>
      <c r="AQ65">
        <v>4.5</v>
      </c>
    </row>
    <row r="66" spans="1:43">
      <c r="S66">
        <f>SUM(K11:K56)</f>
        <v>450</v>
      </c>
      <c r="Z66" s="78"/>
      <c r="AA66" s="46"/>
      <c r="AB66" t="s">
        <v>1667</v>
      </c>
      <c r="AC66" t="str">
        <f>C14</f>
        <v>No</v>
      </c>
      <c r="AE66" s="78" t="s">
        <v>833</v>
      </c>
      <c r="AF66" t="s">
        <v>970</v>
      </c>
      <c r="AP66">
        <v>0.1</v>
      </c>
      <c r="AQ66">
        <v>5</v>
      </c>
    </row>
    <row r="67" spans="1:43">
      <c r="A67" s="9" t="s">
        <v>909</v>
      </c>
      <c r="B67" t="s">
        <v>910</v>
      </c>
      <c r="Z67" s="78" t="str">
        <f>IF(Z63=AE62,"",Z63)</f>
        <v>Efficient</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Small</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Easy to Repair</v>
      </c>
      <c r="AA69" s="79"/>
      <c r="AE69" s="78" t="s">
        <v>846</v>
      </c>
      <c r="AF69" t="s">
        <v>960</v>
      </c>
      <c r="AP69">
        <v>0.13</v>
      </c>
      <c r="AQ69">
        <v>6.5</v>
      </c>
    </row>
    <row r="70" spans="1:43">
      <c r="A70" s="9" t="s">
        <v>102</v>
      </c>
      <c r="B70" t="s">
        <v>1416</v>
      </c>
      <c r="S70" t="s">
        <v>50</v>
      </c>
      <c r="T70">
        <f>C4*HLOOKUP(D42,AF1:AQ3,2)</f>
        <v>5</v>
      </c>
      <c r="U70">
        <f>2000000*(T70+H47)</f>
        <v>10000000</v>
      </c>
      <c r="V70">
        <f>HLOOKUP(D42,AF1:AQ3,3)</f>
        <v>9</v>
      </c>
      <c r="W70">
        <f>IF(D42&gt;0,D42*0.1*C4,0.1*C4*0.25)</f>
        <v>25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18</v>
      </c>
      <c r="U90" s="115">
        <f>SUM(F11:F23,F33:F49)</f>
        <v>120000000</v>
      </c>
      <c r="Z90" s="78" t="str">
        <f>VLOOKUP(B22,AE88:AF106,2)</f>
        <v/>
      </c>
      <c r="AA90" s="46"/>
      <c r="AE90" s="78" t="s">
        <v>848</v>
      </c>
      <c r="AF90" t="s">
        <v>974</v>
      </c>
    </row>
    <row r="91" spans="19:43">
      <c r="S91" t="str">
        <f>IF(B11=S2,"","M-Drive: "&amp;D11&amp;" "&amp;Z67&amp;AA67&amp;Z68&amp;AA68&amp;Z69&amp;IF(AC66="No","",", DSMS "&amp;D14)&amp;IF(AC64="No","",", EMP")&amp;IF(AC65="No","",", Armored"))</f>
        <v>M-Drive: 2 Efficient, Small, Easy to Repair</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2 Efficient, Small, Easy to Repair,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72</v>
      </c>
      <c r="U100" s="4">
        <f>SUM(F25:F28,F51:F54)</f>
        <v>300000000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3 Small, Easy to Repair</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3 Small, Easy to Repair</v>
      </c>
      <c r="AE105" t="str">
        <f>M37&amp;" "&amp;N37</f>
        <v xml:space="preserve">X3 </v>
      </c>
      <c r="AF105">
        <f>N37</f>
        <v>0</v>
      </c>
    </row>
    <row r="106" spans="19:32">
      <c r="AE106" t="str">
        <f>M44&amp;" "&amp;N44</f>
        <v xml:space="preserve">X4 </v>
      </c>
      <c r="AF106">
        <f>N44</f>
        <v>0</v>
      </c>
    </row>
    <row r="107" spans="19:32">
      <c r="S107" t="s">
        <v>1009</v>
      </c>
      <c r="T107">
        <f>'1-Hull'!B4</f>
        <v>1000</v>
      </c>
      <c r="U107">
        <f>IF(C9=S107,T107,T108)</f>
        <v>1000</v>
      </c>
    </row>
    <row r="108" spans="19:32">
      <c r="S108" t="s">
        <v>1010</v>
      </c>
      <c r="T108">
        <f>IF(P8=0,B4,P8)</f>
        <v>1000</v>
      </c>
      <c r="AE108" t="s">
        <v>52</v>
      </c>
    </row>
    <row r="109" spans="19:32">
      <c r="Z109" t="s">
        <v>992</v>
      </c>
      <c r="AE109" s="44" t="s">
        <v>829</v>
      </c>
      <c r="AF109" t="str">
        <f>""</f>
        <v/>
      </c>
    </row>
    <row r="110" spans="19:32">
      <c r="Z110" s="44" t="str">
        <f>VLOOKUP(B28,AE109:AF133,2)</f>
        <v>Small</v>
      </c>
      <c r="AA110" s="47"/>
      <c r="AE110" s="78" t="s">
        <v>830</v>
      </c>
      <c r="AF110" t="s">
        <v>955</v>
      </c>
    </row>
    <row r="111" spans="19:32">
      <c r="Z111" s="78" t="str">
        <f>VLOOKUP(B29,AE109:AF133,2)</f>
        <v>Easy to Repair</v>
      </c>
      <c r="AA111" s="46"/>
      <c r="AB111" t="s">
        <v>995</v>
      </c>
      <c r="AC111" t="str">
        <f>C26</f>
        <v>No</v>
      </c>
      <c r="AE111" s="78" t="s">
        <v>871</v>
      </c>
      <c r="AF111" t="s">
        <v>974</v>
      </c>
    </row>
    <row r="112" spans="19:32">
      <c r="Z112" s="78" t="str">
        <f>VLOOKUP(B30,AE109:AF133,2)</f>
        <v/>
      </c>
      <c r="AA112" s="46"/>
      <c r="AB112" t="s">
        <v>7</v>
      </c>
      <c r="AC112" t="str">
        <f>C27</f>
        <v>No</v>
      </c>
      <c r="AE112" s="78" t="s">
        <v>833</v>
      </c>
      <c r="AF112" t="s">
        <v>970</v>
      </c>
    </row>
    <row r="113" spans="26:32">
      <c r="Z113" s="78"/>
      <c r="AA113" s="46"/>
      <c r="AE113" s="78" t="s">
        <v>834</v>
      </c>
      <c r="AF113" t="s">
        <v>971</v>
      </c>
    </row>
    <row r="114" spans="26:32">
      <c r="Z114" s="78" t="str">
        <f>IF(Z110=AE109,"",Z110)</f>
        <v>Small</v>
      </c>
      <c r="AA114" s="46" t="str">
        <f>IF(Z114="","",IF(AND(Z110=Z111,Z110=Z112)," x3",IF(OR(Z110=Z111,Z110=Z112)," x2","")))</f>
        <v/>
      </c>
      <c r="AE114" s="78" t="s">
        <v>835</v>
      </c>
      <c r="AF114" t="s">
        <v>972</v>
      </c>
    </row>
    <row r="115" spans="26:32">
      <c r="Z115" s="78" t="str">
        <f>IF(OR(Z114="",Z111="",Z111=Z110),"",", ")&amp;IF(OR(Z111=Z110,Z111=AE109),"",Z111)</f>
        <v>, Easy to Repair</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 ref="CA16:CB16"/>
    <mergeCell ref="CC16:CD16"/>
    <mergeCell ref="CE16:CF16"/>
    <mergeCell ref="CG16:CH16"/>
    <mergeCell ref="BU12:BV12"/>
    <mergeCell ref="BW12:BX12"/>
    <mergeCell ref="BY12:BZ12"/>
    <mergeCell ref="CA12:CB12"/>
    <mergeCell ref="CC12:CD12"/>
    <mergeCell ref="BM8:BN8"/>
    <mergeCell ref="BO8:BP8"/>
    <mergeCell ref="BQ8:BR8"/>
    <mergeCell ref="BS8:BT8"/>
    <mergeCell ref="BC6:BN6"/>
    <mergeCell ref="BC8:BD8"/>
    <mergeCell ref="BE8:BF8"/>
    <mergeCell ref="BG8:BH8"/>
    <mergeCell ref="BI8:BJ8"/>
    <mergeCell ref="BK8:BL8"/>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Q14:BR14"/>
    <mergeCell ref="BS14:BT14"/>
    <mergeCell ref="BI16:BJ16"/>
    <mergeCell ref="BK16:BL16"/>
    <mergeCell ref="BM16:BN16"/>
    <mergeCell ref="BO16:BP16"/>
    <mergeCell ref="BQ16:BR16"/>
    <mergeCell ref="BS16:BT16"/>
    <mergeCell ref="BQ10:BR10"/>
    <mergeCell ref="BS10:BT10"/>
    <mergeCell ref="BI12:BJ12"/>
    <mergeCell ref="BK12:BL12"/>
    <mergeCell ref="BM12:BN12"/>
    <mergeCell ref="BO12:BP12"/>
    <mergeCell ref="BQ12:BR12"/>
    <mergeCell ref="BS12:BT12"/>
    <mergeCell ref="BG16:BH16"/>
    <mergeCell ref="BI10:BJ10"/>
    <mergeCell ref="BK10:BL10"/>
    <mergeCell ref="BM10:BN10"/>
    <mergeCell ref="BO10:BP10"/>
    <mergeCell ref="BI14:BJ14"/>
    <mergeCell ref="BK14:BL14"/>
    <mergeCell ref="BM14:BN14"/>
    <mergeCell ref="BO14:BP14"/>
    <mergeCell ref="BE12:BF12"/>
    <mergeCell ref="BE10:BF10"/>
    <mergeCell ref="BG10:BH10"/>
    <mergeCell ref="BG12:BH12"/>
    <mergeCell ref="BG14:BH14"/>
    <mergeCell ref="BC20:BD20"/>
    <mergeCell ref="BE20:BF20"/>
    <mergeCell ref="BE18:BF18"/>
    <mergeCell ref="BE16:BF16"/>
    <mergeCell ref="BE14:BF14"/>
    <mergeCell ref="BC10:BD10"/>
    <mergeCell ref="BC12:BD12"/>
    <mergeCell ref="BC14:BD14"/>
    <mergeCell ref="BC16:BD16"/>
    <mergeCell ref="BC18:BD18"/>
    <mergeCell ref="C3:D3"/>
    <mergeCell ref="P8:Q8"/>
    <mergeCell ref="N45:O45"/>
    <mergeCell ref="N23:R23"/>
    <mergeCell ref="N30:R30"/>
    <mergeCell ref="N37:R37"/>
    <mergeCell ref="N44:R44"/>
    <mergeCell ref="N24:O24"/>
    <mergeCell ref="N31:O31"/>
    <mergeCell ref="N38:O38"/>
  </mergeCells>
  <conditionalFormatting sqref="B4">
    <cfRule type="expression" dxfId="648" priority="937">
      <formula>$C$9=$S$107</formula>
    </cfRule>
  </conditionalFormatting>
  <conditionalFormatting sqref="B11">
    <cfRule type="cellIs" dxfId="647" priority="16" operator="equal">
      <formula>$S$2</formula>
    </cfRule>
  </conditionalFormatting>
  <conditionalFormatting sqref="B19">
    <cfRule type="cellIs" dxfId="646" priority="15" operator="equal">
      <formula>$S$2</formula>
    </cfRule>
  </conditionalFormatting>
  <conditionalFormatting sqref="B21:B23 B15:B17 B28:B30 B35:B37 B47:B49 B54:B56">
    <cfRule type="cellIs" dxfId="645" priority="938" operator="notEqual">
      <formula>$S$24</formula>
    </cfRule>
  </conditionalFormatting>
  <conditionalFormatting sqref="B25 B51">
    <cfRule type="expression" dxfId="644" priority="944" stopIfTrue="1">
      <formula>$X$83=3</formula>
    </cfRule>
  </conditionalFormatting>
  <conditionalFormatting sqref="B25">
    <cfRule type="cellIs" dxfId="642" priority="966" operator="equal">
      <formula>$S$5</formula>
    </cfRule>
  </conditionalFormatting>
  <conditionalFormatting sqref="B33">
    <cfRule type="cellIs" dxfId="641" priority="968" operator="equal">
      <formula>$S$14</formula>
    </cfRule>
  </conditionalFormatting>
  <conditionalFormatting sqref="B40">
    <cfRule type="expression" dxfId="640" priority="1">
      <formula>$H$40&gt;0</formula>
    </cfRule>
  </conditionalFormatting>
  <conditionalFormatting sqref="B42">
    <cfRule type="cellIs" dxfId="639" priority="948" operator="equal">
      <formula>$S$69</formula>
    </cfRule>
  </conditionalFormatting>
  <conditionalFormatting sqref="B51">
    <cfRule type="cellIs" dxfId="637" priority="1196" operator="equal">
      <formula>$S$5</formula>
    </cfRule>
  </conditionalFormatting>
  <conditionalFormatting sqref="B19:E23">
    <cfRule type="expression" dxfId="636" priority="25">
      <formula>$E$19&gt;$E$2</formula>
    </cfRule>
  </conditionalFormatting>
  <conditionalFormatting sqref="C7">
    <cfRule type="expression" dxfId="635" priority="27">
      <formula>$C$7="Yes"</formula>
    </cfRule>
  </conditionalFormatting>
  <conditionalFormatting sqref="C8">
    <cfRule type="expression" dxfId="634" priority="26">
      <formula>$C$8="Yes"</formula>
    </cfRule>
  </conditionalFormatting>
  <conditionalFormatting sqref="C12:C14 C20 C26:C27 C34 C43:C46 C52:C53">
    <cfRule type="cellIs" dxfId="633" priority="21" operator="equal">
      <formula>"Yes"</formula>
    </cfRule>
  </conditionalFormatting>
  <conditionalFormatting sqref="D11">
    <cfRule type="expression" dxfId="632" priority="24">
      <formula>AND($B$11=$S$2,$D$11&gt;0)</formula>
    </cfRule>
  </conditionalFormatting>
  <conditionalFormatting sqref="D16:D17">
    <cfRule type="expression" dxfId="631" priority="57">
      <formula>$D$17&gt;3</formula>
    </cfRule>
  </conditionalFormatting>
  <conditionalFormatting sqref="D22:D23">
    <cfRule type="expression" dxfId="630" priority="51">
      <formula>$D$23&gt;3</formula>
    </cfRule>
  </conditionalFormatting>
  <conditionalFormatting sqref="D25">
    <cfRule type="expression" dxfId="629" priority="37">
      <formula>AND($B$25=$S$5,$D$25&gt;0)</formula>
    </cfRule>
    <cfRule type="expression" dxfId="628" priority="23">
      <formula>AND($B$25&lt;&gt;$S$5,$D$25=0)</formula>
    </cfRule>
  </conditionalFormatting>
  <conditionalFormatting sqref="D29:D30">
    <cfRule type="expression" dxfId="627" priority="35">
      <formula>$D$30&gt;3</formula>
    </cfRule>
  </conditionalFormatting>
  <conditionalFormatting sqref="D33">
    <cfRule type="expression" dxfId="626" priority="972">
      <formula>AND($B$33=$S$14,$D$33&gt;0)</formula>
    </cfRule>
  </conditionalFormatting>
  <conditionalFormatting sqref="D36:D37">
    <cfRule type="expression" dxfId="625" priority="31">
      <formula>$D$37&gt;3</formula>
    </cfRule>
  </conditionalFormatting>
  <conditionalFormatting sqref="D42">
    <cfRule type="expression" dxfId="624" priority="954">
      <formula>AND($B$42=$S$69,$D$42&gt;0)</formula>
    </cfRule>
  </conditionalFormatting>
  <conditionalFormatting sqref="D48:D49">
    <cfRule type="expression" dxfId="623" priority="32">
      <formula>$D$49&gt;3</formula>
    </cfRule>
  </conditionalFormatting>
  <conditionalFormatting sqref="D51">
    <cfRule type="expression" dxfId="622" priority="18">
      <formula>AND($B$51=$S$5,$D$51&gt;0)</formula>
    </cfRule>
  </conditionalFormatting>
  <conditionalFormatting sqref="D55:D56">
    <cfRule type="expression" dxfId="621" priority="30">
      <formula>$D$56&gt;3</formula>
    </cfRule>
  </conditionalFormatting>
  <conditionalFormatting sqref="E2">
    <cfRule type="expression" dxfId="620" priority="956">
      <formula>$T$74&gt;0</formula>
    </cfRule>
  </conditionalFormatting>
  <conditionalFormatting sqref="E11">
    <cfRule type="expression" dxfId="619" priority="355">
      <formula>$E$11&gt;$E$2</formula>
    </cfRule>
  </conditionalFormatting>
  <conditionalFormatting sqref="E25">
    <cfRule type="expression" dxfId="618" priority="69">
      <formula>$E$25&gt;$E$2</formula>
    </cfRule>
  </conditionalFormatting>
  <conditionalFormatting sqref="E28">
    <cfRule type="expression" dxfId="617" priority="393">
      <formula>AND($B$28=#REF!,OR($B$29=#REF!,$B$30=#REF!))</formula>
    </cfRule>
    <cfRule type="expression" dxfId="616" priority="395">
      <formula>$E$28&gt;$E$2</formula>
    </cfRule>
    <cfRule type="expression" dxfId="615" priority="394">
      <formula>AND($B$25=$S$7,$B$28=#REF!)</formula>
    </cfRule>
  </conditionalFormatting>
  <conditionalFormatting sqref="E29">
    <cfRule type="expression" dxfId="614" priority="396">
      <formula>AND($B$29=#REF!,OR($B$28=#REF!,$B$30=#REF!))</formula>
    </cfRule>
    <cfRule type="expression" dxfId="613" priority="397">
      <formula>AND($B$25=$S$7,$B$29=#REF!)</formula>
    </cfRule>
  </conditionalFormatting>
  <conditionalFormatting sqref="E30">
    <cfRule type="expression" dxfId="612" priority="398">
      <formula>AND($B$30=#REF!,OR($B$28=#REF!,$B$29=#REF!))</formula>
    </cfRule>
    <cfRule type="expression" dxfId="611" priority="399">
      <formula>AND($B$25=$S$7,$B$30=#REF!)</formula>
    </cfRule>
  </conditionalFormatting>
  <conditionalFormatting sqref="E42">
    <cfRule type="expression" dxfId="610" priority="28">
      <formula>$E$42&gt;$E$2</formula>
    </cfRule>
  </conditionalFormatting>
  <conditionalFormatting sqref="E51">
    <cfRule type="expression" dxfId="609" priority="60">
      <formula>$E$51&gt;$E$2</formula>
    </cfRule>
  </conditionalFormatting>
  <conditionalFormatting sqref="G9:I9">
    <cfRule type="expression" dxfId="607" priority="964">
      <formula>$T$73</formula>
    </cfRule>
  </conditionalFormatting>
  <conditionalFormatting sqref="H6">
    <cfRule type="expression" dxfId="606" priority="74">
      <formula>$H$6&lt;0</formula>
    </cfRule>
  </conditionalFormatting>
  <conditionalFormatting sqref="K6">
    <cfRule type="expression" dxfId="605" priority="73">
      <formula>$K$6&lt;0</formula>
    </cfRule>
  </conditionalFormatting>
  <conditionalFormatting sqref="N23:R23 M26:R26 R27 N30:R30 M33:R33 R34 N37:R37 M40:R40 R41 N44:R44 M47:R47 R48">
    <cfRule type="cellIs" dxfId="604" priority="17" operator="greaterThan">
      <formula>0</formula>
    </cfRule>
  </conditionalFormatting>
  <conditionalFormatting sqref="P8:Q8">
    <cfRule type="expression" dxfId="603" priority="965">
      <formula>$C$9=$S$108</formula>
    </cfRule>
  </conditionalFormatting>
  <conditionalFormatting sqref="R26">
    <cfRule type="expression" dxfId="602" priority="50">
      <formula>$N$26&lt;&gt;0</formula>
    </cfRule>
  </conditionalFormatting>
  <conditionalFormatting sqref="R33">
    <cfRule type="expression" dxfId="601" priority="49">
      <formula>$N$33&lt;&gt;0</formula>
    </cfRule>
  </conditionalFormatting>
  <conditionalFormatting sqref="R40">
    <cfRule type="expression" dxfId="600" priority="48">
      <formula>$N$40&lt;&gt;0</formula>
    </cfRule>
  </conditionalFormatting>
  <conditionalFormatting sqref="R47 T55:W55">
    <cfRule type="expression" dxfId="599" priority="47">
      <formula>$N$47&lt;&gt;0</formula>
    </cfRule>
  </conditionalFormatting>
  <conditionalFormatting sqref="BC14:BT14">
    <cfRule type="expression" dxfId="598" priority="5">
      <formula>$D$25=0</formula>
    </cfRule>
  </conditionalFormatting>
  <conditionalFormatting sqref="BC20:BT20">
    <cfRule type="expression" dxfId="597" priority="1379">
      <formula>$D$51=0</formula>
    </cfRule>
  </conditionalFormatting>
  <conditionalFormatting sqref="BC10:BX10">
    <cfRule type="expression" dxfId="596" priority="7">
      <formula>$D$11=0</formula>
    </cfRule>
  </conditionalFormatting>
  <conditionalFormatting sqref="BC18:BX18">
    <cfRule type="expression" dxfId="595" priority="3">
      <formula>$D$42=0</formula>
    </cfRule>
  </conditionalFormatting>
  <conditionalFormatting sqref="BC12:CH12">
    <cfRule type="expression" dxfId="594" priority="6">
      <formula>$D$19=0</formula>
    </cfRule>
  </conditionalFormatting>
  <conditionalFormatting sqref="BC16:CH16">
    <cfRule type="expression" dxfId="593"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B12" sqref="B12"/>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Survey and Exploration Ship</v>
      </c>
      <c r="D1" s="2"/>
      <c r="E1" s="2"/>
      <c r="F1" s="8" t="s">
        <v>1</v>
      </c>
      <c r="S1" s="3" t="s">
        <v>65</v>
      </c>
      <c r="T1" s="3" t="s">
        <v>2</v>
      </c>
      <c r="U1" s="3" t="s">
        <v>1</v>
      </c>
      <c r="V1" s="3" t="s">
        <v>26</v>
      </c>
      <c r="W1" s="3" t="s">
        <v>66</v>
      </c>
      <c r="X1" s="3" t="s">
        <v>67</v>
      </c>
    </row>
    <row r="2" spans="1:27">
      <c r="A2" s="3" t="s">
        <v>432</v>
      </c>
      <c r="B2" t="str">
        <f>'Ship Info'!B2</f>
        <v>Scout</v>
      </c>
      <c r="D2" t="s">
        <v>0</v>
      </c>
      <c r="E2" s="2">
        <f>Tech_Level</f>
        <v>14</v>
      </c>
      <c r="F2" s="4">
        <f>'Ship Info'!G2</f>
        <v>1536124666.6666665</v>
      </c>
      <c r="S2" t="s">
        <v>68</v>
      </c>
      <c r="T2">
        <f>D11/W2</f>
        <v>8.5</v>
      </c>
      <c r="U2">
        <f>10000000*(T2)</f>
        <v>85000000</v>
      </c>
      <c r="V2">
        <v>20</v>
      </c>
      <c r="W2">
        <v>100</v>
      </c>
      <c r="X2">
        <f>IF(T2=0,0,IF(T2&lt;10,IF(AND(B4&lt;100,'4-Fuel'!C5=S14),0.1*(T2+H12),1),0.1*(T2+H12)))</f>
        <v>1</v>
      </c>
    </row>
    <row r="3" spans="1:27">
      <c r="B3" s="24" t="str">
        <f>'1-Hull'!B3</f>
        <v>High Automation - Costs x 2</v>
      </c>
      <c r="D3" s="2"/>
      <c r="E3" s="2"/>
      <c r="G3" s="28"/>
      <c r="H3" s="506">
        <f>S38</f>
        <v>51</v>
      </c>
      <c r="I3" s="78"/>
      <c r="S3" t="s">
        <v>69</v>
      </c>
      <c r="T3">
        <f>D11/W3</f>
        <v>170</v>
      </c>
      <c r="U3">
        <f>(T3)*0.25*1000000</f>
        <v>42500000</v>
      </c>
      <c r="V3">
        <v>7</v>
      </c>
      <c r="W3">
        <v>5</v>
      </c>
      <c r="X3">
        <f>20*(T3+H12)</f>
        <v>3286.666666666667</v>
      </c>
      <c r="Z3" t="s">
        <v>968</v>
      </c>
    </row>
    <row r="4" spans="1:27">
      <c r="A4" t="s">
        <v>2</v>
      </c>
      <c r="B4" s="263">
        <f>'1-Hull'!B4</f>
        <v>1000</v>
      </c>
      <c r="D4" s="2"/>
      <c r="E4" s="2"/>
      <c r="F4" s="508" t="s">
        <v>45</v>
      </c>
      <c r="H4" s="786" t="s">
        <v>46</v>
      </c>
      <c r="I4" s="786"/>
      <c r="K4" s="786" t="s">
        <v>47</v>
      </c>
      <c r="L4" s="786"/>
      <c r="S4" t="s">
        <v>70</v>
      </c>
      <c r="T4">
        <f>D11/W4</f>
        <v>106.25</v>
      </c>
      <c r="U4">
        <f>(T4)*400000</f>
        <v>42500000</v>
      </c>
      <c r="V4">
        <v>6</v>
      </c>
      <c r="W4">
        <v>8</v>
      </c>
      <c r="X4">
        <f>IF(T4=0,0,IF((T4+$H$12)&lt;10,IF(AND($B$4&lt;100,'4-Fuel'!C5=$S$14),0.1*(T4+$H$12),1),0.1*(T4+$H$12)))</f>
        <v>10.058333333333334</v>
      </c>
      <c r="Z4" s="44" t="str">
        <f>VLOOKUP(B12,S16:Z29,8)</f>
        <v>Small</v>
      </c>
      <c r="AA4" s="47"/>
    </row>
    <row r="5" spans="1:27">
      <c r="F5" s="505">
        <f>SUM(F11:F22)</f>
        <v>141666666.66666666</v>
      </c>
      <c r="H5" s="1" t="s">
        <v>403</v>
      </c>
      <c r="I5" s="1" t="s">
        <v>27</v>
      </c>
      <c r="K5" s="1" t="s">
        <v>403</v>
      </c>
      <c r="L5" s="1" t="s">
        <v>27</v>
      </c>
      <c r="S5" t="s">
        <v>71</v>
      </c>
      <c r="T5">
        <f>D11/W5</f>
        <v>85</v>
      </c>
      <c r="U5">
        <f>(T5)*500000</f>
        <v>42500000</v>
      </c>
      <c r="V5">
        <v>8</v>
      </c>
      <c r="W5">
        <v>10</v>
      </c>
      <c r="X5">
        <f>IF(T5=0,0,IF((T5+$H$12)&lt;10,IF(AND($B$4&lt;100,'4-Fuel'!C5=$S$14),0.1*(T5+$H$12),1),0.1*(T5+$H$12)))</f>
        <v>7.9333333333333336</v>
      </c>
      <c r="Z5" s="78" t="str">
        <f>VLOOKUP(B13,S16:Z29,8)</f>
        <v>Easy to repair</v>
      </c>
      <c r="AA5" s="46"/>
    </row>
    <row r="6" spans="1:27">
      <c r="H6" s="10">
        <f>'Ship Info'!I3</f>
        <v>6.25</v>
      </c>
      <c r="I6" s="270">
        <f>'1-Hull'!I6</f>
        <v>1000</v>
      </c>
      <c r="K6" s="270">
        <f>'Ship Info'!L3</f>
        <v>6</v>
      </c>
      <c r="L6" s="270">
        <f>SUM(D11,L12)</f>
        <v>850</v>
      </c>
      <c r="S6" t="s">
        <v>72</v>
      </c>
      <c r="T6">
        <f>D11/W6</f>
        <v>56.666666666666664</v>
      </c>
      <c r="U6">
        <f>(T6)*1000000</f>
        <v>56666666.666666664</v>
      </c>
      <c r="V6">
        <v>12</v>
      </c>
      <c r="W6">
        <v>15</v>
      </c>
      <c r="X6">
        <f>IF(T6=0,0,IF((T6+$H$12)&lt;10,IF(AND($B$4&lt;100,'4-Fuel'!C5=$S$14),0.1*(T6+$H$12),1),0.1*(T6+$H$12)))</f>
        <v>5.1000000000000005</v>
      </c>
      <c r="Z6" s="78" t="str">
        <f>VLOOKUP(B14,S16:Z29,8)</f>
        <v/>
      </c>
      <c r="AA6" s="46"/>
    </row>
    <row r="7" spans="1:27">
      <c r="B7" s="3"/>
      <c r="C7" s="2"/>
      <c r="H7" s="1" t="s">
        <v>48</v>
      </c>
      <c r="I7" s="2"/>
      <c r="K7" s="2"/>
      <c r="L7" s="2"/>
      <c r="S7" t="s">
        <v>73</v>
      </c>
      <c r="T7">
        <f>D11/W7</f>
        <v>42.5</v>
      </c>
      <c r="U7">
        <f>(T7)*2000000</f>
        <v>85000000</v>
      </c>
      <c r="V7">
        <v>15</v>
      </c>
      <c r="W7">
        <v>20</v>
      </c>
      <c r="X7">
        <f>IF(T7=0,0,IF((T7+$H$12)&lt;10,IF(AND($B$4&lt;100,'4-Fuel'!C5=$S$14),0.1*(T7+$H$12),1),0.1*(T7+$H$12)))</f>
        <v>3.6833333333333336</v>
      </c>
      <c r="Z7" s="78"/>
      <c r="AA7" s="46"/>
    </row>
    <row r="8" spans="1:27">
      <c r="H8" s="2"/>
      <c r="I8" s="2"/>
      <c r="K8" s="2"/>
      <c r="L8" s="2"/>
      <c r="N8" s="3" t="s">
        <v>945</v>
      </c>
      <c r="Z8" s="78" t="str">
        <f>IF(Z4=Z16,"",Z4)</f>
        <v>Small</v>
      </c>
      <c r="AA8" s="46" t="str">
        <f>IF(Z8="","",IF(AND(Z4=Z5,Z4=Z6)," x3",IF(OR(Z4=Z5,Z4=Z6)," x2","")))</f>
        <v/>
      </c>
    </row>
    <row r="9" spans="1:27">
      <c r="A9" s="5" t="s">
        <v>49</v>
      </c>
      <c r="E9" s="5" t="s">
        <v>26</v>
      </c>
      <c r="N9" s="108" t="s">
        <v>930</v>
      </c>
      <c r="O9" s="327">
        <f>'1-Hull'!K10</f>
        <v>200</v>
      </c>
      <c r="S9">
        <f>VLOOKUP(B11,S2:V7,4)</f>
        <v>12</v>
      </c>
      <c r="Z9" s="78" t="str">
        <f>IF(OR(Z8="",Z5="",Z5=Z4),"",", ")&amp;IF(OR(Z5=Z4,Z5=Z16),"",Z5)</f>
        <v>, Easy to repair</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72</v>
      </c>
      <c r="C11" s="3" t="s">
        <v>74</v>
      </c>
      <c r="D11" s="235">
        <v>850</v>
      </c>
      <c r="E11">
        <f>VLOOKUP(B11,S2:V7,4)+SUM(E12:E14)</f>
        <v>14</v>
      </c>
      <c r="F11" s="4">
        <f>VLOOKUP(B11,S2:U7,3)*'Ship Info'!G31</f>
        <v>113333333.33333333</v>
      </c>
      <c r="H11" s="4">
        <f>VLOOKUP(B11,S2:T7,2)</f>
        <v>56.666666666666664</v>
      </c>
      <c r="L11" s="2"/>
      <c r="N11" s="108" t="s">
        <v>931</v>
      </c>
      <c r="O11" s="327">
        <f>'2-Drives'!K11+'2-Drives'!K15</f>
        <v>150</v>
      </c>
      <c r="S11" t="s">
        <v>105</v>
      </c>
      <c r="T11">
        <v>100000</v>
      </c>
      <c r="U11">
        <v>40</v>
      </c>
      <c r="V11">
        <v>10</v>
      </c>
    </row>
    <row r="12" spans="1:27" ht="16" thickBot="1">
      <c r="A12" s="7" t="s">
        <v>123</v>
      </c>
      <c r="B12" s="252" t="s">
        <v>2424</v>
      </c>
      <c r="C12" s="2"/>
      <c r="D12" t="str">
        <f>IF(T45,"Error: Module","")</f>
        <v/>
      </c>
      <c r="E12">
        <f>VLOOKUP(B12,S16:V29,4)</f>
        <v>1</v>
      </c>
      <c r="F12" s="4">
        <f>U33</f>
        <v>28333333.333333332</v>
      </c>
      <c r="H12" s="4">
        <f>VLOOKUP(B12,S16:W29,2)+VLOOKUP(B13,S16:W29,2)+VLOOKUP(B14,S16:W29,2)</f>
        <v>-5.666666666666667</v>
      </c>
      <c r="L12" s="270">
        <f>VLOOKUP(B12,S16:Y29,5)+VLOOKUP(B13,S16:Y29,5)+VLOOKUP(B14,S16:Y29,5)</f>
        <v>0</v>
      </c>
      <c r="N12" s="105" t="s">
        <v>932</v>
      </c>
      <c r="O12" s="328">
        <f>'2-Drives'!K25+'2-Drives'!K28</f>
        <v>300</v>
      </c>
      <c r="S12" t="s">
        <v>106</v>
      </c>
      <c r="T12">
        <v>200000</v>
      </c>
      <c r="U12">
        <v>60</v>
      </c>
      <c r="V12">
        <v>12</v>
      </c>
      <c r="Z12" t="str">
        <f>Z8&amp;AA8&amp;Z9&amp;AA9&amp;Z10</f>
        <v>Small, Easy to repair</v>
      </c>
    </row>
    <row r="13" spans="1:27" ht="16" thickBot="1">
      <c r="B13" s="252" t="s">
        <v>2425</v>
      </c>
      <c r="D13" s="2" t="s">
        <v>818</v>
      </c>
      <c r="E13">
        <f>VLOOKUP(B13,S16:V29,4)</f>
        <v>1</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2</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16</v>
      </c>
    </row>
    <row r="16" spans="1:27" ht="16" thickBot="1">
      <c r="B16" s="7" t="s">
        <v>98</v>
      </c>
      <c r="C16" s="253" t="s">
        <v>99</v>
      </c>
      <c r="F16" s="4" t="str">
        <f>IF(C16=S14,200000*H16*'Ship Info'!G31,"")</f>
        <v/>
      </c>
      <c r="H16" t="str">
        <f>IF(C16=S14,0.1*(H11+H12+H18+H20),"")</f>
        <v/>
      </c>
      <c r="L16" s="2"/>
      <c r="N16" s="105" t="s">
        <v>609</v>
      </c>
      <c r="O16" s="331">
        <f>'7-Sensors'!S17</f>
        <v>49</v>
      </c>
      <c r="S16" t="s">
        <v>829</v>
      </c>
      <c r="T16">
        <v>0</v>
      </c>
      <c r="U16">
        <v>0</v>
      </c>
      <c r="V16">
        <v>0</v>
      </c>
      <c r="W16">
        <v>0</v>
      </c>
      <c r="Y16">
        <v>0</v>
      </c>
      <c r="Z16" t="str">
        <f>""</f>
        <v/>
      </c>
    </row>
    <row r="17" spans="1:26" ht="16" thickBot="1">
      <c r="C17" s="2"/>
      <c r="D17" s="1" t="s">
        <v>108</v>
      </c>
      <c r="L17" s="2"/>
      <c r="N17" s="108" t="s">
        <v>935</v>
      </c>
      <c r="O17" s="327">
        <f>'8a-Weapons'!Q9</f>
        <v>125</v>
      </c>
      <c r="S17" t="s">
        <v>830</v>
      </c>
      <c r="T17">
        <f>0.25*H11</f>
        <v>14.166666666666666</v>
      </c>
      <c r="U17">
        <f>-0.25*F11</f>
        <v>-28333333.333333332</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0</v>
      </c>
      <c r="S18" t="s">
        <v>903</v>
      </c>
      <c r="T18">
        <v>0</v>
      </c>
      <c r="U18">
        <f>-0.25*F11</f>
        <v>-28333333.333333332</v>
      </c>
      <c r="V18">
        <v>0</v>
      </c>
      <c r="W18">
        <f>-0.25*D11</f>
        <v>-212.5</v>
      </c>
      <c r="Y18">
        <v>3</v>
      </c>
      <c r="Z18" t="s">
        <v>956</v>
      </c>
    </row>
    <row r="19" spans="1:26" ht="16" thickBot="1">
      <c r="C19" s="2"/>
      <c r="D19" s="1" t="s">
        <v>1709</v>
      </c>
      <c r="H19" s="4"/>
      <c r="L19" s="270"/>
      <c r="N19" s="108" t="s">
        <v>637</v>
      </c>
      <c r="O19" s="330">
        <f>SUM('9b-Optional'!K9:K33,'9a-Optional'!K10:K66)</f>
        <v>2</v>
      </c>
      <c r="S19" t="s">
        <v>833</v>
      </c>
      <c r="T19">
        <v>0</v>
      </c>
      <c r="U19">
        <f>-0.1*F11</f>
        <v>-11333333.333333334</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-17000000</v>
      </c>
      <c r="V20">
        <v>2</v>
      </c>
      <c r="W20">
        <v>0</v>
      </c>
      <c r="Y20">
        <v>3</v>
      </c>
      <c r="Z20" t="s">
        <v>958</v>
      </c>
    </row>
    <row r="21" spans="1:26" ht="16" thickBot="1">
      <c r="D21" s="1" t="s">
        <v>1657</v>
      </c>
      <c r="L21" s="263"/>
      <c r="N21" s="108" t="s">
        <v>610</v>
      </c>
      <c r="O21" s="330">
        <f>SUM('12-Cargo'!K9:K50)</f>
        <v>2</v>
      </c>
      <c r="S21" t="s">
        <v>835</v>
      </c>
      <c r="T21">
        <v>0</v>
      </c>
      <c r="U21">
        <f>-0.2*F11</f>
        <v>-22666666.666666668</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-5.666666666666667</v>
      </c>
      <c r="U22">
        <v>0</v>
      </c>
      <c r="V22">
        <v>1</v>
      </c>
      <c r="W22">
        <v>0</v>
      </c>
      <c r="Y22">
        <v>1</v>
      </c>
      <c r="Z22" t="s">
        <v>961</v>
      </c>
    </row>
    <row r="23" spans="1:26">
      <c r="N23" s="105" t="s">
        <v>943</v>
      </c>
      <c r="O23" s="332">
        <f>SUM(O9:O10,O11,O13,MAX(O12,O14),O15:O22)</f>
        <v>844</v>
      </c>
      <c r="S23" t="s">
        <v>2425</v>
      </c>
      <c r="T23">
        <v>0</v>
      </c>
      <c r="U23">
        <v>0</v>
      </c>
      <c r="V23">
        <v>1</v>
      </c>
      <c r="W23">
        <v>0</v>
      </c>
      <c r="Y23">
        <v>1</v>
      </c>
      <c r="Z23" t="s">
        <v>962</v>
      </c>
    </row>
    <row r="24" spans="1:26">
      <c r="S24" t="s">
        <v>2423</v>
      </c>
      <c r="T24">
        <v>0</v>
      </c>
      <c r="U24">
        <v>0</v>
      </c>
      <c r="V24">
        <v>2</v>
      </c>
      <c r="W24">
        <f>0.1*D11</f>
        <v>85</v>
      </c>
      <c r="Y24">
        <v>2</v>
      </c>
      <c r="Z24" t="s">
        <v>2426</v>
      </c>
    </row>
    <row r="25" spans="1:26">
      <c r="B25" t="s">
        <v>940</v>
      </c>
      <c r="N25" s="840" t="s">
        <v>946</v>
      </c>
      <c r="O25" s="841"/>
      <c r="S25" t="s">
        <v>840</v>
      </c>
      <c r="T25">
        <f>0.25*H11</f>
        <v>14.166666666666666</v>
      </c>
      <c r="U25">
        <f>5*F11</f>
        <v>566666666.66666663</v>
      </c>
      <c r="V25">
        <v>-1</v>
      </c>
      <c r="W25">
        <v>0</v>
      </c>
      <c r="Y25">
        <v>3</v>
      </c>
      <c r="Z25" t="s">
        <v>963</v>
      </c>
    </row>
    <row r="26" spans="1:26">
      <c r="B26" t="s">
        <v>939</v>
      </c>
      <c r="N26" s="114" t="s">
        <v>944</v>
      </c>
      <c r="O26" s="331">
        <f>SUM(O9/2,O11,IF(P13="Yes",O13,0),O16:O18)</f>
        <v>424</v>
      </c>
      <c r="S26" t="s">
        <v>847</v>
      </c>
      <c r="T26">
        <v>0</v>
      </c>
      <c r="U26">
        <f>5*F11</f>
        <v>566666666.66666663</v>
      </c>
      <c r="V26">
        <v>-1</v>
      </c>
      <c r="W26">
        <f>-0.25*D11</f>
        <v>-212.5</v>
      </c>
      <c r="Y26">
        <v>3</v>
      </c>
      <c r="Z26" t="s">
        <v>964</v>
      </c>
    </row>
    <row r="27" spans="1:26">
      <c r="B27" t="s">
        <v>941</v>
      </c>
      <c r="M27" t="s">
        <v>947</v>
      </c>
      <c r="N27" s="110" t="str">
        <f>"+10%"</f>
        <v>+10%</v>
      </c>
      <c r="O27" s="330">
        <f>ROUNDUP(O26/0.9,0)</f>
        <v>472</v>
      </c>
      <c r="S27" t="s">
        <v>850</v>
      </c>
      <c r="T27">
        <f>1.5*H11</f>
        <v>85</v>
      </c>
      <c r="U27">
        <f>10*F11</f>
        <v>1133333333.3333333</v>
      </c>
      <c r="V27">
        <v>-2</v>
      </c>
      <c r="W27">
        <v>0</v>
      </c>
      <c r="Y27">
        <v>3</v>
      </c>
      <c r="Z27" t="s">
        <v>965</v>
      </c>
    </row>
    <row r="28" spans="1:26">
      <c r="M28" t="s">
        <v>948</v>
      </c>
      <c r="N28" s="109" t="str">
        <f>"+20%"</f>
        <v>+20%</v>
      </c>
      <c r="O28" s="328">
        <f>ROUNDUP(O26/0.8,0)</f>
        <v>530</v>
      </c>
      <c r="S28" t="s">
        <v>904</v>
      </c>
      <c r="T28">
        <f>1*H11</f>
        <v>56.666666666666664</v>
      </c>
      <c r="U28">
        <f>10*F11</f>
        <v>1133333333.3333333</v>
      </c>
      <c r="V28">
        <v>-2</v>
      </c>
      <c r="W28">
        <f>-0.5*D11</f>
        <v>-425</v>
      </c>
      <c r="Y28">
        <v>3</v>
      </c>
      <c r="Z28" t="s">
        <v>966</v>
      </c>
    </row>
    <row r="29" spans="1:26">
      <c r="B29" t="s">
        <v>942</v>
      </c>
      <c r="M29" t="s">
        <v>949</v>
      </c>
      <c r="N29" s="110" t="str">
        <f>"+70%"</f>
        <v>+70%</v>
      </c>
      <c r="O29" s="330">
        <f>ROUNDUP(O26/0.3,0)</f>
        <v>1414</v>
      </c>
      <c r="S29" t="s">
        <v>852</v>
      </c>
      <c r="T29">
        <f>1.25*H11</f>
        <v>70.833333333333329</v>
      </c>
      <c r="U29">
        <f>10*F11</f>
        <v>1133333333.3333333</v>
      </c>
      <c r="V29">
        <v>-3</v>
      </c>
      <c r="W29">
        <f>-0.25*D11</f>
        <v>-212.5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850, Small, Easy to repair</v>
      </c>
    </row>
    <row r="32" spans="1:26">
      <c r="B32" t="s">
        <v>951</v>
      </c>
    </row>
    <row r="33" spans="19:24">
      <c r="T33" t="s">
        <v>123</v>
      </c>
      <c r="U33">
        <f>IF(SUM(U34:U36)=0,VLOOKUP(SUM(E12:E14),V40:X43,3)*F11,SUM(U34:U36))</f>
        <v>28333333.333333332</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51</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2" priority="6" stopIfTrue="1">
      <formula>AND($C$20="Yes",$S$54=0)</formula>
    </cfRule>
  </conditionalFormatting>
  <conditionalFormatting sqref="B11">
    <cfRule type="expression" dxfId="591" priority="139">
      <formula>$S$9&gt;$E$2</formula>
    </cfRule>
  </conditionalFormatting>
  <conditionalFormatting sqref="B12:B14">
    <cfRule type="cellIs" priority="20" operator="equal">
      <formula>$S$16</formula>
    </cfRule>
    <cfRule type="cellIs" dxfId="590" priority="17" operator="equal">
      <formula>$S$16</formula>
    </cfRule>
  </conditionalFormatting>
  <conditionalFormatting sqref="C7">
    <cfRule type="cellIs" dxfId="589" priority="1" operator="equal">
      <formula>$S$10</formula>
    </cfRule>
  </conditionalFormatting>
  <conditionalFormatting sqref="C15:C16">
    <cfRule type="cellIs" dxfId="588" priority="15" operator="equal">
      <formula>$S$10</formula>
    </cfRule>
  </conditionalFormatting>
  <conditionalFormatting sqref="C18">
    <cfRule type="cellIs" dxfId="587" priority="14" operator="equal">
      <formula>$S$10</formula>
    </cfRule>
  </conditionalFormatting>
  <conditionalFormatting sqref="C20">
    <cfRule type="cellIs" dxfId="586" priority="11" operator="equal">
      <formula>$S$10</formula>
    </cfRule>
  </conditionalFormatting>
  <conditionalFormatting sqref="C22:D22">
    <cfRule type="expression" dxfId="585" priority="4">
      <formula>$H$22=0</formula>
    </cfRule>
    <cfRule type="expression" dxfId="584" priority="2">
      <formula>AND($C$22&lt;&gt;$S$48,$D$22=0)</formula>
    </cfRule>
  </conditionalFormatting>
  <conditionalFormatting sqref="D11">
    <cfRule type="expression" dxfId="583" priority="10">
      <formula>$T$45</formula>
    </cfRule>
    <cfRule type="expression" dxfId="582" priority="25">
      <formula>$D$11=0</formula>
    </cfRule>
  </conditionalFormatting>
  <conditionalFormatting sqref="D13:D14">
    <cfRule type="expression" dxfId="581" priority="24">
      <formula>$D$14&gt;3</formula>
    </cfRule>
  </conditionalFormatting>
  <conditionalFormatting sqref="D18">
    <cfRule type="expression" dxfId="580" priority="12" stopIfTrue="1">
      <formula>AND($C$18=$S$10,$D$18&gt;0)</formula>
    </cfRule>
    <cfRule type="expression" dxfId="579" priority="13" stopIfTrue="1">
      <formula>AND($C$18&lt;&gt;$S$10,$D$18=0)</formula>
    </cfRule>
    <cfRule type="cellIs" dxfId="578" priority="31" operator="equal">
      <formula>0</formula>
    </cfRule>
  </conditionalFormatting>
  <conditionalFormatting sqref="D20">
    <cfRule type="expression" dxfId="577" priority="5" stopIfTrue="1">
      <formula>AND($C$20=$S$14,$D$20=0)</formula>
    </cfRule>
    <cfRule type="expression" dxfId="576" priority="9">
      <formula>AND($C$20=$S$13,$D$20&gt;0)</formula>
    </cfRule>
    <cfRule type="cellIs" dxfId="575" priority="23" operator="equal">
      <formula>0</formula>
    </cfRule>
  </conditionalFormatting>
  <conditionalFormatting sqref="D22">
    <cfRule type="expression" dxfId="574" priority="3">
      <formula>AND($H$22=0,$D$22&gt;0)</formula>
    </cfRule>
  </conditionalFormatting>
  <conditionalFormatting sqref="E11">
    <cfRule type="expression" dxfId="573" priority="27">
      <formula>$E$11&gt;$E$2</formula>
    </cfRule>
  </conditionalFormatting>
  <conditionalFormatting sqref="E12">
    <cfRule type="expression" dxfId="572" priority="140">
      <formula>$E$12&gt;$E$2</formula>
    </cfRule>
  </conditionalFormatting>
  <conditionalFormatting sqref="E18">
    <cfRule type="expression" dxfId="571" priority="26">
      <formula>$E$18&gt;$E$2</formula>
    </cfRule>
  </conditionalFormatting>
  <conditionalFormatting sqref="E20">
    <cfRule type="expression" dxfId="570" priority="22">
      <formula>$E$20&gt;$E$2</formula>
    </cfRule>
  </conditionalFormatting>
  <conditionalFormatting sqref="H6">
    <cfRule type="expression" dxfId="569" priority="29">
      <formula>$H$6&lt;0</formula>
    </cfRule>
  </conditionalFormatting>
  <conditionalFormatting sqref="K6 N23:O23">
    <cfRule type="expression" dxfId="568" priority="28">
      <formula>$K$6&lt;0</formula>
    </cfRule>
  </conditionalFormatting>
  <conditionalFormatting sqref="L6 N26:O26">
    <cfRule type="expression" dxfId="567"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9" sqref="C1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Survey and Exploration Ship</v>
      </c>
      <c r="F1" s="1" t="s">
        <v>1</v>
      </c>
      <c r="S1" s="3" t="s">
        <v>111</v>
      </c>
      <c r="U1" s="121" t="s">
        <v>1014</v>
      </c>
    </row>
    <row r="2" spans="1:22">
      <c r="A2" s="3" t="s">
        <v>432</v>
      </c>
      <c r="B2" t="str">
        <f>'Ship Info'!B2</f>
        <v>Scout</v>
      </c>
      <c r="D2" s="3" t="s">
        <v>0</v>
      </c>
      <c r="E2" s="2">
        <f>Tech_Level</f>
        <v>14</v>
      </c>
      <c r="F2" s="10">
        <f>'Ship Info'!G2</f>
        <v>1536124666.6666665</v>
      </c>
      <c r="S2" t="s">
        <v>112</v>
      </c>
      <c r="U2" s="122">
        <f>IF('3-Pwr Plant'!B11='3-Pwr Plant'!S3,1,0)</f>
        <v>0</v>
      </c>
    </row>
    <row r="3" spans="1:22">
      <c r="F3" s="10"/>
      <c r="G3" s="28"/>
      <c r="H3" s="506">
        <f>S20</f>
        <v>328</v>
      </c>
      <c r="I3" s="28"/>
      <c r="J3" s="28"/>
      <c r="K3" s="507">
        <f>S23</f>
        <v>16</v>
      </c>
      <c r="S3" t="s">
        <v>113</v>
      </c>
    </row>
    <row r="4" spans="1:22" ht="16" thickBot="1">
      <c r="F4" s="508" t="s">
        <v>45</v>
      </c>
      <c r="H4" s="786" t="s">
        <v>46</v>
      </c>
      <c r="I4" s="786"/>
      <c r="K4" s="786" t="s">
        <v>47</v>
      </c>
      <c r="L4" s="786"/>
      <c r="S4" t="s">
        <v>114</v>
      </c>
      <c r="U4" t="str">
        <f>B13</f>
        <v>Included Free w/ Streamlining</v>
      </c>
    </row>
    <row r="5" spans="1:22" ht="16" thickBot="1">
      <c r="B5" s="3" t="s">
        <v>2321</v>
      </c>
      <c r="C5" s="253" t="s">
        <v>100</v>
      </c>
      <c r="F5" s="506">
        <f>SUM(F7:F39)</f>
        <v>800000</v>
      </c>
      <c r="H5" s="1" t="s">
        <v>403</v>
      </c>
      <c r="I5" s="1" t="s">
        <v>27</v>
      </c>
      <c r="K5" s="1" t="s">
        <v>403</v>
      </c>
      <c r="L5" s="1" t="s">
        <v>27</v>
      </c>
      <c r="S5" s="3" t="s">
        <v>21</v>
      </c>
    </row>
    <row r="6" spans="1:22" ht="16" thickBot="1">
      <c r="F6" s="10"/>
      <c r="H6" s="26">
        <f>'Ship Info'!I3</f>
        <v>6.25</v>
      </c>
      <c r="I6" s="270">
        <f>'1-Hull'!I6</f>
        <v>1000</v>
      </c>
      <c r="K6" s="270">
        <f>'Ship Info'!L3</f>
        <v>6</v>
      </c>
      <c r="L6" s="270">
        <f>'3-Pwr Plant'!L6</f>
        <v>850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3</v>
      </c>
      <c r="D9" s="2"/>
      <c r="F9" s="10"/>
      <c r="H9" s="333">
        <f>IF(LEFT('2-Drives'!B25,10)="Jump Drive",'2-Drives'!U107*0.1*B9,0)*'2-Drives'!AC57</f>
        <v>300</v>
      </c>
      <c r="J9" s="2"/>
      <c r="L9" s="2"/>
      <c r="M9" s="2"/>
      <c r="S9" t="str">
        <f>'2-Drives'!B25</f>
        <v>Jump Drive</v>
      </c>
      <c r="T9" t="str">
        <f>IF(RIGHT(S9,3)="op)","Hops",IF(RIGHT(S9,3)="ip)","Skips","Jumps"))</f>
        <v>Jumps</v>
      </c>
      <c r="U9">
        <f>IF(T9="Skips",100,IF(T9="Hops",10,1))</f>
        <v>1</v>
      </c>
    </row>
    <row r="10" spans="1:22" ht="16" thickBot="1">
      <c r="A10" s="3" t="s">
        <v>64</v>
      </c>
      <c r="B10" s="7" t="s">
        <v>76</v>
      </c>
      <c r="C10" s="235">
        <v>8</v>
      </c>
      <c r="D10" s="118" t="s">
        <v>1013</v>
      </c>
      <c r="F10" s="10"/>
      <c r="H10" s="10">
        <f>IF('3-Pwr Plant'!D11=0,0,IF(U2=0,IF(AND(Tonnage&lt;100,$C$5=$T$8),C10*ROUNDUP(VLOOKUP('3-Pwr Plant'!B11,'3-Pwr Plant'!S2:X7,6)/4,2),MAX(,1,C10*ROUNDUP(VLOOKUP('3-Pwr Plant'!B11,'3-Pwr Plant'!S2:X7,6),0)/4)),C10*VLOOKUP('3-Pwr Plant'!B11,'3-Pwr Plant'!S2:X7,6)/4))</f>
        <v>12</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320</v>
      </c>
      <c r="C16" s="334">
        <v>16</v>
      </c>
      <c r="D16" s="333">
        <f>SUM(H9:H11)</f>
        <v>312</v>
      </c>
      <c r="F16" s="10">
        <f>50000*C16</f>
        <v>800000</v>
      </c>
      <c r="H16" s="333">
        <f>C16</f>
        <v>16</v>
      </c>
      <c r="K16" s="270">
        <f>C16</f>
        <v>16</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75</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328</v>
      </c>
      <c r="U20">
        <f>SUM(H8:H11)</f>
        <v>312</v>
      </c>
    </row>
    <row r="21" spans="1:22" ht="30.75" customHeight="1" thickBot="1">
      <c r="A21" s="311" t="s">
        <v>1713</v>
      </c>
      <c r="B21" s="12" t="str">
        <f>"(Requires Cargo Bay, Direct Feed to Jump Drives) Cargo: "&amp;SUM('12-Cargo'!D18,'12-Cargo'!D22,'12-Cargo'!D26)</f>
        <v>(Requires Cargo Bay, Direct Feed to Jump Drives) Cargo: 75</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16</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312 tons, 8 Weeks, 3 Jumps, 16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6" priority="14" operator="equal">
      <formula>$S$13</formula>
    </cfRule>
  </conditionalFormatting>
  <conditionalFormatting sqref="A32">
    <cfRule type="cellIs" dxfId="564" priority="13" operator="equal">
      <formula>$S$13</formula>
    </cfRule>
  </conditionalFormatting>
  <conditionalFormatting sqref="B8">
    <cfRule type="expression" dxfId="562" priority="46">
      <formula>AND($S$8="Manoeuvre Drive",$S$10&lt;&gt;"High Burn Thruster",$S$11&lt;&gt;"Reaction Drive")</formula>
    </cfRule>
  </conditionalFormatting>
  <conditionalFormatting sqref="B9">
    <cfRule type="expression" dxfId="561" priority="44">
      <formula>LEFT($S$9,10)&lt;&gt;"Jump Drive"</formula>
    </cfRule>
  </conditionalFormatting>
  <conditionalFormatting sqref="B13">
    <cfRule type="expression" dxfId="560" priority="45">
      <formula>AND(B13&lt;&gt;S2,S6="Streamlined")</formula>
    </cfRule>
  </conditionalFormatting>
  <conditionalFormatting sqref="C5">
    <cfRule type="cellIs" dxfId="554" priority="1" operator="equal">
      <formula>$T$7</formula>
    </cfRule>
  </conditionalFormatting>
  <conditionalFormatting sqref="C11">
    <cfRule type="cellIs" dxfId="553" priority="12" operator="equal">
      <formula>0</formula>
    </cfRule>
  </conditionalFormatting>
  <conditionalFormatting sqref="C12">
    <cfRule type="cellIs" dxfId="552" priority="11" operator="equal">
      <formula>$T$7</formula>
    </cfRule>
  </conditionalFormatting>
  <conditionalFormatting sqref="C16">
    <cfRule type="cellIs" dxfId="551" priority="16" operator="equal">
      <formula>0</formula>
    </cfRule>
  </conditionalFormatting>
  <conditionalFormatting sqref="C19">
    <cfRule type="expression" dxfId="550" priority="22" stopIfTrue="1">
      <formula>AND($A$19=$S$13,$C$19&gt;0)</formula>
    </cfRule>
    <cfRule type="expression" dxfId="549" priority="42">
      <formula>$A$19=$S$13</formula>
    </cfRule>
  </conditionalFormatting>
  <conditionalFormatting sqref="C22">
    <cfRule type="expression" dxfId="548" priority="31" stopIfTrue="1">
      <formula>AND($A$22=$S$13,$C$22&gt;0)</formula>
    </cfRule>
    <cfRule type="expression" dxfId="547" priority="40">
      <formula>$A$22=$S$13</formula>
    </cfRule>
  </conditionalFormatting>
  <conditionalFormatting sqref="C25">
    <cfRule type="expression" dxfId="546" priority="10">
      <formula>$B$25=0</formula>
    </cfRule>
    <cfRule type="expression" dxfId="545" priority="9">
      <formula>AND($B$25=0,$C$25&gt;0)</formula>
    </cfRule>
  </conditionalFormatting>
  <conditionalFormatting sqref="C26:C28">
    <cfRule type="cellIs" dxfId="544" priority="7" operator="equal">
      <formula>$T$7</formula>
    </cfRule>
    <cfRule type="expression" dxfId="543" priority="2">
      <formula>AND($H$25=0,$C26&lt;&gt;"No")</formula>
    </cfRule>
  </conditionalFormatting>
  <conditionalFormatting sqref="C32">
    <cfRule type="expression" dxfId="542" priority="37" stopIfTrue="1">
      <formula>AND($A$32=$S$13,$C$32&gt;0)</formula>
    </cfRule>
    <cfRule type="expression" dxfId="541" priority="38">
      <formula>$A$32=$S$13</formula>
    </cfRule>
  </conditionalFormatting>
  <conditionalFormatting sqref="C35">
    <cfRule type="expression" dxfId="540" priority="18">
      <formula>$C$35&gt;SUM($H$8:$H$11)</formula>
    </cfRule>
    <cfRule type="cellIs" dxfId="539" priority="15" operator="equal">
      <formula>0</formula>
    </cfRule>
  </conditionalFormatting>
  <conditionalFormatting sqref="D8">
    <cfRule type="expression" dxfId="538" priority="34">
      <formula>AND($D$8&lt;&gt;"N/A",$S$8="Manoeuvre Drive",$S$10&lt;&gt;"High Burn Thruster",$S$11&lt;&gt;"Reaction Drive",$D$8&gt;0)</formula>
    </cfRule>
  </conditionalFormatting>
  <conditionalFormatting sqref="D17">
    <cfRule type="expression" dxfId="537" priority="20">
      <formula>$T$25&gt;0</formula>
    </cfRule>
    <cfRule type="expression" dxfId="536" priority="21">
      <formula>$T$25=0</formula>
    </cfRule>
  </conditionalFormatting>
  <conditionalFormatting sqref="E7">
    <cfRule type="expression" dxfId="534" priority="148">
      <formula>$E$7&gt;$E$2</formula>
    </cfRule>
  </conditionalFormatting>
  <conditionalFormatting sqref="H6">
    <cfRule type="expression" dxfId="533" priority="36">
      <formula>$H$6&lt;0</formula>
    </cfRule>
  </conditionalFormatting>
  <conditionalFormatting sqref="K6">
    <cfRule type="expression" dxfId="532"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10" sqref="A1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Survey and Exploration Ship</v>
      </c>
      <c r="D1" s="2"/>
      <c r="E1" s="2"/>
      <c r="F1" s="6" t="s">
        <v>1</v>
      </c>
      <c r="S1" t="s">
        <v>78</v>
      </c>
      <c r="T1" t="s">
        <v>2</v>
      </c>
      <c r="U1" t="s">
        <v>1</v>
      </c>
      <c r="V1" t="s">
        <v>80</v>
      </c>
      <c r="AB1" s="2"/>
      <c r="AC1" s="2"/>
      <c r="AD1" s="2"/>
      <c r="AE1" s="2"/>
      <c r="AF1" s="2"/>
      <c r="AG1" s="2"/>
    </row>
    <row r="2" spans="1:34">
      <c r="A2" s="3" t="s">
        <v>432</v>
      </c>
      <c r="B2" t="str">
        <f>'Ship Info'!B2</f>
        <v>Scout</v>
      </c>
      <c r="D2" t="s">
        <v>0</v>
      </c>
      <c r="E2" s="2">
        <f>Tech_Level</f>
        <v>14</v>
      </c>
      <c r="F2" s="4">
        <f>'Ship Info'!G2</f>
        <v>1536124666.6666665</v>
      </c>
      <c r="S2" t="str">
        <f>IF('Ship Info'!E6&lt;&gt;"Ship","No Bridge",IF('10-Crew'!J36&gt;='5-Bridge'!T19,"Drone Ship","No Bridge"))</f>
        <v>Drone Ship</v>
      </c>
      <c r="T2">
        <v>0</v>
      </c>
      <c r="U2">
        <v>0</v>
      </c>
      <c r="W2" t="str">
        <f>IF('Ship Info'!E6&lt;&gt;"Ship","No Bridge",IF('10-Crew'!J36&gt;='5-Bridge'!T19,"Drone Ship","No Bridge"))</f>
        <v>Drone Ship</v>
      </c>
    </row>
    <row r="3" spans="1:34">
      <c r="D3" s="2"/>
      <c r="E3" s="2"/>
      <c r="G3" s="79"/>
      <c r="H3" s="506">
        <f>S17</f>
        <v>20</v>
      </c>
      <c r="S3" t="str">
        <f>IF('Ship Info'!F6,"Command Center (Mil)","")</f>
        <v/>
      </c>
      <c r="T3">
        <f>IF('Ship Info'!F5,0,T4)</f>
        <v>0</v>
      </c>
      <c r="U3">
        <f>200000*ROUNDUP(Tonnage/100,0)</f>
        <v>2000000</v>
      </c>
      <c r="W3" t="str">
        <f>IF('Ship Info'!F6,"DM+1 to all Tactics (naval) checks","Error, Wrong selection for type")</f>
        <v>Error, Wrong selection for type</v>
      </c>
    </row>
    <row r="4" spans="1:34">
      <c r="A4" t="s">
        <v>2</v>
      </c>
      <c r="B4" s="263">
        <f>'1-Hull'!B4</f>
        <v>1000</v>
      </c>
      <c r="D4" s="2"/>
      <c r="E4" s="2"/>
      <c r="F4" s="504" t="s">
        <v>45</v>
      </c>
      <c r="H4" s="786" t="s">
        <v>46</v>
      </c>
      <c r="I4" s="786"/>
      <c r="K4" s="786" t="s">
        <v>47</v>
      </c>
      <c r="L4" s="786"/>
      <c r="S4" t="str">
        <f>IF('Ship Info'!F6,"Control Center","")</f>
        <v/>
      </c>
      <c r="T4">
        <f>IF('Ship Info'!F5,0,IF(Tonnage&gt;2500000,100,IF(Tonnage&gt;100000,80,IF(Tonnage&gt;20000,60,IF(Tonnage&gt;5000,40,IF(Tonnage&gt;500,20,10))))))</f>
        <v>0</v>
      </c>
      <c r="U4">
        <f>100000*ROUNDUP(Tonnage/100,0)</f>
        <v>1000000</v>
      </c>
      <c r="W4" t="str">
        <f>IF('Ship Info'!F6,"No Modifiers","Error, Wrong selection for type")</f>
        <v>Error, Wrong selection for type</v>
      </c>
    </row>
    <row r="5" spans="1:34">
      <c r="F5" s="505">
        <f>SUM(F9:F30)</f>
        <v>10000000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-2 additional Virtual Crew to be a Drone Ship</v>
      </c>
      <c r="B6" s="119"/>
      <c r="H6" s="10">
        <f>'Ship Info'!I3</f>
        <v>6.25</v>
      </c>
      <c r="I6" s="270">
        <f>'1-Hull'!I6</f>
        <v>1000</v>
      </c>
      <c r="K6" s="270">
        <f>'Ship Info'!L3</f>
        <v>6</v>
      </c>
      <c r="L6" s="270">
        <f>'3-Pwr Plant'!L6</f>
        <v>850</v>
      </c>
      <c r="S6" t="str">
        <f>IF('Ship Info'!F5,"Command Bridge","")</f>
        <v>Command Bridge</v>
      </c>
      <c r="T6">
        <f>IF('Ship Info'!F6,0,T10+40)</f>
        <v>60</v>
      </c>
      <c r="U6">
        <f>U30</f>
        <v>35000000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24</v>
      </c>
      <c r="U7">
        <f>1.5*U10</f>
        <v>7500000</v>
      </c>
      <c r="V7">
        <f>IF(B4&lt;51,1,IF(B4&lt;100,2,IF(B4&lt;201,3,IF(B4&lt;1001,4,IF(B4&lt;2001,5,IF(B4&lt;100001,6,7))))))</f>
        <v>4</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5000000</v>
      </c>
      <c r="H9" s="270">
        <f>IFERROR(INDEX(S2:W10,MATCH(A9,S2:S10,0),2),IF('Ship Info'!F7,1,0))</f>
        <v>20</v>
      </c>
      <c r="J9" s="2"/>
      <c r="L9" s="2"/>
      <c r="S9" t="str">
        <f>IF('Ship Info'!F5,"Small Bridge","")</f>
        <v>Small Bridge</v>
      </c>
      <c r="T9">
        <f>IF('Ship Info'!F6,0,HLOOKUP(V9,AA8:AH9,2))</f>
        <v>10</v>
      </c>
      <c r="U9">
        <f>ROUNDUP(B4/100,0)*250000</f>
        <v>2500000</v>
      </c>
      <c r="V9">
        <f>V10-1</f>
        <v>3</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131</v>
      </c>
      <c r="B10" s="16" t="str">
        <f>VLOOKUP(A10,S13:W14,5)</f>
        <v>No Modifiers</v>
      </c>
      <c r="D10" s="2"/>
      <c r="E10">
        <f>VLOOKUP(A10,S13:U14,2)</f>
        <v>7</v>
      </c>
      <c r="F10" s="4">
        <f>VLOOKUP(A10,S13:U14,3)</f>
        <v>0</v>
      </c>
      <c r="H10" s="2"/>
      <c r="J10" s="2"/>
      <c r="L10" s="2"/>
      <c r="S10" t="str">
        <f>IF('Ship Info'!F5,"Standard Bridge","")</f>
        <v>Standard Bridge</v>
      </c>
      <c r="T10">
        <f>IF('Ship Info'!F6,0,HLOOKUP(V10,AB8:AH9,2))</f>
        <v>20</v>
      </c>
      <c r="U10">
        <f>ROUNDUP(B4/100,0)*500000</f>
        <v>5000000</v>
      </c>
      <c r="V10">
        <f>IF(B4&lt;51,1,IF(B4&lt;100,2,IF(B4&lt;201,3,IF(B4&lt;1001,4,IF(B4&lt;2001,5,IF(B4&lt;100001,6,7))))))</f>
        <v>4</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1250000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20</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3</v>
      </c>
    </row>
    <row r="20" spans="1:23" ht="16" thickBot="1">
      <c r="B20" s="7" t="s">
        <v>2124</v>
      </c>
      <c r="C20" s="235">
        <v>0</v>
      </c>
    </row>
    <row r="21" spans="1:23" ht="16" thickBot="1">
      <c r="B21" s="9" t="s">
        <v>2125</v>
      </c>
    </row>
    <row r="22" spans="1:23" ht="16" thickBot="1">
      <c r="B22" s="7" t="s">
        <v>671</v>
      </c>
      <c r="C22" s="255" t="s">
        <v>99</v>
      </c>
      <c r="F22" s="4">
        <f>200000*H22</f>
        <v>0</v>
      </c>
      <c r="H22" s="270">
        <f>IF(C22="No",0,0.1*SUM(H8:H19))</f>
        <v>0</v>
      </c>
      <c r="S22" t="str">
        <f>IF(A9=S9,"Small ","")&amp;"Bridge: "&amp;IF(A10=S13,"Initiative+2",IF(Y10=TRUE,W10,""))&amp;""&amp;IF(AC6=TRUE," Tactics+1","")&amp;""&amp;IF(A9=S9,"DM -1 All Bridge Checks","")&amp;""&amp;IF(Z8=TRUE,"Cockpit","")</f>
        <v>Bridge: No Modifiers</v>
      </c>
    </row>
    <row r="23" spans="1:23" ht="16" thickBot="1"/>
    <row r="24" spans="1:23" ht="16" thickBot="1">
      <c r="A24" s="844" t="s">
        <v>1758</v>
      </c>
      <c r="B24" s="845"/>
      <c r="F24" s="4">
        <f>IF(A24=S47,0,IF(A24=S48,Tonnage*5000,Tonnage*7000))</f>
        <v>5000000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60</v>
      </c>
      <c r="U30">
        <f>U33+30000000</f>
        <v>35000000</v>
      </c>
      <c r="W30" t="s">
        <v>83</v>
      </c>
    </row>
    <row r="31" spans="1:23">
      <c r="S31" t="s">
        <v>129</v>
      </c>
      <c r="T31">
        <f>T33*1.2</f>
        <v>24</v>
      </c>
      <c r="U31">
        <f>1.5*U33</f>
        <v>7500000</v>
      </c>
      <c r="V31">
        <f>IF(B4&lt;51,1,IF(B4&lt;100,2,IF(B4&lt;201,3,IF(B4&lt;1001,4,IF(B4&lt;2001,5,IF(B4&lt;100001,6,7))))))</f>
        <v>4</v>
      </c>
      <c r="W31" t="s">
        <v>130</v>
      </c>
    </row>
    <row r="32" spans="1:23">
      <c r="S32" t="s">
        <v>85</v>
      </c>
      <c r="T32">
        <f>HLOOKUP(V32,AA8:AH9,2)</f>
        <v>10</v>
      </c>
      <c r="U32">
        <f>ROUNDUP(B4/100,0)*250000</f>
        <v>2500000</v>
      </c>
      <c r="V32">
        <f>V33-1</f>
        <v>3</v>
      </c>
      <c r="W32" t="s">
        <v>86</v>
      </c>
    </row>
    <row r="33" spans="19:23">
      <c r="S33" t="s">
        <v>79</v>
      </c>
      <c r="T33">
        <f>HLOOKUP(V33,AB8:AH9,2)</f>
        <v>20</v>
      </c>
      <c r="U33">
        <f>ROUNDUP(B4/100,0)*500000</f>
        <v>5000000</v>
      </c>
      <c r="V33">
        <f>IF(B4&lt;51,1,IF(B4&lt;100,2,IF(B4&lt;201,3,IF(B4&lt;1001,4,IF(B4&lt;2001,5,IF(B4&lt;100001,6,7))))))</f>
        <v>4</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1" priority="10">
      <formula>$T$43</formula>
    </cfRule>
  </conditionalFormatting>
  <conditionalFormatting sqref="A9">
    <cfRule type="expression" dxfId="529" priority="11">
      <formula>$T$44</formula>
    </cfRule>
    <cfRule type="expression" dxfId="528" priority="864">
      <formula>AND(B4&lt;5000,A9=S6)</formula>
    </cfRule>
    <cfRule type="expression" dxfId="527" priority="863">
      <formula>AND($B$4&gt;99,$A$9=$S$5)</formula>
    </cfRule>
    <cfRule type="expression" dxfId="526" priority="862">
      <formula>AND($B$4&gt;99,$A$9=$S$8)</formula>
    </cfRule>
  </conditionalFormatting>
  <conditionalFormatting sqref="A13 C13">
    <cfRule type="expression" dxfId="525" priority="160">
      <formula>$B$4&lt;5000</formula>
    </cfRule>
  </conditionalFormatting>
  <conditionalFormatting sqref="A13">
    <cfRule type="expression" dxfId="524" priority="866" stopIfTrue="1">
      <formula>AND(B4&lt;5000,$A$13=$AA$6)</formula>
    </cfRule>
  </conditionalFormatting>
  <conditionalFormatting sqref="A14 C13">
    <cfRule type="expression" dxfId="523" priority="870">
      <formula>$A$13=$AA$5</formula>
    </cfRule>
  </conditionalFormatting>
  <conditionalFormatting sqref="A14">
    <cfRule type="expression" dxfId="522" priority="865" stopIfTrue="1">
      <formula>AND($A$13=$AA$5,$A$14=$S$13)</formula>
    </cfRule>
  </conditionalFormatting>
  <conditionalFormatting sqref="A17">
    <cfRule type="expression" dxfId="521" priority="867">
      <formula>AND(B4&lt;5000,$A$17=$S$30)</formula>
    </cfRule>
  </conditionalFormatting>
  <conditionalFormatting sqref="A18">
    <cfRule type="expression" dxfId="520" priority="869">
      <formula>AND($A$17=$S$29,$A$18=$S$13)</formula>
    </cfRule>
    <cfRule type="expression" dxfId="519" priority="868">
      <formula>$A$17=$S$29</formula>
    </cfRule>
  </conditionalFormatting>
  <conditionalFormatting sqref="A24">
    <cfRule type="expression" dxfId="518" priority="8">
      <formula>$F$24&gt;0</formula>
    </cfRule>
  </conditionalFormatting>
  <conditionalFormatting sqref="A30:F30">
    <cfRule type="expression" dxfId="516" priority="1060">
      <formula>$A$27=$S$50</formula>
    </cfRule>
  </conditionalFormatting>
  <conditionalFormatting sqref="C17">
    <cfRule type="expression" dxfId="515" priority="15">
      <formula>$A$17=" N/A"</formula>
    </cfRule>
    <cfRule type="expression" dxfId="514" priority="9" stopIfTrue="1">
      <formula>AND($C$17&gt;0,$H$17=0)</formula>
    </cfRule>
  </conditionalFormatting>
  <conditionalFormatting sqref="C20">
    <cfRule type="expression" dxfId="512" priority="5">
      <formula>$A$17=" N/A"</formula>
    </cfRule>
    <cfRule type="expression" dxfId="511" priority="4" stopIfTrue="1">
      <formula>AND($C$17&gt;0,$H$17=0)</formula>
    </cfRule>
    <cfRule type="expression" dxfId="510" priority="3">
      <formula>$C$20&gt;$C$17</formula>
    </cfRule>
  </conditionalFormatting>
  <conditionalFormatting sqref="C22">
    <cfRule type="cellIs" dxfId="509" priority="872" operator="equal">
      <formula>$S$25</formula>
    </cfRule>
    <cfRule type="cellIs" dxfId="508" priority="873" operator="equal">
      <formula>"""No"""</formula>
    </cfRule>
  </conditionalFormatting>
  <conditionalFormatting sqref="E27 E30">
    <cfRule type="expression" dxfId="507" priority="7">
      <formula>$E27&gt;TL</formula>
    </cfRule>
  </conditionalFormatting>
  <conditionalFormatting sqref="H6">
    <cfRule type="expression" dxfId="506" priority="30">
      <formula>$H$6&lt;0</formula>
    </cfRule>
  </conditionalFormatting>
  <conditionalFormatting sqref="K6">
    <cfRule type="expression" dxfId="505"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Jeff Kazmierski</cp:lastModifiedBy>
  <cp:lastPrinted>2024-12-07T02:01:19Z</cp:lastPrinted>
  <dcterms:created xsi:type="dcterms:W3CDTF">2021-03-17T18:55:02Z</dcterms:created>
  <dcterms:modified xsi:type="dcterms:W3CDTF">2025-02-01T05:32:59Z</dcterms:modified>
</cp:coreProperties>
</file>