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tes" sheetId="1" state="visible" r:id="rId3"/>
    <sheet name="System Survey" sheetId="2" state="visible" r:id="rId4"/>
    <sheet name="Mainworld Survey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<sst xmlns="http://schemas.openxmlformats.org/spreadsheetml/2006/main" count="332" uniqueCount="202">
  <si>
    <t xml:space="preserve">Zhdant System</t>
  </si>
  <si>
    <t xml:space="preserve">Stellar Data</t>
  </si>
  <si>
    <t xml:space="preserve">Pliebr</t>
  </si>
  <si>
    <t xml:space="preserve">K0 V</t>
  </si>
  <si>
    <t xml:space="preserve">Solitary</t>
  </si>
  <si>
    <t xml:space="preserve">Mass:</t>
  </si>
  <si>
    <t xml:space="preserve">Sols</t>
  </si>
  <si>
    <t xml:space="preserve">Temp:</t>
  </si>
  <si>
    <t xml:space="preserve">K</t>
  </si>
  <si>
    <t xml:space="preserve">Color:</t>
  </si>
  <si>
    <t xml:space="preserve">Light Orange</t>
  </si>
  <si>
    <t xml:space="preserve">Diameter:</t>
  </si>
  <si>
    <t xml:space="preserve">Luminosity</t>
  </si>
  <si>
    <t xml:space="preserve">HZCO:</t>
  </si>
  <si>
    <t xml:space="preserve">AU</t>
  </si>
  <si>
    <t xml:space="preserve">MAO:</t>
  </si>
  <si>
    <t xml:space="preserve">MSLS:</t>
  </si>
  <si>
    <t xml:space="preserve">Gy</t>
  </si>
  <si>
    <t xml:space="preserve">Stellar Age:</t>
  </si>
  <si>
    <t xml:space="preserve">Star System Profile: 1 K0V 0.8 0.9 0.52 11Gy</t>
  </si>
  <si>
    <t xml:space="preserve">Baseline Orbit:</t>
  </si>
  <si>
    <t xml:space="preserve">System Spread</t>
  </si>
  <si>
    <t xml:space="preserve">General system overview:</t>
  </si>
  <si>
    <t xml:space="preserve">Orbit</t>
  </si>
  <si>
    <t xml:space="preserve">Distance</t>
  </si>
  <si>
    <t xml:space="preserve">Body</t>
  </si>
  <si>
    <t xml:space="preserve">UWP</t>
  </si>
  <si>
    <t xml:space="preserve">Inner:</t>
  </si>
  <si>
    <t xml:space="preserve">Adrablsish</t>
  </si>
  <si>
    <t xml:space="preserve">X400000-0</t>
  </si>
  <si>
    <t xml:space="preserve">tidally locked</t>
  </si>
  <si>
    <t xml:space="preserve">Eccentricity:</t>
  </si>
  <si>
    <t xml:space="preserve">km</t>
  </si>
  <si>
    <t xml:space="preserve">Period:</t>
  </si>
  <si>
    <t xml:space="preserve">standard days</t>
  </si>
  <si>
    <t xml:space="preserve">standard years</t>
  </si>
  <si>
    <t xml:space="preserve">Rotation:</t>
  </si>
  <si>
    <t xml:space="preserve">standard hours</t>
  </si>
  <si>
    <t xml:space="preserve">Moons:</t>
  </si>
  <si>
    <t xml:space="preserve">Composition:</t>
  </si>
  <si>
    <t xml:space="preserve">mostly rock</t>
  </si>
  <si>
    <t xml:space="preserve">Density:</t>
  </si>
  <si>
    <t xml:space="preserve">T</t>
  </si>
  <si>
    <t xml:space="preserve">Surface G:</t>
  </si>
  <si>
    <t xml:space="preserve">Gs</t>
  </si>
  <si>
    <t xml:space="preserve">Esc Velocity:</t>
  </si>
  <si>
    <t xml:space="preserve">km/sec</t>
  </si>
  <si>
    <t xml:space="preserve">Orbital Vel.:</t>
  </si>
  <si>
    <t xml:space="preserve">Hill Sphere:</t>
  </si>
  <si>
    <t xml:space="preserve">Pliantshotl</t>
  </si>
  <si>
    <t xml:space="preserve">X300000-0</t>
  </si>
  <si>
    <t xml:space="preserve">rocky body</t>
  </si>
  <si>
    <t xml:space="preserve">Habitable Zone:</t>
  </si>
  <si>
    <t xml:space="preserve">Zhdant</t>
  </si>
  <si>
    <t xml:space="preserve">A6547C8-F Ag</t>
  </si>
  <si>
    <t xml:space="preserve">main world</t>
  </si>
  <si>
    <t xml:space="preserve">Y410000-0</t>
  </si>
  <si>
    <t xml:space="preserve">rock and metal</t>
  </si>
  <si>
    <t xml:space="preserve">Outer Zone:</t>
  </si>
  <si>
    <t xml:space="preserve">Dlemstiats Tsiaqr</t>
  </si>
  <si>
    <t xml:space="preserve">X000000-0</t>
  </si>
  <si>
    <t xml:space="preserve">asteroid belt</t>
  </si>
  <si>
    <t xml:space="preserve">Span:</t>
  </si>
  <si>
    <t xml:space="preserve">S-type</t>
  </si>
  <si>
    <t xml:space="preserve">C-type</t>
  </si>
  <si>
    <t xml:space="preserve">Bulk:</t>
  </si>
  <si>
    <t xml:space="preserve">Resources:</t>
  </si>
  <si>
    <t xml:space="preserve">Size 1 Bodies:</t>
  </si>
  <si>
    <t xml:space="preserve">Size S Bodies:</t>
  </si>
  <si>
    <t xml:space="preserve">                </t>
  </si>
  <si>
    <t xml:space="preserve">Brovlekal</t>
  </si>
  <si>
    <t xml:space="preserve">GL</t>
  </si>
  <si>
    <t xml:space="preserve">empty</t>
  </si>
  <si>
    <t xml:space="preserve">Emkachdraf</t>
  </si>
  <si>
    <t xml:space="preserve">X40A000-0</t>
  </si>
  <si>
    <t xml:space="preserve">ice world</t>
  </si>
  <si>
    <t xml:space="preserve">mostly ice</t>
  </si>
  <si>
    <t xml:space="preserve">Star</t>
  </si>
  <si>
    <t xml:space="preserve">Component</t>
  </si>
  <si>
    <t xml:space="preserve">Class</t>
  </si>
  <si>
    <t xml:space="preserve">Mass</t>
  </si>
  <si>
    <t xml:space="preserve">Temp</t>
  </si>
  <si>
    <t xml:space="preserve">Diameter</t>
  </si>
  <si>
    <t xml:space="preserve">Orbit #</t>
  </si>
  <si>
    <t xml:space="preserve">Period</t>
  </si>
  <si>
    <t xml:space="preserve">MAO</t>
  </si>
  <si>
    <t xml:space="preserve">HZCO</t>
  </si>
  <si>
    <t xml:space="preserve">MSLS</t>
  </si>
  <si>
    <t xml:space="preserve">Stellar Age</t>
  </si>
  <si>
    <t xml:space="preserve">A</t>
  </si>
  <si>
    <t xml:space="preserve">K0V</t>
  </si>
  <si>
    <t xml:space="preserve">-</t>
  </si>
  <si>
    <t xml:space="preserve">Objects</t>
  </si>
  <si>
    <t xml:space="preserve">Primary</t>
  </si>
  <si>
    <t xml:space="preserve">Object</t>
  </si>
  <si>
    <t xml:space="preserve">Orbit </t>
  </si>
  <si>
    <t xml:space="preserve">Ecc</t>
  </si>
  <si>
    <t xml:space="preserve">Period (days)</t>
  </si>
  <si>
    <t xml:space="preserve">Period (years)</t>
  </si>
  <si>
    <t xml:space="preserve">Diameter (km)</t>
  </si>
  <si>
    <t xml:space="preserve">Composition</t>
  </si>
  <si>
    <t xml:space="preserve">Density</t>
  </si>
  <si>
    <t xml:space="preserve">Surface G</t>
  </si>
  <si>
    <t xml:space="preserve">Esc Vel (m/s)</t>
  </si>
  <si>
    <t xml:space="preserve">Orb Vel (m/s)</t>
  </si>
  <si>
    <t xml:space="preserve">Subs</t>
  </si>
  <si>
    <t xml:space="preserve">A I</t>
  </si>
  <si>
    <t xml:space="preserve">rock</t>
  </si>
  <si>
    <t xml:space="preserve">A II</t>
  </si>
  <si>
    <t xml:space="preserve">A III</t>
  </si>
  <si>
    <t xml:space="preserve">A IV</t>
  </si>
  <si>
    <t xml:space="preserve">n/a</t>
  </si>
  <si>
    <t xml:space="preserve">mostly carbon</t>
  </si>
  <si>
    <t xml:space="preserve">A V</t>
  </si>
  <si>
    <t xml:space="preserve">GMB</t>
  </si>
  <si>
    <t xml:space="preserve">A VI</t>
  </si>
  <si>
    <t xml:space="preserve">World:</t>
  </si>
  <si>
    <t xml:space="preserve">UWP:</t>
  </si>
  <si>
    <t xml:space="preserve">Sector:</t>
  </si>
  <si>
    <t xml:space="preserve">Qaval</t>
  </si>
  <si>
    <t xml:space="preserve">Primary:</t>
  </si>
  <si>
    <t xml:space="preserve">System Age (Gy):</t>
  </si>
  <si>
    <t xml:space="preserve">Travel Zone:</t>
  </si>
  <si>
    <t xml:space="preserve">Green</t>
  </si>
  <si>
    <t xml:space="preserve">Orbit:</t>
  </si>
  <si>
    <t xml:space="preserve">Notes:</t>
  </si>
  <si>
    <t xml:space="preserve">AU:</t>
  </si>
  <si>
    <t xml:space="preserve">Axial Tilt:</t>
  </si>
  <si>
    <t xml:space="preserve">radians</t>
  </si>
  <si>
    <t xml:space="preserve">degrees</t>
  </si>
  <si>
    <t xml:space="preserve">Size:</t>
  </si>
  <si>
    <t xml:space="preserve">Gravity</t>
  </si>
  <si>
    <t xml:space="preserve">Esc v (kps)</t>
  </si>
  <si>
    <t xml:space="preserve">Size</t>
  </si>
  <si>
    <t xml:space="preserve">Atmosphere:</t>
  </si>
  <si>
    <t xml:space="preserve">Pressure (bar)</t>
  </si>
  <si>
    <t xml:space="preserve">Oxygen Fraction</t>
  </si>
  <si>
    <t xml:space="preserve">Scale Height</t>
  </si>
  <si>
    <t xml:space="preserve">Gas Esc Val</t>
  </si>
  <si>
    <t xml:space="preserve">O2 ppo (bar)</t>
  </si>
  <si>
    <t xml:space="preserve">thin, standard</t>
  </si>
  <si>
    <t xml:space="preserve">Taints:</t>
  </si>
  <si>
    <t xml:space="preserve">None</t>
  </si>
  <si>
    <t xml:space="preserve">Hydrographics:</t>
  </si>
  <si>
    <t xml:space="preserve">Coverage</t>
  </si>
  <si>
    <t xml:space="preserve">Distribution</t>
  </si>
  <si>
    <t xml:space="preserve">Major Bodies</t>
  </si>
  <si>
    <t xml:space="preserve">Minor Bodies</t>
  </si>
  <si>
    <t xml:space="preserve">Other</t>
  </si>
  <si>
    <t xml:space="preserve">Water</t>
  </si>
  <si>
    <t xml:space="preserve">Sidereal</t>
  </si>
  <si>
    <t xml:space="preserve">Solar</t>
  </si>
  <si>
    <t xml:space="preserve">Solar days/year</t>
  </si>
  <si>
    <t xml:space="preserve">Axial tilt factor</t>
  </si>
  <si>
    <t xml:space="preserve">Tidal Lock?</t>
  </si>
  <si>
    <t xml:space="preserve">No</t>
  </si>
  <si>
    <t xml:space="preserve">Star Tidal Effect</t>
  </si>
  <si>
    <t xml:space="preserve">Moon Tidal Effect</t>
  </si>
  <si>
    <t xml:space="preserve">Tides:</t>
  </si>
  <si>
    <t xml:space="preserve">Temperature:</t>
  </si>
  <si>
    <t xml:space="preserve">High</t>
  </si>
  <si>
    <t xml:space="preserve">Rotation fact.</t>
  </si>
  <si>
    <t xml:space="preserve">Atmo factor</t>
  </si>
  <si>
    <t xml:space="preserve">Near AU</t>
  </si>
  <si>
    <t xml:space="preserve">High lumin</t>
  </si>
  <si>
    <t xml:space="preserve">Mean</t>
  </si>
  <si>
    <t xml:space="preserve">Albedo</t>
  </si>
  <si>
    <t xml:space="preserve">Geo. Factor</t>
  </si>
  <si>
    <t xml:space="preserve">Lumin mod</t>
  </si>
  <si>
    <t xml:space="preserve">Far AU</t>
  </si>
  <si>
    <t xml:space="preserve">Low lumin</t>
  </si>
  <si>
    <t xml:space="preserve">Low</t>
  </si>
  <si>
    <t xml:space="preserve">Greenhouse</t>
  </si>
  <si>
    <t xml:space="preserve">Variance fact.</t>
  </si>
  <si>
    <t xml:space="preserve">Seismic Stress</t>
  </si>
  <si>
    <t xml:space="preserve">Residual Stress</t>
  </si>
  <si>
    <t xml:space="preserve">Tidal Stress</t>
  </si>
  <si>
    <t xml:space="preserve">Tidal Heating</t>
  </si>
  <si>
    <t xml:space="preserve">Major Plates</t>
  </si>
  <si>
    <t xml:space="preserve">Life:</t>
  </si>
  <si>
    <t xml:space="preserve">Biomass</t>
  </si>
  <si>
    <t xml:space="preserve">Biocomplexity</t>
  </si>
  <si>
    <t xml:space="preserve">Sophonts?</t>
  </si>
  <si>
    <t xml:space="preserve">Biodiversity</t>
  </si>
  <si>
    <t xml:space="preserve">Compatibility</t>
  </si>
  <si>
    <t xml:space="preserve">(Terra = 14)</t>
  </si>
  <si>
    <t xml:space="preserve">Social life forms</t>
  </si>
  <si>
    <t xml:space="preserve">Moderate</t>
  </si>
  <si>
    <t xml:space="preserve">Rating:</t>
  </si>
  <si>
    <t xml:space="preserve">Worthwhile with considerable effort</t>
  </si>
  <si>
    <t xml:space="preserve">Habitability:</t>
  </si>
  <si>
    <t xml:space="preserve">Equivalent to garden world</t>
  </si>
  <si>
    <t xml:space="preserve">Subordinates</t>
  </si>
  <si>
    <t xml:space="preserve">SAH/UWP</t>
  </si>
  <si>
    <t xml:space="preserve">Orbit (PD)</t>
  </si>
  <si>
    <t xml:space="preserve">Orbit (km)</t>
  </si>
  <si>
    <t xml:space="preserve">Orbit (h)</t>
  </si>
  <si>
    <t xml:space="preserve">Orbit (days)</t>
  </si>
  <si>
    <t xml:space="preserve">Rotation (h)</t>
  </si>
  <si>
    <t xml:space="preserve">Albedo:</t>
  </si>
  <si>
    <t xml:space="preserve">Atmo (bar)</t>
  </si>
  <si>
    <t xml:space="preserve">Greenhouse: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</si>
</sst>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%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12960</xdr:colOff>
      <xdr:row>50</xdr:row>
      <xdr:rowOff>123840</xdr:rowOff>
    </xdr:from>
    <xdr:to>
      <xdr:col>8</xdr:col>
      <xdr:colOff>432000</xdr:colOff>
      <xdr:row>76</xdr:row>
      <xdr:rowOff>17280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092680" y="8251920"/>
          <a:ext cx="6089040" cy="4119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A36" colorId="64" zoomScale="80" zoomScaleNormal="80" zoomScalePageLayoutView="100" workbookViewId="0">
      <selection pane="topLeft" activeCell="C53" activeCellId="0" sqref="C5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65"/>
    <col collapsed="false" customWidth="false" hidden="false" outlineLevel="0" max="2" min="2" style="1" width="11.53"/>
    <col collapsed="false" customWidth="true" hidden="false" outlineLevel="0" max="3" min="3" style="1" width="14.56"/>
    <col collapsed="false" customWidth="true" hidden="false" outlineLevel="0" max="4" min="4" style="1" width="13.26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s">
        <v>3</v>
      </c>
      <c r="C3" s="1" t="s">
        <v>4</v>
      </c>
    </row>
    <row r="4" customFormat="false" ht="12.8" hidden="false" customHeight="false" outlineLevel="0" collapsed="false">
      <c r="A4" s="3" t="s">
        <v>5</v>
      </c>
      <c r="B4" s="1" t="n">
        <v>0.811</v>
      </c>
      <c r="C4" s="1" t="s">
        <v>6</v>
      </c>
    </row>
    <row r="5" customFormat="false" ht="12.8" hidden="false" customHeight="false" outlineLevel="0" collapsed="false">
      <c r="A5" s="3" t="s">
        <v>7</v>
      </c>
      <c r="B5" s="1" t="n">
        <v>5200</v>
      </c>
      <c r="C5" s="1" t="s">
        <v>8</v>
      </c>
    </row>
    <row r="6" customFormat="false" ht="12.8" hidden="false" customHeight="false" outlineLevel="0" collapsed="false">
      <c r="A6" s="3" t="s">
        <v>9</v>
      </c>
      <c r="B6" s="1" t="s">
        <v>10</v>
      </c>
    </row>
    <row r="7" customFormat="false" ht="12.8" hidden="false" customHeight="false" outlineLevel="0" collapsed="false">
      <c r="A7" s="3" t="s">
        <v>11</v>
      </c>
      <c r="B7" s="1" t="n">
        <v>0.908</v>
      </c>
      <c r="C7" s="1" t="s">
        <v>6</v>
      </c>
    </row>
    <row r="8" customFormat="false" ht="12.8" hidden="false" customHeight="false" outlineLevel="0" collapsed="false">
      <c r="A8" s="3" t="s">
        <v>12</v>
      </c>
      <c r="B8" s="1" t="n">
        <v>0.42</v>
      </c>
      <c r="C8" s="1" t="s">
        <v>6</v>
      </c>
    </row>
    <row r="9" customFormat="false" ht="12.8" hidden="false" customHeight="false" outlineLevel="0" collapsed="false">
      <c r="A9" s="3" t="s">
        <v>13</v>
      </c>
      <c r="B9" s="1" t="n">
        <v>0.72</v>
      </c>
      <c r="C9" s="1" t="s">
        <v>14</v>
      </c>
      <c r="D9" s="1" t="n">
        <v>2.05</v>
      </c>
    </row>
    <row r="10" customFormat="false" ht="12.8" hidden="false" customHeight="false" outlineLevel="0" collapsed="false">
      <c r="A10" s="3" t="s">
        <v>15</v>
      </c>
      <c r="B10" s="1" t="n">
        <v>0.02</v>
      </c>
      <c r="C10" s="1" t="s">
        <v>14</v>
      </c>
    </row>
    <row r="11" customFormat="false" ht="12.8" hidden="false" customHeight="false" outlineLevel="0" collapsed="false">
      <c r="A11" s="3" t="s">
        <v>16</v>
      </c>
      <c r="B11" s="1" t="n">
        <v>17.5</v>
      </c>
      <c r="C11" s="1" t="s">
        <v>17</v>
      </c>
    </row>
    <row r="12" customFormat="false" ht="12.8" hidden="false" customHeight="false" outlineLevel="0" collapsed="false">
      <c r="A12" s="3" t="s">
        <v>18</v>
      </c>
      <c r="B12" s="1" t="n">
        <v>11</v>
      </c>
      <c r="C12" s="1" t="s">
        <v>17</v>
      </c>
    </row>
    <row r="13" customFormat="false" ht="12.8" hidden="false" customHeight="false" outlineLevel="0" collapsed="false">
      <c r="A13" s="4"/>
    </row>
    <row r="14" customFormat="false" ht="12.8" hidden="false" customHeight="false" outlineLevel="0" collapsed="false">
      <c r="A14" s="5" t="s">
        <v>19</v>
      </c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3" t="s">
        <v>20</v>
      </c>
      <c r="B16" s="1" t="n">
        <v>2.1</v>
      </c>
    </row>
    <row r="17" customFormat="false" ht="12.8" hidden="false" customHeight="false" outlineLevel="0" collapsed="false">
      <c r="A17" s="4"/>
    </row>
    <row r="18" customFormat="false" ht="12.8" hidden="false" customHeight="false" outlineLevel="0" collapsed="false">
      <c r="A18" s="3" t="s">
        <v>21</v>
      </c>
      <c r="B18" s="1" t="n">
        <v>1.04</v>
      </c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5" t="s">
        <v>22</v>
      </c>
    </row>
    <row r="21" customFormat="false" ht="12.8" hidden="false" customHeight="false" outlineLevel="0" collapsed="false">
      <c r="A21" s="5" t="s">
        <v>23</v>
      </c>
      <c r="B21" s="2" t="s">
        <v>24</v>
      </c>
      <c r="C21" s="2" t="s">
        <v>25</v>
      </c>
      <c r="D21" s="2" t="s">
        <v>26</v>
      </c>
    </row>
    <row r="22" customFormat="false" ht="12.8" hidden="false" customHeight="false" outlineLevel="0" collapsed="false">
      <c r="A22" s="6" t="s">
        <v>27</v>
      </c>
    </row>
    <row r="23" customFormat="false" ht="12.8" hidden="false" customHeight="false" outlineLevel="0" collapsed="false">
      <c r="A23" s="3" t="n">
        <v>0</v>
      </c>
      <c r="B23" s="1" t="n">
        <v>0.24</v>
      </c>
      <c r="C23" s="1" t="s">
        <v>28</v>
      </c>
      <c r="D23" s="1" t="s">
        <v>29</v>
      </c>
      <c r="E23" s="1" t="s">
        <v>30</v>
      </c>
    </row>
    <row r="24" customFormat="false" ht="12.8" hidden="false" customHeight="false" outlineLevel="0" collapsed="false">
      <c r="A24" s="3"/>
      <c r="B24" s="1" t="s">
        <v>31</v>
      </c>
      <c r="C24" s="1" t="n">
        <v>0.004</v>
      </c>
    </row>
    <row r="25" customFormat="false" ht="12.8" hidden="false" customHeight="false" outlineLevel="0" collapsed="false">
      <c r="A25" s="3"/>
      <c r="B25" s="1" t="s">
        <v>11</v>
      </c>
      <c r="C25" s="1" t="n">
        <v>0.44</v>
      </c>
      <c r="D25" s="1" t="n">
        <v>5600</v>
      </c>
      <c r="E25" s="1" t="s">
        <v>32</v>
      </c>
    </row>
    <row r="26" customFormat="false" ht="12.8" hidden="false" customHeight="false" outlineLevel="0" collapsed="false">
      <c r="A26" s="3"/>
      <c r="B26" s="1" t="s">
        <v>33</v>
      </c>
      <c r="C26" s="1" t="n">
        <f aca="false">ROUND(SQRT(B23^3/B4)*365.25,2)</f>
        <v>47.69</v>
      </c>
      <c r="D26" s="1" t="s">
        <v>34</v>
      </c>
      <c r="E26" s="1" t="n">
        <f aca="false">ROUND(C26/365.25,2)</f>
        <v>0.13</v>
      </c>
      <c r="F26" s="1" t="s">
        <v>35</v>
      </c>
    </row>
    <row r="27" customFormat="false" ht="12.8" hidden="false" customHeight="false" outlineLevel="0" collapsed="false">
      <c r="A27" s="3"/>
      <c r="B27" s="1" t="s">
        <v>36</v>
      </c>
      <c r="D27" s="1" t="s">
        <v>37</v>
      </c>
    </row>
    <row r="28" customFormat="false" ht="12.8" hidden="false" customHeight="false" outlineLevel="0" collapsed="false">
      <c r="A28" s="3"/>
      <c r="B28" s="1" t="s">
        <v>38</v>
      </c>
      <c r="C28" s="1" t="n">
        <v>0</v>
      </c>
    </row>
    <row r="29" customFormat="false" ht="12.8" hidden="false" customHeight="false" outlineLevel="0" collapsed="false">
      <c r="A29" s="3"/>
      <c r="B29" s="1" t="s">
        <v>39</v>
      </c>
      <c r="C29" s="1" t="s">
        <v>40</v>
      </c>
    </row>
    <row r="30" customFormat="false" ht="12.8" hidden="false" customHeight="false" outlineLevel="0" collapsed="false">
      <c r="A30" s="3"/>
      <c r="B30" s="1" t="s">
        <v>41</v>
      </c>
      <c r="C30" s="1" t="n">
        <v>0.56</v>
      </c>
      <c r="D30" s="1" t="s">
        <v>42</v>
      </c>
    </row>
    <row r="31" customFormat="false" ht="12.8" hidden="false" customHeight="false" outlineLevel="0" collapsed="false">
      <c r="A31" s="3"/>
      <c r="B31" s="1" t="s">
        <v>5</v>
      </c>
      <c r="C31" s="7" t="n">
        <f aca="false">C30*(D25/12742)^3</f>
        <v>0.0475378248065565</v>
      </c>
      <c r="D31" s="1" t="s">
        <v>42</v>
      </c>
    </row>
    <row r="32" customFormat="false" ht="12.8" hidden="false" customHeight="false" outlineLevel="0" collapsed="false">
      <c r="A32" s="3"/>
      <c r="B32" s="1" t="s">
        <v>43</v>
      </c>
      <c r="C32" s="7" t="n">
        <f aca="false">C30*D25/12742</f>
        <v>0.246115209543243</v>
      </c>
      <c r="D32" s="1" t="s">
        <v>44</v>
      </c>
    </row>
    <row r="33" customFormat="false" ht="12.8" hidden="false" customHeight="false" outlineLevel="0" collapsed="false">
      <c r="A33" s="3"/>
      <c r="B33" s="1" t="s">
        <v>45</v>
      </c>
      <c r="C33" s="8" t="n">
        <f aca="false">SQRT(C31/C25)*11186/1000</f>
        <v>3.67678410598446</v>
      </c>
      <c r="D33" s="1" t="s">
        <v>46</v>
      </c>
    </row>
    <row r="34" customFormat="false" ht="12.8" hidden="false" customHeight="false" outlineLevel="0" collapsed="false">
      <c r="A34" s="3"/>
      <c r="B34" s="1" t="s">
        <v>47</v>
      </c>
      <c r="C34" s="8" t="n">
        <f aca="false">C33/SQRT(2)</f>
        <v>2.59987897430053</v>
      </c>
      <c r="D34" s="1" t="s">
        <v>46</v>
      </c>
    </row>
    <row r="35" customFormat="false" ht="12.8" hidden="false" customHeight="false" outlineLevel="0" collapsed="false">
      <c r="A35" s="3"/>
      <c r="B35" s="1" t="s">
        <v>48</v>
      </c>
    </row>
    <row r="36" customFormat="false" ht="12.8" hidden="false" customHeight="false" outlineLevel="0" collapsed="false">
      <c r="A36" s="4"/>
    </row>
    <row r="37" customFormat="false" ht="12.8" hidden="false" customHeight="false" outlineLevel="0" collapsed="false">
      <c r="A37" s="3" t="n">
        <v>1</v>
      </c>
      <c r="B37" s="1" t="n">
        <v>0.32</v>
      </c>
      <c r="C37" s="1" t="s">
        <v>49</v>
      </c>
      <c r="D37" s="1" t="s">
        <v>50</v>
      </c>
      <c r="E37" s="1" t="s">
        <v>51</v>
      </c>
    </row>
    <row r="38" customFormat="false" ht="12.8" hidden="false" customHeight="false" outlineLevel="0" collapsed="false">
      <c r="A38" s="3"/>
      <c r="B38" s="1" t="s">
        <v>31</v>
      </c>
      <c r="C38" s="1" t="n">
        <v>0.02</v>
      </c>
    </row>
    <row r="39" customFormat="false" ht="12.8" hidden="false" customHeight="false" outlineLevel="0" collapsed="false">
      <c r="A39" s="3"/>
      <c r="B39" s="1" t="s">
        <v>11</v>
      </c>
      <c r="C39" s="1" t="n">
        <f aca="false">ROUND(D39/12742,2)</f>
        <v>0.32</v>
      </c>
      <c r="D39" s="1" t="n">
        <v>4100</v>
      </c>
      <c r="E39" s="1" t="s">
        <v>32</v>
      </c>
    </row>
    <row r="40" customFormat="false" ht="12.8" hidden="false" customHeight="false" outlineLevel="0" collapsed="false">
      <c r="A40" s="3"/>
      <c r="B40" s="1" t="s">
        <v>33</v>
      </c>
      <c r="C40" s="1" t="n">
        <f aca="false">ROUND(SQRT(B37^3/$B$4)*365.25,2)</f>
        <v>73.42</v>
      </c>
      <c r="D40" s="1" t="s">
        <v>34</v>
      </c>
      <c r="E40" s="1" t="n">
        <f aca="false">ROUND(C40/365.25,2)</f>
        <v>0.2</v>
      </c>
      <c r="F40" s="1" t="s">
        <v>35</v>
      </c>
    </row>
    <row r="41" customFormat="false" ht="12.8" hidden="false" customHeight="false" outlineLevel="0" collapsed="false">
      <c r="A41" s="3"/>
      <c r="B41" s="1" t="s">
        <v>36</v>
      </c>
      <c r="D41" s="1" t="s">
        <v>37</v>
      </c>
    </row>
    <row r="42" customFormat="false" ht="12.8" hidden="false" customHeight="false" outlineLevel="0" collapsed="false">
      <c r="A42" s="3"/>
      <c r="B42" s="1" t="s">
        <v>38</v>
      </c>
      <c r="C42" s="1" t="n">
        <v>0</v>
      </c>
    </row>
    <row r="43" customFormat="false" ht="12.8" hidden="false" customHeight="false" outlineLevel="0" collapsed="false">
      <c r="A43" s="3"/>
      <c r="B43" s="1" t="s">
        <v>39</v>
      </c>
      <c r="C43" s="1" t="s">
        <v>40</v>
      </c>
    </row>
    <row r="44" customFormat="false" ht="12.8" hidden="false" customHeight="false" outlineLevel="0" collapsed="false">
      <c r="A44" s="3"/>
      <c r="B44" s="1" t="s">
        <v>41</v>
      </c>
      <c r="C44" s="1" t="n">
        <v>0.8</v>
      </c>
      <c r="D44" s="1" t="s">
        <v>42</v>
      </c>
    </row>
    <row r="45" customFormat="false" ht="12.8" hidden="false" customHeight="false" outlineLevel="0" collapsed="false">
      <c r="A45" s="3"/>
      <c r="B45" s="1" t="s">
        <v>5</v>
      </c>
      <c r="C45" s="7" t="n">
        <f aca="false">C44*(D39/12742)^3</f>
        <v>0.0266519355826079</v>
      </c>
      <c r="D45" s="1" t="s">
        <v>42</v>
      </c>
    </row>
    <row r="46" customFormat="false" ht="12.8" hidden="false" customHeight="false" outlineLevel="0" collapsed="false">
      <c r="A46" s="3"/>
      <c r="B46" s="1" t="s">
        <v>43</v>
      </c>
      <c r="C46" s="7" t="n">
        <f aca="false">C44*D39/12742</f>
        <v>0.257416418144718</v>
      </c>
      <c r="D46" s="1" t="s">
        <v>44</v>
      </c>
    </row>
    <row r="47" customFormat="false" ht="12.8" hidden="false" customHeight="false" outlineLevel="0" collapsed="false">
      <c r="A47" s="3"/>
      <c r="B47" s="1" t="s">
        <v>45</v>
      </c>
      <c r="C47" s="8" t="n">
        <f aca="false">SQRT(C45/C39)*11186/1000</f>
        <v>3.22822802413675</v>
      </c>
      <c r="D47" s="1" t="s">
        <v>46</v>
      </c>
    </row>
    <row r="48" customFormat="false" ht="12.8" hidden="false" customHeight="false" outlineLevel="0" collapsed="false">
      <c r="A48" s="3"/>
      <c r="B48" s="1" t="s">
        <v>47</v>
      </c>
      <c r="C48" s="8" t="n">
        <f aca="false">C47/SQRT(2)</f>
        <v>2.28270192708355</v>
      </c>
      <c r="D48" s="1" t="s">
        <v>46</v>
      </c>
    </row>
    <row r="49" customFormat="false" ht="12.8" hidden="false" customHeight="false" outlineLevel="0" collapsed="false">
      <c r="A49" s="3"/>
      <c r="B49" s="1" t="s">
        <v>48</v>
      </c>
    </row>
    <row r="50" customFormat="false" ht="12.8" hidden="false" customHeight="false" outlineLevel="0" collapsed="false">
      <c r="A50" s="4"/>
    </row>
    <row r="51" customFormat="false" ht="24.25" hidden="false" customHeight="false" outlineLevel="0" collapsed="false">
      <c r="A51" s="6" t="s">
        <v>52</v>
      </c>
    </row>
    <row r="52" customFormat="false" ht="12.8" hidden="false" customHeight="false" outlineLevel="0" collapsed="false">
      <c r="A52" s="3" t="n">
        <v>2</v>
      </c>
      <c r="B52" s="1" t="n">
        <v>0.77</v>
      </c>
      <c r="C52" s="1" t="s">
        <v>53</v>
      </c>
      <c r="D52" s="1" t="s">
        <v>54</v>
      </c>
      <c r="E52" s="1" t="s">
        <v>55</v>
      </c>
    </row>
    <row r="53" customFormat="false" ht="12.8" hidden="false" customHeight="false" outlineLevel="0" collapsed="false">
      <c r="A53" s="3"/>
      <c r="B53" s="1" t="s">
        <v>31</v>
      </c>
    </row>
    <row r="54" customFormat="false" ht="12.8" hidden="false" customHeight="false" outlineLevel="0" collapsed="false">
      <c r="A54" s="3"/>
      <c r="B54" s="1" t="s">
        <v>11</v>
      </c>
      <c r="C54" s="1" t="n">
        <f aca="false">ROUND(D54/12742,3)</f>
        <v>0.755</v>
      </c>
      <c r="D54" s="1" t="n">
        <v>9620</v>
      </c>
      <c r="E54" s="1" t="s">
        <v>32</v>
      </c>
    </row>
    <row r="55" customFormat="false" ht="12.8" hidden="false" customHeight="false" outlineLevel="0" collapsed="false">
      <c r="A55" s="3"/>
      <c r="B55" s="1" t="s">
        <v>33</v>
      </c>
      <c r="C55" s="1" t="n">
        <f aca="false">ROUND(SQRT(B52^3/$B$4)*365.25,2)</f>
        <v>274.04</v>
      </c>
      <c r="D55" s="1" t="s">
        <v>34</v>
      </c>
      <c r="E55" s="1" t="n">
        <f aca="false">ROUND(C55/365.25,2)</f>
        <v>0.75</v>
      </c>
      <c r="F55" s="1" t="s">
        <v>35</v>
      </c>
    </row>
    <row r="56" customFormat="false" ht="12.8" hidden="false" customHeight="false" outlineLevel="0" collapsed="false">
      <c r="A56" s="3"/>
      <c r="B56" s="1" t="s">
        <v>36</v>
      </c>
      <c r="D56" s="1" t="s">
        <v>37</v>
      </c>
    </row>
    <row r="57" customFormat="false" ht="12.8" hidden="false" customHeight="false" outlineLevel="0" collapsed="false">
      <c r="A57" s="3"/>
      <c r="B57" s="1" t="s">
        <v>38</v>
      </c>
      <c r="C57" s="1" t="n">
        <v>1</v>
      </c>
      <c r="D57" s="1" t="s">
        <v>56</v>
      </c>
    </row>
    <row r="58" customFormat="false" ht="12.8" hidden="false" customHeight="false" outlineLevel="0" collapsed="false">
      <c r="A58" s="3"/>
      <c r="B58" s="1" t="s">
        <v>39</v>
      </c>
      <c r="C58" s="1" t="s">
        <v>57</v>
      </c>
    </row>
    <row r="59" customFormat="false" ht="12.8" hidden="false" customHeight="false" outlineLevel="0" collapsed="false">
      <c r="A59" s="3"/>
      <c r="B59" s="1" t="s">
        <v>41</v>
      </c>
      <c r="C59" s="1" t="n">
        <v>0.8</v>
      </c>
      <c r="D59" s="1" t="s">
        <v>42</v>
      </c>
    </row>
    <row r="60" customFormat="false" ht="12.8" hidden="false" customHeight="false" outlineLevel="0" collapsed="false">
      <c r="A60" s="3"/>
      <c r="B60" s="1" t="s">
        <v>5</v>
      </c>
      <c r="C60" s="7" t="n">
        <f aca="false">C59*(D54/12742)^3</f>
        <v>0.344272553592158</v>
      </c>
      <c r="D60" s="1" t="s">
        <v>42</v>
      </c>
    </row>
    <row r="61" customFormat="false" ht="12.8" hidden="false" customHeight="false" outlineLevel="0" collapsed="false">
      <c r="A61" s="3"/>
      <c r="B61" s="1" t="s">
        <v>43</v>
      </c>
      <c r="C61" s="7" t="n">
        <f aca="false">C59*D54/12742</f>
        <v>0.603986815256632</v>
      </c>
      <c r="D61" s="1" t="s">
        <v>44</v>
      </c>
    </row>
    <row r="62" customFormat="false" ht="12.8" hidden="false" customHeight="false" outlineLevel="0" collapsed="false">
      <c r="A62" s="3"/>
      <c r="B62" s="1" t="s">
        <v>45</v>
      </c>
      <c r="C62" s="8" t="n">
        <f aca="false">SQRT(C60/C54)*11186/1000</f>
        <v>7.55357489394456</v>
      </c>
      <c r="D62" s="1" t="s">
        <v>46</v>
      </c>
    </row>
    <row r="63" customFormat="false" ht="12.8" hidden="false" customHeight="false" outlineLevel="0" collapsed="false">
      <c r="A63" s="3"/>
      <c r="B63" s="1" t="s">
        <v>47</v>
      </c>
      <c r="C63" s="8" t="n">
        <f aca="false">C62/SQRT(2)</f>
        <v>5.34118402970865</v>
      </c>
      <c r="D63" s="1" t="s">
        <v>46</v>
      </c>
    </row>
    <row r="64" customFormat="false" ht="12.8" hidden="false" customHeight="false" outlineLevel="0" collapsed="false">
      <c r="A64" s="3"/>
      <c r="B64" s="1" t="s">
        <v>48</v>
      </c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9" t="s">
        <v>58</v>
      </c>
    </row>
    <row r="67" customFormat="false" ht="12.8" hidden="false" customHeight="false" outlineLevel="0" collapsed="false">
      <c r="A67" s="3" t="n">
        <v>3</v>
      </c>
      <c r="B67" s="1" t="n">
        <v>1</v>
      </c>
      <c r="C67" s="1" t="s">
        <v>59</v>
      </c>
      <c r="D67" s="1" t="s">
        <v>60</v>
      </c>
      <c r="E67" s="1" t="s">
        <v>61</v>
      </c>
    </row>
    <row r="68" customFormat="false" ht="12.8" hidden="false" customHeight="false" outlineLevel="0" collapsed="false">
      <c r="A68" s="3"/>
      <c r="B68" s="1" t="s">
        <v>62</v>
      </c>
      <c r="C68" s="1" t="n">
        <v>0.52</v>
      </c>
    </row>
    <row r="69" customFormat="false" ht="12.8" hidden="false" customHeight="false" outlineLevel="0" collapsed="false">
      <c r="A69" s="3"/>
      <c r="B69" s="1" t="s">
        <v>39</v>
      </c>
      <c r="C69" s="1" t="n">
        <v>0.2</v>
      </c>
      <c r="D69" s="1" t="s">
        <v>63</v>
      </c>
    </row>
    <row r="70" customFormat="false" ht="12.8" hidden="false" customHeight="false" outlineLevel="0" collapsed="false">
      <c r="C70" s="1" t="n">
        <v>0.8</v>
      </c>
      <c r="D70" s="1" t="s">
        <v>64</v>
      </c>
    </row>
    <row r="71" customFormat="false" ht="12.8" hidden="false" customHeight="false" outlineLevel="0" collapsed="false">
      <c r="A71" s="4"/>
      <c r="B71" s="1" t="s">
        <v>65</v>
      </c>
      <c r="C71" s="1" t="n">
        <v>5</v>
      </c>
    </row>
    <row r="72" customFormat="false" ht="12.8" hidden="false" customHeight="false" outlineLevel="0" collapsed="false">
      <c r="A72" s="3"/>
      <c r="B72" s="1" t="s">
        <v>66</v>
      </c>
      <c r="C72" s="1" t="n">
        <v>2</v>
      </c>
    </row>
    <row r="73" customFormat="false" ht="12.8" hidden="false" customHeight="false" outlineLevel="0" collapsed="false">
      <c r="A73" s="3"/>
      <c r="B73" s="1" t="s">
        <v>67</v>
      </c>
      <c r="C73" s="1" t="n">
        <v>0</v>
      </c>
    </row>
    <row r="74" customFormat="false" ht="12.8" hidden="false" customHeight="false" outlineLevel="0" collapsed="false">
      <c r="A74" s="3"/>
      <c r="B74" s="1" t="s">
        <v>68</v>
      </c>
      <c r="C74" s="1" t="n">
        <v>0</v>
      </c>
    </row>
    <row r="75" customFormat="false" ht="12.8" hidden="false" customHeight="false" outlineLevel="0" collapsed="false">
      <c r="A75" s="3" t="s">
        <v>69</v>
      </c>
    </row>
    <row r="76" customFormat="false" ht="12.8" hidden="false" customHeight="false" outlineLevel="0" collapsed="false">
      <c r="A76" s="3" t="n">
        <v>4</v>
      </c>
      <c r="B76" s="1" t="n">
        <v>1.76</v>
      </c>
      <c r="C76" s="1" t="s">
        <v>70</v>
      </c>
      <c r="D76" s="1" t="s">
        <v>71</v>
      </c>
    </row>
    <row r="77" customFormat="false" ht="12.8" hidden="false" customHeight="false" outlineLevel="0" collapsed="false">
      <c r="A77" s="3"/>
      <c r="B77" s="1" t="s">
        <v>31</v>
      </c>
      <c r="C77" s="1" t="n">
        <v>0.003</v>
      </c>
    </row>
    <row r="78" customFormat="false" ht="12.8" hidden="false" customHeight="false" outlineLevel="0" collapsed="false">
      <c r="A78" s="3"/>
      <c r="B78" s="1" t="s">
        <v>33</v>
      </c>
      <c r="C78" s="1" t="n">
        <f aca="false">ROUND(SQRT(B76^3/$B$4)*365.25,2)</f>
        <v>947</v>
      </c>
      <c r="D78" s="1" t="s">
        <v>34</v>
      </c>
    </row>
    <row r="79" customFormat="false" ht="12.8" hidden="false" customHeight="false" outlineLevel="0" collapsed="false">
      <c r="A79" s="3"/>
      <c r="B79" s="1" t="s">
        <v>36</v>
      </c>
    </row>
    <row r="80" customFormat="false" ht="12.8" hidden="false" customHeight="false" outlineLevel="0" collapsed="false">
      <c r="A80" s="3"/>
      <c r="B80" s="1" t="s">
        <v>38</v>
      </c>
      <c r="C80" s="1" t="n">
        <v>10</v>
      </c>
    </row>
    <row r="81" customFormat="false" ht="12.8" hidden="false" customHeight="false" outlineLevel="0" collapsed="false">
      <c r="A81" s="3"/>
      <c r="B81" s="1" t="s">
        <v>41</v>
      </c>
    </row>
    <row r="82" customFormat="false" ht="12.8" hidden="false" customHeight="false" outlineLevel="0" collapsed="false">
      <c r="A82" s="3"/>
      <c r="B82" s="1" t="s">
        <v>5</v>
      </c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  <row r="87" customFormat="false" ht="12.8" hidden="false" customHeight="false" outlineLevel="0" collapsed="false">
      <c r="A87" s="4"/>
    </row>
    <row r="88" customFormat="false" ht="12.8" hidden="false" customHeight="false" outlineLevel="0" collapsed="false">
      <c r="A88" s="3" t="n">
        <v>5</v>
      </c>
      <c r="B88" s="1" t="n">
        <v>2.8</v>
      </c>
      <c r="C88" s="1" t="s">
        <v>72</v>
      </c>
    </row>
    <row r="89" customFormat="false" ht="12.8" hidden="false" customHeight="false" outlineLevel="0" collapsed="false">
      <c r="A89" s="4"/>
    </row>
    <row r="90" customFormat="false" ht="12.8" hidden="false" customHeight="false" outlineLevel="0" collapsed="false">
      <c r="A90" s="3" t="n">
        <v>6</v>
      </c>
      <c r="B90" s="1" t="n">
        <v>4.16</v>
      </c>
      <c r="C90" s="1" t="s">
        <v>73</v>
      </c>
      <c r="D90" s="1" t="s">
        <v>74</v>
      </c>
      <c r="E90" s="1" t="s">
        <v>75</v>
      </c>
    </row>
    <row r="91" customFormat="false" ht="12.8" hidden="false" customHeight="false" outlineLevel="0" collapsed="false">
      <c r="A91" s="3"/>
      <c r="B91" s="1" t="s">
        <v>31</v>
      </c>
      <c r="C91" s="1" t="n">
        <v>0.05</v>
      </c>
    </row>
    <row r="92" customFormat="false" ht="12.8" hidden="false" customHeight="false" outlineLevel="0" collapsed="false">
      <c r="A92" s="3"/>
      <c r="B92" s="1" t="s">
        <v>11</v>
      </c>
      <c r="C92" s="1" t="n">
        <f aca="false">ROUND(D92/12742,3)</f>
        <v>0.494</v>
      </c>
      <c r="D92" s="1" t="n">
        <v>6300</v>
      </c>
      <c r="E92" s="1" t="s">
        <v>32</v>
      </c>
    </row>
    <row r="93" customFormat="false" ht="12.8" hidden="false" customHeight="false" outlineLevel="0" collapsed="false">
      <c r="A93" s="3"/>
      <c r="B93" s="1" t="s">
        <v>33</v>
      </c>
      <c r="C93" s="1" t="n">
        <f aca="false">ROUND(SQRT(B90^3/$B$4)*365.25,2)</f>
        <v>3441.28</v>
      </c>
      <c r="D93" s="1" t="s">
        <v>34</v>
      </c>
      <c r="E93" s="1" t="n">
        <f aca="false">ROUND(C93/365.25,2)</f>
        <v>9.42</v>
      </c>
      <c r="F93" s="1" t="s">
        <v>35</v>
      </c>
    </row>
    <row r="94" customFormat="false" ht="12.8" hidden="false" customHeight="false" outlineLevel="0" collapsed="false">
      <c r="A94" s="3"/>
      <c r="B94" s="1" t="s">
        <v>36</v>
      </c>
      <c r="D94" s="1" t="s">
        <v>37</v>
      </c>
    </row>
    <row r="95" customFormat="false" ht="12.8" hidden="false" customHeight="false" outlineLevel="0" collapsed="false">
      <c r="A95" s="3"/>
      <c r="B95" s="1" t="s">
        <v>38</v>
      </c>
      <c r="C95" s="1" t="n">
        <v>0</v>
      </c>
    </row>
    <row r="96" customFormat="false" ht="12.8" hidden="false" customHeight="false" outlineLevel="0" collapsed="false">
      <c r="A96" s="3"/>
      <c r="B96" s="1" t="s">
        <v>39</v>
      </c>
      <c r="C96" s="1" t="s">
        <v>76</v>
      </c>
    </row>
    <row r="97" customFormat="false" ht="12.8" hidden="false" customHeight="false" outlineLevel="0" collapsed="false">
      <c r="A97" s="3"/>
      <c r="B97" s="1" t="s">
        <v>41</v>
      </c>
      <c r="C97" s="1" t="n">
        <v>0.36</v>
      </c>
      <c r="D97" s="1" t="s">
        <v>42</v>
      </c>
    </row>
    <row r="98" customFormat="false" ht="12.8" hidden="false" customHeight="false" outlineLevel="0" collapsed="false">
      <c r="A98" s="3"/>
      <c r="B98" s="1" t="s">
        <v>5</v>
      </c>
      <c r="C98" s="7" t="n">
        <f aca="false">C97*(D92/12742)^3</f>
        <v>0.0435122305462915</v>
      </c>
      <c r="D98" s="1" t="s">
        <v>42</v>
      </c>
    </row>
    <row r="99" customFormat="false" ht="12.8" hidden="false" customHeight="false" outlineLevel="0" collapsed="false">
      <c r="A99" s="3"/>
      <c r="B99" s="1" t="s">
        <v>43</v>
      </c>
      <c r="C99" s="7" t="n">
        <f aca="false">C97*D92/12742</f>
        <v>0.177994035473238</v>
      </c>
      <c r="D99" s="1" t="s">
        <v>44</v>
      </c>
    </row>
    <row r="100" customFormat="false" ht="12.8" hidden="false" customHeight="false" outlineLevel="0" collapsed="false">
      <c r="A100" s="3"/>
      <c r="B100" s="1" t="s">
        <v>45</v>
      </c>
      <c r="C100" s="8" t="n">
        <f aca="false">SQRT(C98/C92)*11186/1000</f>
        <v>3.31983893462798</v>
      </c>
      <c r="D100" s="1" t="s">
        <v>46</v>
      </c>
    </row>
    <row r="101" customFormat="false" ht="12.8" hidden="false" customHeight="false" outlineLevel="0" collapsed="false">
      <c r="A101" s="3"/>
      <c r="B101" s="1" t="s">
        <v>47</v>
      </c>
      <c r="C101" s="8" t="n">
        <f aca="false">C100/SQRT(2)</f>
        <v>2.34748062312256</v>
      </c>
      <c r="D101" s="1" t="s">
        <v>46</v>
      </c>
    </row>
    <row r="102" customFormat="false" ht="12.8" hidden="false" customHeight="false" outlineLevel="0" collapsed="false">
      <c r="B102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4.79"/>
    <col collapsed="false" customWidth="true" hidden="false" outlineLevel="0" max="3" min="3" style="0" width="7.71"/>
    <col collapsed="false" customWidth="true" hidden="false" outlineLevel="0" max="4" min="4" style="0" width="6.96"/>
    <col collapsed="false" customWidth="true" hidden="false" outlineLevel="0" max="5" min="5" style="0" width="7.61"/>
    <col collapsed="false" customWidth="true" hidden="false" outlineLevel="0" max="6" min="6" style="0" width="9.05"/>
    <col collapsed="false" customWidth="true" hidden="false" outlineLevel="0" max="7" min="7" style="0" width="12.63"/>
    <col collapsed="false" customWidth="true" hidden="false" outlineLevel="0" max="9" min="8" style="0" width="12.71"/>
    <col collapsed="false" customWidth="true" hidden="false" outlineLevel="0" max="10" min="10" style="0" width="13.16"/>
    <col collapsed="false" customWidth="true" hidden="false" outlineLevel="0" max="11" min="11" style="0" width="7.77"/>
    <col collapsed="false" customWidth="true" hidden="false" outlineLevel="0" max="12" min="12" style="0" width="6.4"/>
    <col collapsed="false" customWidth="true" hidden="false" outlineLevel="0" max="13" min="13" style="0" width="9.79"/>
    <col collapsed="false" customWidth="true" hidden="false" outlineLevel="0" max="14" min="14" style="0" width="12.53"/>
    <col collapsed="false" customWidth="true" hidden="false" outlineLevel="0" max="16" min="16" style="0" width="5.66"/>
  </cols>
  <sheetData>
    <row r="1" customFormat="false" ht="12.8" hidden="false" customHeight="false" outlineLevel="0" collapsed="false">
      <c r="A1" s="10" t="s">
        <v>77</v>
      </c>
      <c r="B1" s="10" t="s">
        <v>78</v>
      </c>
      <c r="C1" s="10" t="s">
        <v>79</v>
      </c>
      <c r="D1" s="10" t="s">
        <v>80</v>
      </c>
      <c r="E1" s="10" t="s">
        <v>81</v>
      </c>
      <c r="F1" s="10" t="s">
        <v>82</v>
      </c>
      <c r="G1" s="10" t="s">
        <v>12</v>
      </c>
      <c r="H1" s="10" t="s">
        <v>83</v>
      </c>
      <c r="I1" s="10" t="s">
        <v>14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</row>
    <row r="2" customFormat="false" ht="12.8" hidden="false" customHeight="false" outlineLevel="0" collapsed="false">
      <c r="A2" s="0" t="s">
        <v>2</v>
      </c>
      <c r="B2" s="0" t="s">
        <v>89</v>
      </c>
      <c r="C2" s="0" t="s">
        <v>90</v>
      </c>
      <c r="D2" s="0" t="n">
        <v>0.811</v>
      </c>
      <c r="E2" s="0" t="n">
        <v>5270</v>
      </c>
      <c r="F2" s="0" t="n">
        <v>0.908</v>
      </c>
      <c r="G2" s="0" t="n">
        <f aca="false">ROUND(F2^2*(E2/5772)^4,2)</f>
        <v>0.57</v>
      </c>
      <c r="H2" s="0" t="s">
        <v>91</v>
      </c>
      <c r="I2" s="0" t="s">
        <v>91</v>
      </c>
      <c r="J2" s="0" t="s">
        <v>91</v>
      </c>
      <c r="K2" s="0" t="n">
        <v>0.02</v>
      </c>
      <c r="L2" s="0" t="n">
        <v>0.72</v>
      </c>
      <c r="N2" s="0" t="n">
        <v>3.41</v>
      </c>
    </row>
    <row r="10" s="11" customFormat="true" ht="12.8" hidden="false" customHeight="false" outlineLevel="0" collapsed="false">
      <c r="A10" s="10" t="s">
        <v>92</v>
      </c>
      <c r="B10" s="10" t="s">
        <v>93</v>
      </c>
      <c r="C10" s="10" t="s">
        <v>94</v>
      </c>
      <c r="D10" s="10" t="s">
        <v>95</v>
      </c>
      <c r="E10" s="10" t="s">
        <v>14</v>
      </c>
      <c r="F10" s="10" t="s">
        <v>96</v>
      </c>
      <c r="G10" s="10" t="s">
        <v>97</v>
      </c>
      <c r="H10" s="10" t="s">
        <v>98</v>
      </c>
      <c r="I10" s="10" t="s">
        <v>99</v>
      </c>
      <c r="J10" s="10" t="s">
        <v>100</v>
      </c>
      <c r="K10" s="10" t="s">
        <v>101</v>
      </c>
      <c r="L10" s="10" t="s">
        <v>80</v>
      </c>
      <c r="M10" s="10" t="s">
        <v>102</v>
      </c>
      <c r="N10" s="10" t="s">
        <v>103</v>
      </c>
      <c r="O10" s="10" t="s">
        <v>104</v>
      </c>
      <c r="P10" s="10" t="s">
        <v>105</v>
      </c>
    </row>
    <row r="11" customFormat="false" ht="12.8" hidden="false" customHeight="false" outlineLevel="0" collapsed="false">
      <c r="A11" s="1" t="s">
        <v>28</v>
      </c>
      <c r="B11" s="0" t="s">
        <v>89</v>
      </c>
      <c r="C11" s="0" t="s">
        <v>106</v>
      </c>
      <c r="D11" s="0" t="n">
        <v>0.2</v>
      </c>
      <c r="E11" s="12" t="n">
        <v>0.24</v>
      </c>
      <c r="F11" s="13" t="n">
        <v>0.004</v>
      </c>
      <c r="G11" s="12" t="n">
        <f aca="false">ROUND(SQRT(E11^3/$D$2)*365.25,2)</f>
        <v>47.69</v>
      </c>
      <c r="H11" s="12" t="n">
        <f aca="false">ROUND(SQRT(E11^3/$D$2),3)</f>
        <v>0.131</v>
      </c>
      <c r="I11" s="0" t="n">
        <v>5600</v>
      </c>
      <c r="J11" s="0" t="s">
        <v>107</v>
      </c>
      <c r="K11" s="12" t="n">
        <v>0.56</v>
      </c>
      <c r="L11" s="13" t="n">
        <f aca="false">K11*(I11/12742)^3</f>
        <v>0.0475378248065565</v>
      </c>
      <c r="M11" s="13" t="n">
        <f aca="false">K11*I11/12742</f>
        <v>0.246115209543243</v>
      </c>
      <c r="N11" s="12" t="n">
        <f aca="false">SQRT(L11/(I11/12742))*11186</f>
        <v>3678.91077318064</v>
      </c>
      <c r="O11" s="0" t="n">
        <f aca="false">ROUND(N11/SQRT(2),2)</f>
        <v>2601.38</v>
      </c>
      <c r="P11" s="0" t="n">
        <v>0</v>
      </c>
    </row>
    <row r="12" customFormat="false" ht="12.8" hidden="false" customHeight="false" outlineLevel="0" collapsed="false">
      <c r="A12" s="1" t="s">
        <v>49</v>
      </c>
      <c r="B12" s="0" t="s">
        <v>89</v>
      </c>
      <c r="C12" s="0" t="s">
        <v>108</v>
      </c>
      <c r="D12" s="0" t="n">
        <v>0.8</v>
      </c>
      <c r="E12" s="12" t="n">
        <v>0.32</v>
      </c>
      <c r="F12" s="13" t="n">
        <v>0.02</v>
      </c>
      <c r="G12" s="12" t="n">
        <f aca="false">ROUND(SQRT(E12^3/$D$2)*365.25,2)</f>
        <v>73.42</v>
      </c>
      <c r="H12" s="12" t="n">
        <f aca="false">ROUND(SQRT(E12^3/$D$2),3)</f>
        <v>0.201</v>
      </c>
      <c r="I12" s="0" t="n">
        <v>4100</v>
      </c>
      <c r="J12" s="0" t="s">
        <v>107</v>
      </c>
      <c r="K12" s="12" t="n">
        <v>0.8</v>
      </c>
      <c r="L12" s="13" t="n">
        <f aca="false">K12*(I12/12742)^3</f>
        <v>0.0266519355826079</v>
      </c>
      <c r="M12" s="13" t="n">
        <f aca="false">K12*I12/12742</f>
        <v>0.257416418144718</v>
      </c>
      <c r="N12" s="12" t="n">
        <f aca="false">SQRT(L12/(I12/12742))*11186</f>
        <v>3219.33420891169</v>
      </c>
      <c r="O12" s="0" t="n">
        <f aca="false">ROUND(N12/SQRT(2),2)</f>
        <v>2276.41</v>
      </c>
      <c r="P12" s="0" t="n">
        <v>0</v>
      </c>
    </row>
    <row r="13" customFormat="false" ht="12.8" hidden="false" customHeight="false" outlineLevel="0" collapsed="false">
      <c r="A13" s="14" t="s">
        <v>53</v>
      </c>
      <c r="B13" s="0" t="s">
        <v>89</v>
      </c>
      <c r="C13" s="0" t="s">
        <v>109</v>
      </c>
      <c r="D13" s="0" t="n">
        <v>2.1</v>
      </c>
      <c r="E13" s="12" t="n">
        <v>0.77</v>
      </c>
      <c r="F13" s="13" t="n">
        <v>0.05</v>
      </c>
      <c r="G13" s="12" t="n">
        <f aca="false">ROUND(SQRT(E13^3/$D$2)*365.25,2)</f>
        <v>274.04</v>
      </c>
      <c r="H13" s="12" t="n">
        <f aca="false">ROUND(SQRT(E13^3/$D$2),3)</f>
        <v>0.75</v>
      </c>
      <c r="I13" s="0" t="n">
        <v>9620</v>
      </c>
      <c r="J13" s="0" t="s">
        <v>57</v>
      </c>
      <c r="K13" s="12" t="n">
        <v>1</v>
      </c>
      <c r="L13" s="13" t="n">
        <f aca="false">K13*(I13/12742)^3</f>
        <v>0.430340691990198</v>
      </c>
      <c r="M13" s="13" t="n">
        <f aca="false">K13*I13/12742</f>
        <v>0.75498351907079</v>
      </c>
      <c r="N13" s="12" t="n">
        <f aca="false">SQRT(L13/(I13/12742))*11186</f>
        <v>8445.24564432585</v>
      </c>
      <c r="O13" s="0" t="n">
        <f aca="false">ROUND(N13/SQRT(2),2)</f>
        <v>5971.69</v>
      </c>
      <c r="P13" s="0" t="n">
        <v>1</v>
      </c>
    </row>
    <row r="14" customFormat="false" ht="12.8" hidden="false" customHeight="false" outlineLevel="0" collapsed="false">
      <c r="A14" s="1" t="s">
        <v>59</v>
      </c>
      <c r="B14" s="0" t="s">
        <v>89</v>
      </c>
      <c r="C14" s="0" t="s">
        <v>110</v>
      </c>
      <c r="D14" s="0" t="n">
        <v>3</v>
      </c>
      <c r="E14" s="12" t="n">
        <v>1</v>
      </c>
      <c r="F14" s="13" t="s">
        <v>111</v>
      </c>
      <c r="G14" s="12" t="n">
        <f aca="false">ROUND(SQRT(E14^3/$D$2)*365.25,2)</f>
        <v>405.58</v>
      </c>
      <c r="H14" s="12" t="n">
        <f aca="false">ROUND(SQRT(E14^3/$D$2),3)</f>
        <v>1.11</v>
      </c>
      <c r="I14" s="0" t="n">
        <v>0</v>
      </c>
      <c r="J14" s="0" t="s">
        <v>112</v>
      </c>
      <c r="K14" s="12"/>
      <c r="L14" s="13"/>
      <c r="M14" s="13"/>
      <c r="N14" s="12"/>
      <c r="P14" s="0" t="n">
        <v>0</v>
      </c>
    </row>
    <row r="15" customFormat="false" ht="12.8" hidden="false" customHeight="false" outlineLevel="0" collapsed="false">
      <c r="A15" s="1" t="s">
        <v>70</v>
      </c>
      <c r="B15" s="0" t="s">
        <v>89</v>
      </c>
      <c r="C15" s="0" t="s">
        <v>113</v>
      </c>
      <c r="D15" s="0" t="n">
        <v>4.4</v>
      </c>
      <c r="E15" s="12" t="n">
        <v>1.76</v>
      </c>
      <c r="F15" s="13" t="n">
        <v>0.003</v>
      </c>
      <c r="G15" s="12" t="n">
        <f aca="false">ROUND(SQRT(E15^3/$D$2)*365.25,2)</f>
        <v>947</v>
      </c>
      <c r="H15" s="12" t="n">
        <f aca="false">ROUND(SQRT(E15^3/$D$2),3)</f>
        <v>2.593</v>
      </c>
      <c r="I15" s="0" t="s">
        <v>114</v>
      </c>
      <c r="K15" s="12"/>
      <c r="L15" s="13"/>
      <c r="M15" s="13"/>
      <c r="N15" s="12"/>
      <c r="P15" s="0" t="n">
        <v>10</v>
      </c>
    </row>
    <row r="16" customFormat="false" ht="12.8" hidden="false" customHeight="false" outlineLevel="0" collapsed="false">
      <c r="A16" s="1" t="s">
        <v>73</v>
      </c>
      <c r="B16" s="0" t="s">
        <v>89</v>
      </c>
      <c r="C16" s="0" t="s">
        <v>115</v>
      </c>
      <c r="D16" s="0" t="n">
        <v>5</v>
      </c>
      <c r="E16" s="0" t="n">
        <v>4.16</v>
      </c>
      <c r="F16" s="0" t="n">
        <v>0.05</v>
      </c>
      <c r="G16" s="0" t="n">
        <f aca="false">ROUND(H16*365.25,2)</f>
        <v>3441.39</v>
      </c>
      <c r="H16" s="12" t="n">
        <f aca="false">ROUND(SQRT(E16^3/$D$2),3)</f>
        <v>9.422</v>
      </c>
      <c r="I16" s="0" t="n">
        <v>6300</v>
      </c>
      <c r="J16" s="0" t="s">
        <v>76</v>
      </c>
      <c r="K16" s="0" t="n">
        <v>0.36</v>
      </c>
      <c r="L16" s="13" t="n">
        <f aca="false">K16*(I16/12742)^3</f>
        <v>0.0435122305462915</v>
      </c>
      <c r="M16" s="13" t="n">
        <f aca="false">K16*I16/12742</f>
        <v>0.177994035473238</v>
      </c>
      <c r="N16" s="12" t="n">
        <f aca="false">SQRT(L16/(I16/12742))*11186</f>
        <v>3318.40213467274</v>
      </c>
      <c r="O16" s="0" t="n">
        <f aca="false">ROUND(N16/SQRT(2),2)</f>
        <v>2346.46</v>
      </c>
      <c r="P1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true" showOutlineSymbols="true" defaultGridColor="true" view="normal" topLeftCell="A20" colorId="64" zoomScale="80" zoomScaleNormal="80" zoomScalePageLayoutView="100" workbookViewId="0">
      <selection pane="topLeft" activeCell="D48" activeCellId="0" sqref="D4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77"/>
    <col collapsed="false" customWidth="true" hidden="false" outlineLevel="0" max="2" min="2" style="0" width="15.73"/>
    <col collapsed="false" customWidth="true" hidden="false" outlineLevel="0" max="3" min="3" style="0" width="16.48"/>
    <col collapsed="false" customWidth="true" hidden="false" outlineLevel="0" max="4" min="4" style="0" width="15.59"/>
    <col collapsed="false" customWidth="true" hidden="false" outlineLevel="0" max="5" min="5" style="0" width="12.85"/>
    <col collapsed="false" customWidth="true" hidden="false" outlineLevel="0" max="6" min="6" style="0" width="12.46"/>
  </cols>
  <sheetData>
    <row r="1" customFormat="false" ht="12.8" hidden="false" customHeight="false" outlineLevel="0" collapsed="false">
      <c r="A1" s="11" t="s">
        <v>116</v>
      </c>
      <c r="B1" s="15" t="str">
        <f aca="false">'System Survey'!A13</f>
        <v>Zhdant</v>
      </c>
      <c r="C1" s="11" t="s">
        <v>117</v>
      </c>
      <c r="D1" s="16" t="s">
        <v>54</v>
      </c>
      <c r="E1" s="11" t="s">
        <v>118</v>
      </c>
      <c r="F1" s="15" t="s">
        <v>119</v>
      </c>
    </row>
    <row r="2" customFormat="false" ht="12.8" hidden="false" customHeight="false" outlineLevel="0" collapsed="false">
      <c r="A2" s="11" t="s">
        <v>120</v>
      </c>
      <c r="B2" s="15" t="str">
        <f aca="false">'System Survey'!A2</f>
        <v>Pliebr</v>
      </c>
      <c r="C2" s="11" t="s">
        <v>121</v>
      </c>
      <c r="D2" s="15" t="n">
        <f aca="false">'System Survey'!N2</f>
        <v>3.41</v>
      </c>
      <c r="E2" s="11" t="s">
        <v>122</v>
      </c>
      <c r="F2" s="15" t="s">
        <v>123</v>
      </c>
    </row>
    <row r="4" customFormat="false" ht="12.8" hidden="false" customHeight="false" outlineLevel="0" collapsed="false">
      <c r="A4" s="11" t="s">
        <v>124</v>
      </c>
      <c r="B4" s="15" t="n">
        <f aca="false">'System Survey'!D13</f>
        <v>2.1</v>
      </c>
      <c r="C4" s="11" t="s">
        <v>125</v>
      </c>
      <c r="D4" s="15"/>
      <c r="E4" s="15"/>
      <c r="F4" s="15"/>
    </row>
    <row r="5" customFormat="false" ht="12.8" hidden="false" customHeight="false" outlineLevel="0" collapsed="false">
      <c r="A5" s="11" t="s">
        <v>126</v>
      </c>
      <c r="B5" s="17" t="n">
        <f aca="false">'System Survey'!E13</f>
        <v>0.77</v>
      </c>
      <c r="C5" s="11" t="s">
        <v>127</v>
      </c>
      <c r="D5" s="0" t="n">
        <f aca="false">ROUND(18*PI()/180,3)</f>
        <v>0.314</v>
      </c>
      <c r="E5" s="11" t="s">
        <v>128</v>
      </c>
    </row>
    <row r="6" customFormat="false" ht="12.8" hidden="false" customHeight="false" outlineLevel="0" collapsed="false">
      <c r="A6" s="11" t="s">
        <v>31</v>
      </c>
      <c r="B6" s="18" t="n">
        <f aca="false">'System Survey'!F13</f>
        <v>0.05</v>
      </c>
      <c r="D6" s="0" t="n">
        <f aca="false">ROUND(D5*180/PI(),0)</f>
        <v>18</v>
      </c>
      <c r="E6" s="11" t="s">
        <v>129</v>
      </c>
    </row>
    <row r="7" customFormat="false" ht="12.8" hidden="false" customHeight="false" outlineLevel="0" collapsed="false">
      <c r="A7" s="11" t="s">
        <v>33</v>
      </c>
      <c r="B7" s="17" t="n">
        <f aca="false">'System Survey'!G13</f>
        <v>274.04</v>
      </c>
    </row>
    <row r="9" customFormat="false" ht="12.8" hidden="false" customHeight="false" outlineLevel="0" collapsed="false">
      <c r="A9" s="11" t="s">
        <v>130</v>
      </c>
      <c r="B9" s="11" t="s">
        <v>82</v>
      </c>
      <c r="C9" s="11" t="s">
        <v>100</v>
      </c>
      <c r="D9" s="11" t="s">
        <v>101</v>
      </c>
      <c r="E9" s="11" t="s">
        <v>131</v>
      </c>
      <c r="F9" s="11" t="s">
        <v>80</v>
      </c>
      <c r="G9" s="11" t="s">
        <v>132</v>
      </c>
      <c r="H9" s="11" t="s">
        <v>133</v>
      </c>
    </row>
    <row r="10" customFormat="false" ht="12.8" hidden="false" customHeight="false" outlineLevel="0" collapsed="false">
      <c r="B10" s="15" t="n">
        <f aca="false">'System Survey'!I13</f>
        <v>9620</v>
      </c>
      <c r="C10" s="15" t="str">
        <f aca="false">'System Survey'!J13</f>
        <v>rock and metal</v>
      </c>
      <c r="D10" s="17" t="n">
        <f aca="false">'System Survey'!K13</f>
        <v>1</v>
      </c>
      <c r="E10" s="18" t="n">
        <f aca="false">'System Survey'!M13</f>
        <v>0.75498351907079</v>
      </c>
      <c r="F10" s="18" t="n">
        <f aca="false">'System Survey'!L13</f>
        <v>0.430340691990198</v>
      </c>
      <c r="G10" s="17" t="n">
        <f aca="false">'System Survey'!N13/1000</f>
        <v>8.44524564432585</v>
      </c>
      <c r="H10" s="15" t="n">
        <f aca="false">ROUND(B10/1620,0)</f>
        <v>6</v>
      </c>
    </row>
    <row r="11" customFormat="false" ht="12.8" hidden="false" customHeight="false" outlineLevel="0" collapsed="false">
      <c r="A11" s="11" t="s">
        <v>125</v>
      </c>
      <c r="B11" s="15"/>
      <c r="C11" s="15"/>
      <c r="D11" s="15"/>
      <c r="E11" s="15"/>
      <c r="F11" s="15"/>
      <c r="G11" s="15"/>
    </row>
    <row r="13" customFormat="false" ht="12.8" hidden="false" customHeight="false" outlineLevel="0" collapsed="false">
      <c r="A13" s="11" t="s">
        <v>134</v>
      </c>
      <c r="B13" s="11" t="s">
        <v>135</v>
      </c>
      <c r="C13" s="11" t="s">
        <v>100</v>
      </c>
      <c r="D13" s="11" t="s">
        <v>136</v>
      </c>
      <c r="E13" s="11" t="s">
        <v>137</v>
      </c>
      <c r="F13" s="11" t="s">
        <v>138</v>
      </c>
      <c r="G13" s="11" t="s">
        <v>139</v>
      </c>
    </row>
    <row r="14" customFormat="false" ht="12.8" hidden="false" customHeight="false" outlineLevel="0" collapsed="false">
      <c r="B14" s="15" t="n">
        <f aca="false">0.43+0.27*7/30</f>
        <v>0.493</v>
      </c>
      <c r="C14" s="15" t="s">
        <v>140</v>
      </c>
      <c r="D14" s="15" t="n">
        <f aca="false">(5/20+5/100+5/20)*B14</f>
        <v>0.27115</v>
      </c>
      <c r="E14" s="15" t="n">
        <f aca="false">ROUND(8.5/E10,3)</f>
        <v>11.259</v>
      </c>
      <c r="F14" s="15" t="n">
        <f aca="false">ROUND(1000*F10/(9620/12742*C31),3)</f>
        <v>2.035</v>
      </c>
      <c r="G14" s="0" t="n">
        <f aca="false">B14*D14</f>
        <v>0.13367695</v>
      </c>
    </row>
    <row r="15" customFormat="false" ht="12.8" hidden="false" customHeight="false" outlineLevel="0" collapsed="false">
      <c r="A15" s="11" t="s">
        <v>141</v>
      </c>
      <c r="B15" s="19" t="s">
        <v>142</v>
      </c>
      <c r="C15" s="19"/>
      <c r="D15" s="19"/>
      <c r="E15" s="19"/>
      <c r="F15" s="19"/>
    </row>
    <row r="16" customFormat="false" ht="12.8" hidden="false" customHeight="false" outlineLevel="0" collapsed="false">
      <c r="A16" s="11" t="s">
        <v>125</v>
      </c>
      <c r="B16" s="19"/>
      <c r="C16" s="19"/>
      <c r="D16" s="19"/>
      <c r="E16" s="19"/>
      <c r="F16" s="19"/>
    </row>
    <row r="18" customFormat="false" ht="12.8" hidden="false" customHeight="false" outlineLevel="0" collapsed="false">
      <c r="A18" s="11" t="s">
        <v>143</v>
      </c>
      <c r="B18" s="11" t="s">
        <v>144</v>
      </c>
      <c r="C18" s="11" t="s">
        <v>100</v>
      </c>
      <c r="D18" s="11" t="s">
        <v>145</v>
      </c>
      <c r="E18" s="11" t="s">
        <v>146</v>
      </c>
      <c r="F18" s="11" t="s">
        <v>147</v>
      </c>
      <c r="G18" s="11" t="s">
        <v>148</v>
      </c>
    </row>
    <row r="19" customFormat="false" ht="12.8" hidden="false" customHeight="false" outlineLevel="0" collapsed="false">
      <c r="B19" s="20" t="n">
        <v>0.43</v>
      </c>
      <c r="C19" s="15" t="s">
        <v>149</v>
      </c>
      <c r="D19" s="15"/>
      <c r="E19" s="15"/>
      <c r="F19" s="15"/>
      <c r="G19" s="15"/>
    </row>
    <row r="20" customFormat="false" ht="12.8" hidden="false" customHeight="false" outlineLevel="0" collapsed="false">
      <c r="A20" s="11" t="s">
        <v>125</v>
      </c>
      <c r="B20" s="15"/>
      <c r="C20" s="15"/>
      <c r="D20" s="15"/>
      <c r="E20" s="15"/>
      <c r="F20" s="15"/>
      <c r="G20" s="15"/>
    </row>
    <row r="22" customFormat="false" ht="12.8" hidden="false" customHeight="false" outlineLevel="0" collapsed="false">
      <c r="A22" s="11" t="s">
        <v>36</v>
      </c>
      <c r="B22" s="11" t="s">
        <v>150</v>
      </c>
      <c r="C22" s="11" t="s">
        <v>151</v>
      </c>
      <c r="D22" s="11" t="s">
        <v>152</v>
      </c>
      <c r="E22" s="11" t="s">
        <v>153</v>
      </c>
      <c r="F22" s="11" t="s">
        <v>154</v>
      </c>
      <c r="G22" s="11"/>
    </row>
    <row r="23" customFormat="false" ht="12.8" hidden="false" customHeight="false" outlineLevel="0" collapsed="false">
      <c r="B23" s="15" t="n">
        <v>27.02</v>
      </c>
      <c r="C23" s="15" t="n">
        <v>27</v>
      </c>
      <c r="D23" s="15" t="n">
        <f aca="false">ROUND(274.04*24/C23,2)-1</f>
        <v>242.59</v>
      </c>
      <c r="E23" s="15" t="n">
        <f aca="false">ROUND(SIN(D5),3)</f>
        <v>0.309</v>
      </c>
      <c r="F23" s="15" t="s">
        <v>155</v>
      </c>
    </row>
    <row r="24" customFormat="false" ht="12.8" hidden="false" customHeight="false" outlineLevel="0" collapsed="false">
      <c r="B24" s="21" t="s">
        <v>156</v>
      </c>
      <c r="C24" s="21" t="s">
        <v>157</v>
      </c>
      <c r="D24" s="22"/>
      <c r="E24" s="22"/>
      <c r="F24" s="22"/>
    </row>
    <row r="25" customFormat="false" ht="12.8" hidden="false" customHeight="false" outlineLevel="0" collapsed="false">
      <c r="B25" s="15" t="n">
        <f aca="false">ROUND(('System Survey'!D2*'System Survey'!I13/1620)/32*'System Survey'!E13^2,3)</f>
        <v>0.089</v>
      </c>
      <c r="C25" s="15" t="n">
        <f aca="false">ROUND((H45*H10)/(3.2*(D45/1000000)^3),3)</f>
        <v>6.797</v>
      </c>
      <c r="D25" s="22"/>
      <c r="E25" s="22"/>
      <c r="F25" s="22"/>
    </row>
    <row r="26" customFormat="false" ht="12.8" hidden="false" customHeight="false" outlineLevel="0" collapsed="false">
      <c r="B26" s="15"/>
      <c r="C26" s="15"/>
      <c r="D26" s="22"/>
      <c r="E26" s="22"/>
      <c r="F26" s="22"/>
    </row>
    <row r="27" customFormat="false" ht="12.8" hidden="false" customHeight="false" outlineLevel="0" collapsed="false">
      <c r="A27" s="11" t="s">
        <v>158</v>
      </c>
      <c r="B27" s="19"/>
      <c r="C27" s="19"/>
      <c r="D27" s="19"/>
      <c r="E27" s="19"/>
      <c r="F27" s="19"/>
    </row>
    <row r="28" customFormat="false" ht="12.8" hidden="false" customHeight="false" outlineLevel="0" collapsed="false">
      <c r="A28" s="11" t="s">
        <v>125</v>
      </c>
      <c r="B28" s="19"/>
      <c r="C28" s="19"/>
      <c r="D28" s="19"/>
      <c r="E28" s="19"/>
      <c r="F28" s="19"/>
    </row>
    <row r="30" customFormat="false" ht="12.8" hidden="false" customHeight="false" outlineLevel="0" collapsed="false">
      <c r="A30" s="11" t="s">
        <v>159</v>
      </c>
      <c r="B30" s="11" t="s">
        <v>160</v>
      </c>
      <c r="C30" s="15" t="n">
        <f aca="false">ROUND((M30*(1-E31)*(1+E32)/K30^2)^0.25,2)*279</f>
        <v>323.64</v>
      </c>
      <c r="D30" s="11" t="s">
        <v>12</v>
      </c>
      <c r="E30" s="15" t="n">
        <f aca="false">'System Survey'!G2</f>
        <v>0.57</v>
      </c>
      <c r="F30" s="11" t="s">
        <v>161</v>
      </c>
      <c r="G30" s="15" t="n">
        <f aca="false">ROUND(SQRT(C23)/50,3)</f>
        <v>0.104</v>
      </c>
      <c r="H30" s="11" t="s">
        <v>162</v>
      </c>
      <c r="I30" s="0" t="n">
        <f aca="false">1+B14</f>
        <v>1.493</v>
      </c>
      <c r="J30" s="11" t="s">
        <v>163</v>
      </c>
      <c r="K30" s="0" t="n">
        <f aca="false">B5*(1-B6)</f>
        <v>0.7315</v>
      </c>
      <c r="L30" s="11" t="s">
        <v>164</v>
      </c>
      <c r="M30" s="0" t="n">
        <f aca="false">'System Survey'!G2*(1+I31)</f>
        <v>0.9177</v>
      </c>
    </row>
    <row r="31" customFormat="false" ht="12.8" hidden="false" customHeight="false" outlineLevel="0" collapsed="false">
      <c r="B31" s="11" t="s">
        <v>165</v>
      </c>
      <c r="C31" s="15" t="n">
        <f aca="false">ROUND(((E30*(1-E31)*(1+E32)/(B5^2))^0.25)*279,2)</f>
        <v>280.08</v>
      </c>
      <c r="D31" s="11" t="s">
        <v>166</v>
      </c>
      <c r="E31" s="15" t="n">
        <v>0.31</v>
      </c>
      <c r="F31" s="11" t="s">
        <v>167</v>
      </c>
      <c r="G31" s="15" t="n">
        <f aca="false">(10-(B19/10))/20</f>
        <v>0.49785</v>
      </c>
      <c r="H31" s="11" t="s">
        <v>168</v>
      </c>
      <c r="I31" s="0" t="n">
        <f aca="false">ROUND(G32/I30,3)</f>
        <v>0.61</v>
      </c>
      <c r="J31" s="11" t="s">
        <v>169</v>
      </c>
      <c r="K31" s="0" t="n">
        <f aca="false">B5*(1+B6)</f>
        <v>0.8085</v>
      </c>
      <c r="L31" s="11" t="s">
        <v>170</v>
      </c>
      <c r="M31" s="0" t="n">
        <f aca="false">'System Survey'!G2*(1-I31)</f>
        <v>0.2223</v>
      </c>
    </row>
    <row r="32" customFormat="false" ht="12.8" hidden="false" customHeight="false" outlineLevel="0" collapsed="false">
      <c r="B32" s="11" t="s">
        <v>171</v>
      </c>
      <c r="C32" s="15" t="n">
        <f aca="false">ROUND((M31*(1-E31)*(1+E32)/K31^2)^0.25,2)*279</f>
        <v>214.83</v>
      </c>
      <c r="D32" s="11" t="s">
        <v>172</v>
      </c>
      <c r="E32" s="15" t="n">
        <f aca="false">ROUND(0.5*SQRT(B14)+0.18,3)</f>
        <v>0.531</v>
      </c>
      <c r="F32" s="11" t="s">
        <v>173</v>
      </c>
      <c r="G32" s="23" t="n">
        <f aca="false">(E23+G30+G31)</f>
        <v>0.91085</v>
      </c>
    </row>
    <row r="33" customFormat="false" ht="12.8" hidden="false" customHeight="false" outlineLevel="0" collapsed="false">
      <c r="B33" s="11" t="s">
        <v>174</v>
      </c>
      <c r="C33" s="11" t="s">
        <v>175</v>
      </c>
      <c r="D33" s="11" t="s">
        <v>176</v>
      </c>
      <c r="E33" s="11" t="s">
        <v>177</v>
      </c>
      <c r="F33" s="11" t="s">
        <v>178</v>
      </c>
    </row>
    <row r="34" customFormat="false" ht="12.8" hidden="false" customHeight="false" outlineLevel="0" collapsed="false">
      <c r="B34" s="15" t="n">
        <f aca="false">D34+C34+E34</f>
        <v>13.5767</v>
      </c>
      <c r="C34" s="15" t="n">
        <f aca="false">(((H10)-D2)+1)^2</f>
        <v>12.8881</v>
      </c>
      <c r="D34" s="15" t="n">
        <f aca="false">(B25+C25)/10</f>
        <v>0.6886</v>
      </c>
      <c r="E34" s="15"/>
      <c r="F34" s="15"/>
    </row>
    <row r="35" customFormat="false" ht="12.8" hidden="false" customHeight="false" outlineLevel="0" collapsed="false">
      <c r="A35" s="11" t="s">
        <v>125</v>
      </c>
      <c r="B35" s="19"/>
      <c r="C35" s="19"/>
      <c r="D35" s="19"/>
      <c r="E35" s="19"/>
      <c r="F35" s="19"/>
    </row>
    <row r="37" customFormat="false" ht="12.8" hidden="false" customHeight="false" outlineLevel="0" collapsed="false">
      <c r="A37" s="11" t="s">
        <v>179</v>
      </c>
      <c r="B37" s="11" t="s">
        <v>180</v>
      </c>
      <c r="C37" s="11" t="s">
        <v>181</v>
      </c>
      <c r="D37" s="11" t="s">
        <v>182</v>
      </c>
      <c r="E37" s="11" t="s">
        <v>183</v>
      </c>
      <c r="F37" s="11" t="s">
        <v>184</v>
      </c>
    </row>
    <row r="38" customFormat="false" ht="12.8" hidden="false" customHeight="false" outlineLevel="0" collapsed="false">
      <c r="B38" s="15" t="n">
        <v>8</v>
      </c>
      <c r="C38" s="15" t="n">
        <v>7</v>
      </c>
      <c r="D38" s="15" t="s">
        <v>142</v>
      </c>
      <c r="E38" s="15" t="n">
        <f aca="false">0+(B38+C38)/2</f>
        <v>7.5</v>
      </c>
      <c r="F38" s="15" t="n">
        <f aca="false">12-C38/2-2</f>
        <v>6.5</v>
      </c>
    </row>
    <row r="39" customFormat="false" ht="12.8" hidden="false" customHeight="false" outlineLevel="0" collapsed="false">
      <c r="A39" s="11" t="s">
        <v>125</v>
      </c>
      <c r="B39" s="15" t="s">
        <v>185</v>
      </c>
      <c r="C39" s="15" t="s">
        <v>186</v>
      </c>
      <c r="D39" s="15"/>
      <c r="E39" s="15"/>
      <c r="F39" s="15" t="s">
        <v>187</v>
      </c>
    </row>
    <row r="41" customFormat="false" ht="12.8" hidden="false" customHeight="false" outlineLevel="0" collapsed="false">
      <c r="A41" s="11" t="s">
        <v>66</v>
      </c>
      <c r="B41" s="11" t="s">
        <v>188</v>
      </c>
      <c r="C41" s="0" t="n">
        <v>6</v>
      </c>
      <c r="D41" s="11" t="s">
        <v>125</v>
      </c>
      <c r="E41" s="0" t="s">
        <v>189</v>
      </c>
    </row>
    <row r="42" customFormat="false" ht="12.8" hidden="false" customHeight="false" outlineLevel="0" collapsed="false">
      <c r="A42" s="11" t="s">
        <v>190</v>
      </c>
      <c r="B42" s="11" t="s">
        <v>188</v>
      </c>
      <c r="C42" s="0" t="n">
        <v>10</v>
      </c>
      <c r="D42" s="11" t="s">
        <v>125</v>
      </c>
      <c r="E42" s="0" t="s">
        <v>191</v>
      </c>
    </row>
    <row r="44" customFormat="false" ht="12.8" hidden="false" customHeight="false" outlineLevel="0" collapsed="false">
      <c r="A44" s="11" t="s">
        <v>192</v>
      </c>
      <c r="B44" s="11" t="s">
        <v>193</v>
      </c>
      <c r="C44" s="11" t="s">
        <v>194</v>
      </c>
      <c r="D44" s="11" t="s">
        <v>195</v>
      </c>
      <c r="E44" s="11" t="s">
        <v>96</v>
      </c>
      <c r="F44" s="11" t="s">
        <v>82</v>
      </c>
      <c r="G44" s="11" t="s">
        <v>101</v>
      </c>
      <c r="H44" s="11" t="s">
        <v>80</v>
      </c>
      <c r="I44" s="11" t="s">
        <v>196</v>
      </c>
      <c r="J44" s="11" t="s">
        <v>133</v>
      </c>
      <c r="K44" s="11" t="s">
        <v>197</v>
      </c>
      <c r="L44" s="11" t="s">
        <v>198</v>
      </c>
    </row>
    <row r="45" customFormat="false" ht="12.8" hidden="false" customHeight="false" outlineLevel="0" collapsed="false">
      <c r="B45" s="22" t="s">
        <v>56</v>
      </c>
      <c r="C45" s="24" t="n">
        <f aca="false">D45/B10</f>
        <v>44.7908523908524</v>
      </c>
      <c r="D45" s="22" t="n">
        <v>430888</v>
      </c>
      <c r="E45" s="22" t="n">
        <v>0.05</v>
      </c>
      <c r="F45" s="22" t="n">
        <v>6600</v>
      </c>
      <c r="G45" s="22" t="n">
        <v>0.56</v>
      </c>
      <c r="H45" s="22" t="n">
        <f aca="false">ROUND(G45*(F45/12742),3)</f>
        <v>0.29</v>
      </c>
      <c r="I45" s="22" t="n">
        <f aca="false">45.82*24</f>
        <v>1099.68</v>
      </c>
      <c r="J45" s="22" t="n">
        <f aca="false">ROUND(F45/1620,0)</f>
        <v>4</v>
      </c>
      <c r="K45" s="0" t="n">
        <f aca="false">I45/24</f>
        <v>45.82</v>
      </c>
      <c r="L45" s="0" t="n">
        <f aca="false">ROUND(5*4+5+F10/(D45/400000),2)</f>
        <v>25.4</v>
      </c>
    </row>
    <row r="46" customFormat="false" ht="12.8" hidden="false" customHeight="false" outlineLevel="0" collapsed="false">
      <c r="B46" s="25" t="s">
        <v>199</v>
      </c>
      <c r="C46" s="24" t="n">
        <f aca="false">0.04*10*0.02 + 9*0.01 + 0.04</f>
        <v>0.138</v>
      </c>
      <c r="D46" s="22"/>
      <c r="E46" s="25" t="s">
        <v>200</v>
      </c>
      <c r="F46" s="22" t="n">
        <f aca="false">0.09*(5*5+2-1)/30</f>
        <v>0.078</v>
      </c>
      <c r="G46" s="22"/>
      <c r="H46" s="22"/>
      <c r="I46" s="22"/>
      <c r="J46" s="22"/>
    </row>
    <row r="47" customFormat="false" ht="12.8" hidden="false" customHeight="false" outlineLevel="0" collapsed="false">
      <c r="B47" s="25" t="s">
        <v>201</v>
      </c>
      <c r="C47" s="24" t="n">
        <f aca="false">0.5*SQRT(F46)</f>
        <v>0.139642400437689</v>
      </c>
      <c r="D47" s="22"/>
      <c r="E47" s="22"/>
      <c r="F47" s="22"/>
      <c r="G47" s="22"/>
      <c r="H47" s="22"/>
      <c r="I47" s="22"/>
      <c r="J47" s="22"/>
    </row>
    <row r="48" customFormat="false" ht="12.8" hidden="false" customHeight="false" outlineLevel="0" collapsed="false">
      <c r="B48" s="11"/>
    </row>
  </sheetData>
  <mergeCells count="8">
    <mergeCell ref="D4:F4"/>
    <mergeCell ref="B11:G11"/>
    <mergeCell ref="B15:F15"/>
    <mergeCell ref="B16:F16"/>
    <mergeCell ref="B20:G20"/>
    <mergeCell ref="B27:F27"/>
    <mergeCell ref="B28:F28"/>
    <mergeCell ref="B35:F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LibreOffice/25.2.1.2$MacOSX_AARCH64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2025-03-25T16:41:50Z</dcterms:created>
  <dc:creator/>
  <dc:description/>
  <dc:language>en-US</dc:language>
  <cp:lastModifiedBy/>
  <dcterms:modified xsi:type="dcterms:W3CDTF">2025-04-13T21:56:57Z</dcterms:modified>
  <cp:revision>15</cp:revision>
  <dc:subject/>
  <dc:title/>
</cp:coreProperties>
</file>