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bital mechanics" sheetId="1" state="visible" r:id="rId3"/>
    <sheet name="Eclipse" sheetId="2" state="visible" r:id="rId4"/>
    <sheet name="Climate and Geograph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<sst xmlns="http://schemas.openxmlformats.org/spreadsheetml/2006/main" count="95" uniqueCount="79">
  <si>
    <t xml:space="preserve">Zhdant</t>
  </si>
  <si>
    <t xml:space="preserve">Viepchakl</t>
  </si>
  <si>
    <t xml:space="preserve">Luna</t>
  </si>
  <si>
    <t xml:space="preserve">Size</t>
  </si>
  <si>
    <t xml:space="preserve">Density</t>
  </si>
  <si>
    <t xml:space="preserve">Mass</t>
  </si>
  <si>
    <t xml:space="preserve">Gravity</t>
  </si>
  <si>
    <t xml:space="preserve">Axial Tilt</t>
  </si>
  <si>
    <t xml:space="preserve">Orbital Period</t>
  </si>
  <si>
    <t xml:space="preserve">days, standard</t>
  </si>
  <si>
    <t xml:space="preserve">Orbital Distance</t>
  </si>
  <si>
    <t xml:space="preserve">km</t>
  </si>
  <si>
    <t xml:space="preserve">UWP</t>
  </si>
  <si>
    <t xml:space="preserve">A6547C8-F Ag</t>
  </si>
  <si>
    <t xml:space="preserve">A4304C8-F Ni</t>
  </si>
  <si>
    <t xml:space="preserve">A200</t>
  </si>
  <si>
    <t xml:space="preserve">Barycenter</t>
  </si>
  <si>
    <t xml:space="preserve">Mass Ratio</t>
  </si>
  <si>
    <t xml:space="preserve">Diam. Ratio</t>
  </si>
  <si>
    <t xml:space="preserve">Circum.</t>
  </si>
  <si>
    <t xml:space="preserve">Star</t>
  </si>
  <si>
    <t xml:space="preserve">Class</t>
  </si>
  <si>
    <t xml:space="preserve">Magnitude</t>
  </si>
  <si>
    <t xml:space="preserve">Luminosity</t>
  </si>
  <si>
    <t xml:space="preserve">Temp</t>
  </si>
  <si>
    <t xml:space="preserve">Radius (stellar)</t>
  </si>
  <si>
    <t xml:space="preserve">Radius (km)</t>
  </si>
  <si>
    <t xml:space="preserve">Diameter (km)</t>
  </si>
  <si>
    <t xml:space="preserve">Pliebr</t>
  </si>
  <si>
    <t xml:space="preserve">K0 V</t>
  </si>
  <si>
    <t xml:space="preserve">Orbit</t>
  </si>
  <si>
    <t xml:space="preserve">Dist (AU)</t>
  </si>
  <si>
    <t xml:space="preserve">Dist (km)</t>
  </si>
  <si>
    <t xml:space="preserve">Angular dist (km)</t>
  </si>
  <si>
    <t xml:space="preserve">1 deg of arc</t>
  </si>
  <si>
    <t xml:space="preserve">Apparent angular size of Pliebr</t>
  </si>
  <si>
    <t xml:space="preserve">Distance</t>
  </si>
  <si>
    <t xml:space="preserve">Radius</t>
  </si>
  <si>
    <t xml:space="preserve">Diameter</t>
  </si>
  <si>
    <t xml:space="preserve">Apparent angular size of V.</t>
  </si>
  <si>
    <t xml:space="preserve">If Viepchakl were the size of Luna at the same distance:</t>
  </si>
  <si>
    <t xml:space="preserve">UWP Size 2</t>
  </si>
  <si>
    <t xml:space="preserve">Size of Viepchakl needed for "perfect" solar eclipse as observed on Terra:</t>
  </si>
  <si>
    <t xml:space="preserve">UWP Size 3</t>
  </si>
  <si>
    <t xml:space="preserve">Climate and Geography data for Zhdant</t>
  </si>
  <si>
    <t xml:space="preserve">Admo</t>
  </si>
  <si>
    <t xml:space="preserve">Hydro</t>
  </si>
  <si>
    <t xml:space="preserve">Eccentricity</t>
  </si>
  <si>
    <t xml:space="preserve">Seismic Stress Factor</t>
  </si>
  <si>
    <t xml:space="preserve">Thin</t>
  </si>
  <si>
    <t xml:space="preserve">V Thin</t>
  </si>
  <si>
    <t xml:space="preserve">Lumionsity</t>
  </si>
  <si>
    <t xml:space="preserve">Orbit Factor</t>
  </si>
  <si>
    <t xml:space="preserve">Atmospherics:</t>
  </si>
  <si>
    <t xml:space="preserve">Latitude</t>
  </si>
  <si>
    <t xml:space="preserve">Ave Temp</t>
  </si>
  <si>
    <t xml:space="preserve">Winter</t>
  </si>
  <si>
    <t xml:space="preserve">Summer</t>
  </si>
  <si>
    <t xml:space="preserve">Composition</t>
  </si>
  <si>
    <t xml:space="preserve">O-N mix</t>
  </si>
  <si>
    <t xml:space="preserve">Pressure at Sea Level</t>
  </si>
  <si>
    <t xml:space="preserve">Energy absorption</t>
  </si>
  <si>
    <t xml:space="preserve">Greenhouse effect</t>
  </si>
  <si>
    <t xml:space="preserve">Surface Temp (K)</t>
  </si>
  <si>
    <t xml:space="preserve">R - L Factor</t>
  </si>
  <si>
    <t xml:space="preserve">Axial tilt base increase</t>
  </si>
  <si>
    <t xml:space="preserve">Axial tilt base decrease</t>
  </si>
  <si>
    <t xml:space="preserve">Daytime + per hour</t>
  </si>
  <si>
    <t xml:space="preserve">Nighttime - per hour</t>
  </si>
  <si>
    <t xml:space="preserve">Max increase</t>
  </si>
  <si>
    <t xml:space="preserve">Max decrease</t>
  </si>
  <si>
    <t xml:space="preserve">Hydrospherics:</t>
  </si>
  <si>
    <t xml:space="preserve">Percentage</t>
  </si>
  <si>
    <t xml:space="preserve">Liquid water</t>
  </si>
  <si>
    <t xml:space="preserve">Tectonic Plates</t>
  </si>
  <si>
    <t xml:space="preserve">Continents</t>
  </si>
  <si>
    <t xml:space="preserve">Volcanoes</t>
  </si>
  <si>
    <t xml:space="preserve">Dleqiats</t>
  </si>
  <si>
    <t xml:space="preserve">Qiknavra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</si>
</sst>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  <font>
      <b val="true"/>
      <sz val="8"/>
      <color theme="1"/>
      <name val="Arial"/>
      <family val="2"/>
      <charset val="1"/>
    </font>
    <font>
      <b val="true"/>
      <i val="true"/>
      <sz val="8"/>
      <color theme="1"/>
      <name val="Arial"/>
      <family val="2"/>
      <charset val="1"/>
    </font>
    <font>
      <i val="true"/>
      <sz val="8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1800</xdr:colOff>
      <xdr:row>3</xdr:row>
      <xdr:rowOff>181080</xdr:rowOff>
    </xdr:from>
    <xdr:to>
      <xdr:col>9</xdr:col>
      <xdr:colOff>643320</xdr:colOff>
      <xdr:row>7</xdr:row>
      <xdr:rowOff>73800</xdr:rowOff>
    </xdr:to>
    <xdr:sp>
      <xdr:nvSpPr>
        <xdr:cNvPr id="0" name="Oval 1"/>
        <xdr:cNvSpPr/>
      </xdr:nvSpPr>
      <xdr:spPr>
        <a:xfrm>
          <a:off x="8950680" y="752760"/>
          <a:ext cx="641520" cy="654480"/>
        </a:xfrm>
        <a:prstGeom prst="ellipse">
          <a:avLst/>
        </a:prstGeom>
        <a:solidFill>
          <a:srgbClr val="ed7d31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402480</xdr:colOff>
      <xdr:row>4</xdr:row>
      <xdr:rowOff>12960</xdr:rowOff>
    </xdr:from>
    <xdr:to>
      <xdr:col>9</xdr:col>
      <xdr:colOff>450000</xdr:colOff>
      <xdr:row>8</xdr:row>
      <xdr:rowOff>55800</xdr:rowOff>
    </xdr:to>
    <xdr:sp>
      <xdr:nvSpPr>
        <xdr:cNvPr id="1" name="Oval 2"/>
        <xdr:cNvSpPr/>
      </xdr:nvSpPr>
      <xdr:spPr>
        <a:xfrm>
          <a:off x="8588160" y="775080"/>
          <a:ext cx="810720" cy="80460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83203125" defaultRowHeight="15" customHeight="true" zeroHeight="false" outlineLevelRow="0" outlineLevelCol="0"/>
  <cols>
    <col collapsed="false" customWidth="false" hidden="false" outlineLevel="0" max="5" min="1" style="1" width="8.83"/>
    <col collapsed="false" customWidth="true" hidden="false" outlineLevel="0" max="6" min="6" style="1" width="12.25"/>
    <col collapsed="false" customWidth="false" hidden="false" outlineLevel="0" max="16384" min="7" style="1" width="8.83"/>
  </cols>
  <sheetData>
    <row r="1" customFormat="false" ht="15" hidden="false" customHeight="false" outlineLevel="0" collapsed="false">
      <c r="B1" s="2" t="s">
        <v>0</v>
      </c>
      <c r="E1" s="2" t="s">
        <v>1</v>
      </c>
      <c r="H1" s="3" t="s">
        <v>2</v>
      </c>
      <c r="I1" s="3"/>
      <c r="J1" s="3"/>
    </row>
    <row r="2" customFormat="false" ht="15" hidden="false" customHeight="false" outlineLevel="0" collapsed="false">
      <c r="A2" s="2" t="s">
        <v>3</v>
      </c>
      <c r="B2" s="1" t="n">
        <v>9620</v>
      </c>
      <c r="C2" s="1" t="n">
        <v>6</v>
      </c>
      <c r="E2" s="1" t="n">
        <f aca="false">F2*1620</f>
        <v>6480</v>
      </c>
      <c r="F2" s="1" t="n">
        <v>4</v>
      </c>
      <c r="H2" s="4" t="n">
        <v>3475</v>
      </c>
      <c r="I2" s="4" t="n">
        <v>2</v>
      </c>
      <c r="J2" s="4"/>
    </row>
    <row r="3" customFormat="false" ht="15" hidden="false" customHeight="false" outlineLevel="0" collapsed="false">
      <c r="A3" s="2" t="s">
        <v>4</v>
      </c>
      <c r="C3" s="1" t="n">
        <v>1.12</v>
      </c>
      <c r="F3" s="1" t="n">
        <v>0.6</v>
      </c>
      <c r="H3" s="4"/>
      <c r="I3" s="4" t="n">
        <v>0.6</v>
      </c>
      <c r="J3" s="4"/>
    </row>
    <row r="4" customFormat="false" ht="15" hidden="false" customHeight="false" outlineLevel="0" collapsed="false">
      <c r="A4" s="2" t="s">
        <v>5</v>
      </c>
      <c r="C4" s="1" t="n">
        <f aca="false">C3*(C2/8)^3</f>
        <v>0.4725</v>
      </c>
      <c r="F4" s="1" t="n">
        <f aca="false">F3*(F2/8)^3</f>
        <v>0.075</v>
      </c>
      <c r="H4" s="4"/>
      <c r="I4" s="4" t="n">
        <v>0.0123</v>
      </c>
      <c r="J4" s="4"/>
    </row>
    <row r="5" customFormat="false" ht="15" hidden="false" customHeight="false" outlineLevel="0" collapsed="false">
      <c r="A5" s="2" t="s">
        <v>6</v>
      </c>
      <c r="C5" s="1" t="n">
        <f aca="false">C4*(64/C2^2)</f>
        <v>0.84</v>
      </c>
      <c r="F5" s="1" t="n">
        <f aca="false">F4*(64/F2^2)</f>
        <v>0.3</v>
      </c>
      <c r="H5" s="4"/>
      <c r="I5" s="4" t="n">
        <v>0.165</v>
      </c>
      <c r="J5" s="4"/>
    </row>
    <row r="6" customFormat="false" ht="15" hidden="false" customHeight="false" outlineLevel="0" collapsed="false">
      <c r="A6" s="2" t="s">
        <v>7</v>
      </c>
      <c r="C6" s="1" t="n">
        <v>18</v>
      </c>
      <c r="H6" s="4"/>
      <c r="I6" s="4"/>
      <c r="J6" s="4"/>
    </row>
    <row r="7" customFormat="false" ht="15" hidden="false" customHeight="false" outlineLevel="0" collapsed="false">
      <c r="A7" s="2" t="s">
        <v>8</v>
      </c>
      <c r="F7" s="5" t="n">
        <f aca="false">40.7*27.02/24</f>
        <v>45.8214166666667</v>
      </c>
      <c r="G7" s="1" t="s">
        <v>9</v>
      </c>
      <c r="H7" s="4"/>
      <c r="I7" s="4" t="n">
        <v>28</v>
      </c>
      <c r="J7" s="4" t="s">
        <v>9</v>
      </c>
    </row>
    <row r="8" customFormat="false" ht="15" hidden="false" customHeight="false" outlineLevel="0" collapsed="false">
      <c r="A8" s="2" t="s">
        <v>10</v>
      </c>
      <c r="F8" s="5" t="n">
        <f aca="false">400000*(((F7^2*C4)/793.64)^(1/3))</f>
        <v>430888.682811374</v>
      </c>
      <c r="G8" s="1" t="s">
        <v>11</v>
      </c>
      <c r="H8" s="4"/>
      <c r="I8" s="4" t="n">
        <v>378000</v>
      </c>
      <c r="J8" s="4" t="s">
        <v>11</v>
      </c>
    </row>
    <row r="9" customFormat="false" ht="15" hidden="false" customHeight="false" outlineLevel="0" collapsed="false">
      <c r="A9" s="2" t="s">
        <v>12</v>
      </c>
      <c r="B9" s="1" t="s">
        <v>13</v>
      </c>
      <c r="E9" s="1" t="s">
        <v>14</v>
      </c>
      <c r="I9" s="1" t="s">
        <v>15</v>
      </c>
    </row>
    <row r="12" customFormat="false" ht="15" hidden="false" customHeight="false" outlineLevel="0" collapsed="false">
      <c r="A12" s="2" t="s">
        <v>16</v>
      </c>
      <c r="C12" s="1" t="n">
        <v>59025</v>
      </c>
      <c r="D12" s="1" t="n">
        <f aca="false">C12/B2</f>
        <v>6.13565488565489</v>
      </c>
    </row>
    <row r="13" customFormat="false" ht="15" hidden="false" customHeight="false" outlineLevel="0" collapsed="false">
      <c r="A13" s="2" t="s">
        <v>17</v>
      </c>
      <c r="C13" s="1" t="n">
        <f aca="false">C4/F4</f>
        <v>6.3</v>
      </c>
    </row>
    <row r="14" customFormat="false" ht="15" hidden="false" customHeight="false" outlineLevel="0" collapsed="false">
      <c r="A14" s="2" t="s">
        <v>18</v>
      </c>
      <c r="C14" s="1" t="n">
        <f aca="false">B2/E2</f>
        <v>1.48456790123457</v>
      </c>
      <c r="F14" s="1" t="n">
        <f aca="false">E2/B2</f>
        <v>0.673596673596674</v>
      </c>
    </row>
    <row r="15" customFormat="false" ht="15" hidden="false" customHeight="false" outlineLevel="0" collapsed="false">
      <c r="A15" s="2" t="s">
        <v>19</v>
      </c>
      <c r="C15" s="1" t="n">
        <f aca="false">B2*3.14159</f>
        <v>30222.0958</v>
      </c>
      <c r="F15" s="1" t="n">
        <f aca="false">E2*3.14159</f>
        <v>20357.5032</v>
      </c>
      <c r="I15" s="1" t="n">
        <f aca="false">H2*3.14159</f>
        <v>10917.02525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23" activeCellId="0" sqref="C23"/>
    </sheetView>
  </sheetViews>
  <sheetFormatPr defaultColWidth="10.83203125" defaultRowHeight="15" customHeight="true" zeroHeight="false" outlineLevelRow="0" outlineLevelCol="0"/>
  <cols>
    <col collapsed="false" customWidth="true" hidden="false" outlineLevel="0" max="6" min="6" style="0" width="16"/>
    <col collapsed="false" customWidth="true" hidden="false" outlineLevel="0" max="7" min="7" style="0" width="17.83"/>
    <col collapsed="false" customWidth="true" hidden="false" outlineLevel="0" max="8" min="8" style="0" width="28.16"/>
  </cols>
  <sheetData>
    <row r="1" s="6" customFormat="true" ht="15" hidden="false" customHeight="false" outlineLevel="0" collapsed="false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5</v>
      </c>
    </row>
    <row r="2" customFormat="false" ht="15" hidden="false" customHeight="false" outlineLevel="0" collapsed="false">
      <c r="A2" s="6" t="s">
        <v>28</v>
      </c>
      <c r="B2" s="0" t="s">
        <v>29</v>
      </c>
      <c r="C2" s="0" t="n">
        <v>5.7</v>
      </c>
      <c r="D2" s="0" t="n">
        <v>0.42</v>
      </c>
      <c r="E2" s="0" t="n">
        <v>4900</v>
      </c>
      <c r="F2" s="0" t="n">
        <v>0.908</v>
      </c>
      <c r="G2" s="0" t="n">
        <f aca="false">695700*F2</f>
        <v>631695.6</v>
      </c>
      <c r="H2" s="0" t="n">
        <f aca="false">G2*2</f>
        <v>1263391.2</v>
      </c>
      <c r="I2" s="0" t="n">
        <v>0.825</v>
      </c>
    </row>
    <row r="4" s="6" customFormat="true" ht="15" hidden="false" customHeight="false" outlineLevel="0" collapsed="false">
      <c r="B4" s="6" t="s">
        <v>30</v>
      </c>
      <c r="C4" s="6" t="s">
        <v>31</v>
      </c>
      <c r="D4" s="6" t="s">
        <v>32</v>
      </c>
      <c r="F4" s="6" t="s">
        <v>33</v>
      </c>
      <c r="G4" s="6" t="s">
        <v>34</v>
      </c>
      <c r="H4" s="6" t="s">
        <v>35</v>
      </c>
    </row>
    <row r="5" customFormat="false" ht="15" hidden="false" customHeight="false" outlineLevel="0" collapsed="false">
      <c r="A5" s="6" t="s">
        <v>0</v>
      </c>
      <c r="B5" s="0" t="n">
        <v>2</v>
      </c>
      <c r="C5" s="0" t="n">
        <v>0.7</v>
      </c>
      <c r="D5" s="0" t="n">
        <f aca="false">150000000*C5</f>
        <v>105000000</v>
      </c>
      <c r="F5" s="0" t="n">
        <f aca="false">3.14159*D5*2</f>
        <v>659733900</v>
      </c>
      <c r="G5" s="0" t="n">
        <f aca="false">F5/360</f>
        <v>1832594.16666667</v>
      </c>
      <c r="H5" s="7" t="n">
        <f aca="false">H2/G5</f>
        <v>0.689400426444662</v>
      </c>
    </row>
    <row r="7" s="6" customFormat="true" ht="15" hidden="false" customHeight="false" outlineLevel="0" collapsed="false">
      <c r="B7" s="6" t="s">
        <v>36</v>
      </c>
      <c r="C7" s="6" t="s">
        <v>37</v>
      </c>
      <c r="D7" s="6" t="s">
        <v>38</v>
      </c>
      <c r="F7" s="6" t="s">
        <v>33</v>
      </c>
      <c r="G7" s="6" t="s">
        <v>34</v>
      </c>
      <c r="H7" s="6" t="s">
        <v>39</v>
      </c>
    </row>
    <row r="8" customFormat="false" ht="15" hidden="false" customHeight="false" outlineLevel="0" collapsed="false">
      <c r="A8" s="6" t="s">
        <v>1</v>
      </c>
      <c r="B8" s="0" t="n">
        <v>430888</v>
      </c>
      <c r="C8" s="0" t="n">
        <f aca="false">D8/2</f>
        <v>3240</v>
      </c>
      <c r="D8" s="0" t="n">
        <v>6480</v>
      </c>
      <c r="F8" s="0" t="n">
        <f aca="false">3.14159*B8*2</f>
        <v>2707346.86384</v>
      </c>
      <c r="G8" s="0" t="n">
        <f aca="false">F8/360</f>
        <v>7520.40795511111</v>
      </c>
      <c r="H8" s="7" t="n">
        <f aca="false">D8/G8</f>
        <v>0.861655383415202</v>
      </c>
    </row>
    <row r="10" customFormat="false" ht="15" hidden="false" customHeight="false" outlineLevel="0" collapsed="false">
      <c r="A10" s="0" t="s">
        <v>40</v>
      </c>
    </row>
    <row r="11" customFormat="false" ht="15" hidden="false" customHeight="false" outlineLevel="0" collapsed="false">
      <c r="A11" s="0" t="s">
        <v>41</v>
      </c>
      <c r="B11" s="0" t="n">
        <v>430888</v>
      </c>
      <c r="C11" s="0" t="n">
        <f aca="false">D11/2</f>
        <v>1737.5</v>
      </c>
      <c r="D11" s="0" t="n">
        <v>3475</v>
      </c>
      <c r="F11" s="0" t="n">
        <f aca="false">F8</f>
        <v>2707346.86384</v>
      </c>
      <c r="G11" s="0" t="n">
        <f aca="false">G8</f>
        <v>7520.40795511111</v>
      </c>
      <c r="H11" s="7" t="n">
        <f aca="false">D11/G11</f>
        <v>0.462075996507381</v>
      </c>
    </row>
    <row r="13" customFormat="false" ht="15" hidden="false" customHeight="false" outlineLevel="0" collapsed="false">
      <c r="A13" s="0" t="s">
        <v>42</v>
      </c>
    </row>
    <row r="14" customFormat="false" ht="15" hidden="false" customHeight="false" outlineLevel="0" collapsed="false">
      <c r="A14" s="0" t="s">
        <v>43</v>
      </c>
      <c r="B14" s="0" t="n">
        <v>430888</v>
      </c>
      <c r="C14" s="0" t="n">
        <f aca="false">D14/2</f>
        <v>2592</v>
      </c>
      <c r="D14" s="0" t="n">
        <v>5184</v>
      </c>
      <c r="F14" s="0" t="n">
        <f aca="false">F11</f>
        <v>2707346.86384</v>
      </c>
      <c r="G14" s="0" t="n">
        <f aca="false">G11</f>
        <v>7520.40795511111</v>
      </c>
      <c r="H14" s="7" t="n">
        <f aca="false">D14/G14</f>
        <v>0.689324306732162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25" activeCellId="0" sqref="L25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6" width="21.16"/>
    <col collapsed="false" customWidth="true" hidden="false" outlineLevel="0" max="3" min="3" style="0" width="10.51"/>
    <col collapsed="false" customWidth="true" hidden="false" outlineLevel="0" max="4" min="4" style="0" width="11.16"/>
    <col collapsed="false" customWidth="true" hidden="false" outlineLevel="0" max="7" min="6" style="0" width="10.83"/>
    <col collapsed="false" customWidth="true" hidden="false" outlineLevel="0" max="8" min="8" style="0" width="19"/>
  </cols>
  <sheetData>
    <row r="1" customFormat="false" ht="15" hidden="false" customHeight="false" outlineLevel="0" collapsed="false">
      <c r="A1" s="6" t="s">
        <v>44</v>
      </c>
    </row>
    <row r="2" s="6" customFormat="true" ht="15" hidden="false" customHeight="false" outlineLevel="0" collapsed="false">
      <c r="B2" s="6" t="s">
        <v>3</v>
      </c>
      <c r="C2" s="6" t="s">
        <v>45</v>
      </c>
      <c r="D2" s="6" t="s">
        <v>46</v>
      </c>
      <c r="E2" s="6" t="s">
        <v>30</v>
      </c>
      <c r="F2" s="6" t="s">
        <v>7</v>
      </c>
      <c r="G2" s="6" t="s">
        <v>47</v>
      </c>
      <c r="H2" s="6" t="s">
        <v>48</v>
      </c>
    </row>
    <row r="3" customFormat="false" ht="15" hidden="false" customHeight="false" outlineLevel="0" collapsed="false">
      <c r="A3" s="6" t="s">
        <v>0</v>
      </c>
      <c r="B3" s="0" t="n">
        <v>9720</v>
      </c>
      <c r="C3" s="0" t="s">
        <v>49</v>
      </c>
      <c r="D3" s="0" t="n">
        <v>0.4</v>
      </c>
      <c r="E3" s="0" t="n">
        <v>2</v>
      </c>
      <c r="F3" s="0" t="n">
        <v>18</v>
      </c>
      <c r="G3" s="0" t="n">
        <v>0.005</v>
      </c>
      <c r="H3" s="0" t="n">
        <f aca="false">ROUND(1+2+(B4/(E4*64)+0.825/0.7),3)</f>
        <v>6.48</v>
      </c>
    </row>
    <row r="4" customFormat="false" ht="15" hidden="false" customHeight="false" outlineLevel="0" collapsed="false">
      <c r="A4" s="6" t="s">
        <v>1</v>
      </c>
      <c r="B4" s="0" t="n">
        <v>6480</v>
      </c>
      <c r="C4" s="0" t="s">
        <v>50</v>
      </c>
      <c r="D4" s="0" t="n">
        <v>0</v>
      </c>
      <c r="E4" s="0" t="n">
        <v>44</v>
      </c>
    </row>
    <row r="6" customFormat="false" ht="15" hidden="false" customHeight="false" outlineLevel="0" collapsed="false">
      <c r="B6" s="6" t="s">
        <v>21</v>
      </c>
      <c r="C6" s="6" t="s">
        <v>51</v>
      </c>
      <c r="D6" s="6" t="s">
        <v>52</v>
      </c>
    </row>
    <row r="7" customFormat="false" ht="15" hidden="false" customHeight="false" outlineLevel="0" collapsed="false">
      <c r="A7" s="6" t="s">
        <v>28</v>
      </c>
      <c r="B7" s="0" t="s">
        <v>29</v>
      </c>
      <c r="C7" s="0" t="n">
        <v>0.81</v>
      </c>
      <c r="D7" s="0" t="n">
        <v>447.045</v>
      </c>
    </row>
    <row r="9" customFormat="false" ht="15" hidden="false" customHeight="false" outlineLevel="0" collapsed="false">
      <c r="A9" s="6" t="s">
        <v>53</v>
      </c>
      <c r="E9" s="6" t="s">
        <v>54</v>
      </c>
      <c r="F9" s="6" t="s">
        <v>55</v>
      </c>
      <c r="G9" s="6" t="s">
        <v>56</v>
      </c>
      <c r="H9" s="6" t="s">
        <v>57</v>
      </c>
    </row>
    <row r="10" customFormat="false" ht="15" hidden="false" customHeight="false" outlineLevel="0" collapsed="false">
      <c r="A10" s="6" t="s">
        <v>58</v>
      </c>
      <c r="B10" s="0" t="s">
        <v>59</v>
      </c>
      <c r="E10" s="0" t="n">
        <v>1</v>
      </c>
      <c r="F10" s="0" t="n">
        <f aca="false">F11+6</f>
        <v>39.284</v>
      </c>
      <c r="G10" s="0" t="n">
        <f aca="false">F10+$B$17</f>
        <v>21.284</v>
      </c>
      <c r="H10" s="0" t="n">
        <f aca="false">F10+$B$16</f>
        <v>50.084</v>
      </c>
    </row>
    <row r="11" customFormat="false" ht="15" hidden="false" customHeight="false" outlineLevel="0" collapsed="false">
      <c r="A11" s="6" t="s">
        <v>60</v>
      </c>
      <c r="B11" s="0" t="n">
        <v>0.5</v>
      </c>
      <c r="E11" s="0" t="n">
        <v>2</v>
      </c>
      <c r="F11" s="0" t="n">
        <f aca="false">F12+6</f>
        <v>33.284</v>
      </c>
      <c r="G11" s="0" t="n">
        <f aca="false">F11+$B$17</f>
        <v>15.284</v>
      </c>
      <c r="H11" s="0" t="n">
        <f aca="false">F11+$B$16</f>
        <v>44.084</v>
      </c>
    </row>
    <row r="12" customFormat="false" ht="15" hidden="false" customHeight="false" outlineLevel="0" collapsed="false">
      <c r="A12" s="6" t="s">
        <v>61</v>
      </c>
      <c r="B12" s="0" t="n">
        <v>0.774</v>
      </c>
      <c r="E12" s="0" t="n">
        <v>3</v>
      </c>
      <c r="F12" s="0" t="n">
        <f aca="false">F13+6</f>
        <v>27.284</v>
      </c>
      <c r="G12" s="0" t="n">
        <f aca="false">F12+$B$17</f>
        <v>9.28399999999999</v>
      </c>
      <c r="H12" s="0" t="n">
        <f aca="false">F12+$B$16</f>
        <v>38.084</v>
      </c>
    </row>
    <row r="13" customFormat="false" ht="15" hidden="false" customHeight="false" outlineLevel="0" collapsed="false">
      <c r="A13" s="6" t="s">
        <v>62</v>
      </c>
      <c r="B13" s="0" t="n">
        <v>1.05</v>
      </c>
      <c r="E13" s="0" t="n">
        <v>4</v>
      </c>
      <c r="F13" s="0" t="n">
        <f aca="false">B14-273</f>
        <v>21.284</v>
      </c>
      <c r="G13" s="0" t="n">
        <f aca="false">F13+$B$17</f>
        <v>3.28399999999999</v>
      </c>
      <c r="H13" s="0" t="n">
        <f aca="false">F13+$B$16</f>
        <v>32.084</v>
      </c>
    </row>
    <row r="14" customFormat="false" ht="15" hidden="false" customHeight="false" outlineLevel="0" collapsed="false">
      <c r="A14" s="6" t="s">
        <v>63</v>
      </c>
      <c r="B14" s="0" t="n">
        <f aca="false">ROUND(C7*D7*B12*B13,3)</f>
        <v>294.284</v>
      </c>
      <c r="E14" s="0" t="n">
        <v>5</v>
      </c>
      <c r="F14" s="0" t="n">
        <f aca="false">F13-6</f>
        <v>15.284</v>
      </c>
      <c r="G14" s="0" t="n">
        <f aca="false">F14+$B$17</f>
        <v>-2.71600000000001</v>
      </c>
      <c r="H14" s="0" t="n">
        <f aca="false">F14+$B$16</f>
        <v>26.084</v>
      </c>
    </row>
    <row r="15" customFormat="false" ht="15" hidden="false" customHeight="false" outlineLevel="0" collapsed="false">
      <c r="A15" s="6" t="s">
        <v>64</v>
      </c>
      <c r="B15" s="0" t="n">
        <f aca="false">ROUND(C7/SQRT(0.7),3)</f>
        <v>0.968</v>
      </c>
      <c r="E15" s="0" t="n">
        <v>6</v>
      </c>
      <c r="F15" s="0" t="n">
        <f aca="false">F14-6</f>
        <v>9.28399999999999</v>
      </c>
      <c r="G15" s="0" t="n">
        <f aca="false">F15+$B$17</f>
        <v>-8.71600000000001</v>
      </c>
      <c r="H15" s="0" t="n">
        <f aca="false">F15+$B$16</f>
        <v>20.084</v>
      </c>
    </row>
    <row r="16" customFormat="false" ht="15" hidden="false" customHeight="false" outlineLevel="0" collapsed="false">
      <c r="A16" s="6" t="s">
        <v>65</v>
      </c>
      <c r="B16" s="0" t="n">
        <f aca="false">F3*0.6</f>
        <v>10.8</v>
      </c>
      <c r="E16" s="0" t="n">
        <v>7</v>
      </c>
      <c r="F16" s="0" t="n">
        <f aca="false">F15-6</f>
        <v>3.28399999999999</v>
      </c>
      <c r="G16" s="0" t="n">
        <f aca="false">F16+$B$17</f>
        <v>-14.716</v>
      </c>
      <c r="H16" s="0" t="n">
        <f aca="false">F16+$B$16</f>
        <v>14.084</v>
      </c>
    </row>
    <row r="17" customFormat="false" ht="15" hidden="false" customHeight="false" outlineLevel="0" collapsed="false">
      <c r="A17" s="6" t="s">
        <v>66</v>
      </c>
      <c r="B17" s="0" t="n">
        <v>-18</v>
      </c>
      <c r="E17" s="0" t="n">
        <v>8</v>
      </c>
      <c r="F17" s="0" t="n">
        <f aca="false">F16-6</f>
        <v>-2.71600000000001</v>
      </c>
      <c r="G17" s="0" t="n">
        <f aca="false">F17+$B$17</f>
        <v>-20.716</v>
      </c>
      <c r="H17" s="0" t="n">
        <f aca="false">F17+$B$16</f>
        <v>8.08399999999999</v>
      </c>
    </row>
    <row r="18" customFormat="false" ht="15" hidden="false" customHeight="false" outlineLevel="0" collapsed="false">
      <c r="A18" s="6" t="s">
        <v>67</v>
      </c>
      <c r="B18" s="0" t="n">
        <f aca="false">0.6*B15</f>
        <v>0.5808</v>
      </c>
      <c r="E18" s="0" t="n">
        <v>9</v>
      </c>
      <c r="F18" s="0" t="n">
        <f aca="false">F17-6</f>
        <v>-8.71600000000001</v>
      </c>
      <c r="G18" s="0" t="n">
        <f aca="false">F18+$B$17</f>
        <v>-26.716</v>
      </c>
      <c r="H18" s="0" t="n">
        <f aca="false">F18+$B$16</f>
        <v>2.08399999999999</v>
      </c>
    </row>
    <row r="19" customFormat="false" ht="15" hidden="false" customHeight="false" outlineLevel="0" collapsed="false">
      <c r="A19" s="6" t="s">
        <v>68</v>
      </c>
      <c r="B19" s="0" t="n">
        <v>-3</v>
      </c>
      <c r="E19" s="0" t="n">
        <v>10</v>
      </c>
      <c r="F19" s="0" t="n">
        <f aca="false">F18-6</f>
        <v>-14.716</v>
      </c>
      <c r="G19" s="0" t="n">
        <f aca="false">F19+$B$17</f>
        <v>-32.716</v>
      </c>
      <c r="H19" s="0" t="n">
        <f aca="false">F19+$B$16</f>
        <v>-3.91600000000001</v>
      </c>
    </row>
    <row r="20" customFormat="false" ht="15" hidden="false" customHeight="false" outlineLevel="0" collapsed="false">
      <c r="A20" s="6" t="s">
        <v>69</v>
      </c>
      <c r="B20" s="8" t="n">
        <f aca="false">B18*15</f>
        <v>8.712</v>
      </c>
      <c r="E20" s="0" t="n">
        <v>11</v>
      </c>
      <c r="F20" s="0" t="n">
        <f aca="false">F19-6</f>
        <v>-20.716</v>
      </c>
      <c r="G20" s="0" t="n">
        <f aca="false">F20+$B$17</f>
        <v>-38.716</v>
      </c>
      <c r="H20" s="0" t="n">
        <f aca="false">F20+$B$16</f>
        <v>-9.91600000000001</v>
      </c>
    </row>
    <row r="21" customFormat="false" ht="15" hidden="false" customHeight="false" outlineLevel="0" collapsed="false">
      <c r="A21" s="6" t="s">
        <v>70</v>
      </c>
      <c r="B21" s="8" t="n">
        <f aca="false">B19*15</f>
        <v>-45</v>
      </c>
    </row>
    <row r="23" customFormat="false" ht="15" hidden="false" customHeight="false" outlineLevel="0" collapsed="false">
      <c r="A23" s="6" t="s">
        <v>71</v>
      </c>
    </row>
    <row r="24" customFormat="false" ht="15" hidden="false" customHeight="false" outlineLevel="0" collapsed="false">
      <c r="A24" s="6" t="s">
        <v>72</v>
      </c>
      <c r="B24" s="0" t="n">
        <v>40</v>
      </c>
    </row>
    <row r="25" customFormat="false" ht="15" hidden="false" customHeight="false" outlineLevel="0" collapsed="false">
      <c r="A25" s="6" t="s">
        <v>58</v>
      </c>
      <c r="B25" s="0" t="s">
        <v>73</v>
      </c>
    </row>
    <row r="26" customFormat="false" ht="15" hidden="false" customHeight="false" outlineLevel="0" collapsed="false">
      <c r="A26" s="6" t="s">
        <v>74</v>
      </c>
      <c r="B26" s="0" t="n">
        <v>6</v>
      </c>
    </row>
    <row r="27" customFormat="false" ht="15" hidden="false" customHeight="false" outlineLevel="0" collapsed="false">
      <c r="A27" s="6" t="s">
        <v>75</v>
      </c>
      <c r="B27" s="0" t="n">
        <v>2</v>
      </c>
    </row>
    <row r="28" customFormat="false" ht="15" hidden="false" customHeight="false" outlineLevel="0" collapsed="false">
      <c r="A28" s="6" t="s">
        <v>76</v>
      </c>
      <c r="B28" s="0" t="n">
        <v>7</v>
      </c>
      <c r="C28" s="0" t="s">
        <v>77</v>
      </c>
    </row>
    <row r="29" customFormat="false" ht="15" hidden="false" customHeight="false" outlineLevel="0" collapsed="false">
      <c r="B29" s="0" t="n">
        <v>2</v>
      </c>
      <c r="C29" s="0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26291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2022-08-14T04:07:50Z</dcterms:created>
  <dc:creator>Jeff Kazmierski</dc:creator>
  <dc:description/>
  <dc:language>en-US</dc:language>
  <cp:lastModifiedBy/>
  <dcterms:modified xsi:type="dcterms:W3CDTF">2025-04-14T06:32:27Z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