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02E9FA21-438D-6141-B188-35A74A4111EA}" xr6:coauthVersionLast="47" xr6:coauthVersionMax="47" xr10:uidLastSave="{00000000-0000-0000-0000-000000000000}"/>
  <bookViews>
    <workbookView xWindow="0" yWindow="500" windowWidth="33600" windowHeight="19380" tabRatio="874" firstSheet="3" activeTab="4"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1" i="21" l="1"/>
  <c r="H218" i="21"/>
  <c r="K27" i="16"/>
  <c r="C36" i="12"/>
  <c r="T65" i="12" s="1"/>
  <c r="A44" i="12"/>
  <c r="A43" i="12"/>
  <c r="A42" i="12"/>
  <c r="A41" i="12"/>
  <c r="A40" i="12"/>
  <c r="A39" i="12"/>
  <c r="A38" i="12"/>
  <c r="T73" i="12"/>
  <c r="T72" i="12"/>
  <c r="T71" i="12"/>
  <c r="T70" i="12"/>
  <c r="T69" i="12"/>
  <c r="T68" i="12"/>
  <c r="T67" i="12"/>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H82" i="21"/>
  <c r="D46" i="3"/>
  <c r="V21" i="7"/>
  <c r="E9" i="2"/>
  <c r="H355" i="21"/>
  <c r="E34" i="13"/>
  <c r="H51" i="21"/>
  <c r="H71" i="21"/>
  <c r="J72"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H86" i="21"/>
  <c r="G86" i="21" s="1"/>
  <c r="H87" i="21"/>
  <c r="H88" i="21"/>
  <c r="H89" i="21"/>
  <c r="G89" i="21" s="1"/>
  <c r="H90" i="21"/>
  <c r="H91" i="21"/>
  <c r="H92" i="21"/>
  <c r="H93" i="21"/>
  <c r="G93" i="21" s="1"/>
  <c r="H94" i="21"/>
  <c r="G94" i="21" s="1"/>
  <c r="H95" i="21"/>
  <c r="G95" i="21" s="1"/>
  <c r="H96" i="21"/>
  <c r="G96" i="21" s="1"/>
  <c r="H97" i="21"/>
  <c r="H98" i="21"/>
  <c r="G98" i="21" s="1"/>
  <c r="H99" i="2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G217" i="21" s="1"/>
  <c r="H219" i="21"/>
  <c r="H220" i="21"/>
  <c r="H223" i="21"/>
  <c r="G223" i="21" s="1"/>
  <c r="H224" i="21"/>
  <c r="G224" i="21" s="1"/>
  <c r="H227" i="21"/>
  <c r="G227" i="21" s="1"/>
  <c r="H246" i="21"/>
  <c r="G246" i="21" s="1"/>
  <c r="H247" i="21"/>
  <c r="H248" i="21"/>
  <c r="H249" i="21"/>
  <c r="H250" i="21"/>
  <c r="G250" i="21" s="1"/>
  <c r="H251" i="2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G302" i="21" s="1"/>
  <c r="H303" i="21"/>
  <c r="G303" i="21" s="1"/>
  <c r="H326" i="21"/>
  <c r="G326" i="21" s="1"/>
  <c r="I326" i="21"/>
  <c r="H330" i="21"/>
  <c r="G330" i="21" s="1"/>
  <c r="H331" i="21"/>
  <c r="G331" i="21" s="1"/>
  <c r="H332" i="21"/>
  <c r="H333" i="21"/>
  <c r="H334" i="21"/>
  <c r="G334" i="21" s="1"/>
  <c r="I334" i="21"/>
  <c r="H335" i="2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F43" i="16"/>
  <c r="H233" i="21" s="1"/>
  <c r="G233" i="21" s="1"/>
  <c r="F42" i="16"/>
  <c r="H232" i="21" s="1"/>
  <c r="G232" i="21" s="1"/>
  <c r="F41" i="16"/>
  <c r="H231" i="21" s="1"/>
  <c r="G231" i="21" s="1"/>
  <c r="F39" i="16"/>
  <c r="H230" i="21" s="1"/>
  <c r="G230" i="21" s="1"/>
  <c r="F38" i="16"/>
  <c r="H229" i="21" s="1"/>
  <c r="G229" i="21" s="1"/>
  <c r="F37" i="16"/>
  <c r="H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5" i="21" l="1"/>
  <c r="G87" i="21" s="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AS481" i="10"/>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248" i="21" l="1"/>
  <c r="G249" i="21" s="1"/>
  <c r="G88" i="21"/>
  <c r="G90" i="21" s="1"/>
  <c r="X481" i="10"/>
  <c r="X474" i="10"/>
  <c r="X440" i="10"/>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349" i="21" s="1"/>
  <c r="H18" i="13"/>
  <c r="H341" i="21" s="1"/>
  <c r="I347" i="21"/>
  <c r="D12" i="12"/>
  <c r="G251" i="21" l="1"/>
  <c r="G91" i="21"/>
  <c r="H351" i="21"/>
  <c r="H347" i="21"/>
  <c r="H343" i="21"/>
  <c r="E4" i="21"/>
  <c r="E5" i="2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I349" i="21"/>
  <c r="I345" i="21"/>
  <c r="H43" i="13"/>
  <c r="I358" i="21" s="1"/>
  <c r="H81" i="21"/>
  <c r="I341" i="21"/>
  <c r="H344" i="2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G92" i="21" l="1"/>
  <c r="G97" i="21" s="1"/>
  <c r="I222" i="21"/>
  <c r="D27" i="16"/>
  <c r="H222" i="21" s="1"/>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U15" i="13"/>
  <c r="H162" i="21"/>
  <c r="H166" i="21"/>
  <c r="G166" i="21" s="1"/>
  <c r="H167" i="21"/>
  <c r="G167" i="21" s="1"/>
  <c r="H170" i="21"/>
  <c r="H163" i="21"/>
  <c r="H169" i="21"/>
  <c r="G169" i="21" s="1"/>
  <c r="H164" i="2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G332" i="21" s="1"/>
  <c r="G99" i="2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G333" i="21" l="1"/>
  <c r="G335" i="21" s="1"/>
  <c r="H3" i="16"/>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F14" i="15" s="1"/>
  <c r="Z39" i="15"/>
  <c r="F9" i="15" s="1"/>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AT85" i="19" l="1"/>
  <c r="AS85" i="19"/>
  <c r="AZ85" i="19"/>
  <c r="AY85" i="19"/>
  <c r="AX85" i="19"/>
  <c r="AW85" i="19"/>
  <c r="AD85" i="19"/>
  <c r="AV85" i="19"/>
  <c r="AC85" i="19"/>
  <c r="AU85" i="19"/>
  <c r="AB85" i="19"/>
  <c r="AU88" i="19"/>
  <c r="AC88" i="19"/>
  <c r="AT88" i="19"/>
  <c r="AB88" i="19"/>
  <c r="AS88" i="19"/>
  <c r="AZ88" i="19"/>
  <c r="AY88" i="19"/>
  <c r="AX88" i="19"/>
  <c r="AW88" i="19"/>
  <c r="AV88" i="19"/>
  <c r="AD88" i="19"/>
  <c r="AS90" i="19"/>
  <c r="AZ90" i="19"/>
  <c r="AY90" i="19"/>
  <c r="AD90" i="19"/>
  <c r="AX90" i="19"/>
  <c r="AC90" i="19"/>
  <c r="AW90" i="19"/>
  <c r="AB90" i="19"/>
  <c r="AV90" i="19"/>
  <c r="AU90" i="19"/>
  <c r="AT90"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67" i="3" s="1"/>
  <c r="Z74" i="3"/>
  <c r="Z73" i="3"/>
  <c r="Z72" i="3"/>
  <c r="Z76" i="3" s="1"/>
  <c r="I126" i="21"/>
  <c r="I127" i="21"/>
  <c r="I141" i="21"/>
  <c r="H141" i="21" s="1"/>
  <c r="G135" i="21"/>
  <c r="G136" i="21" s="1"/>
  <c r="H135" i="21"/>
  <c r="I135" i="21"/>
  <c r="F36" i="10"/>
  <c r="J135" i="21" s="1"/>
  <c r="I143" i="21"/>
  <c r="H143" i="21" s="1"/>
  <c r="G144" i="21"/>
  <c r="H136" i="21"/>
  <c r="F37" i="10"/>
  <c r="J136" i="21" s="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H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G142" i="21" l="1"/>
  <c r="AS28" i="19"/>
  <c r="AX86" i="19"/>
  <c r="AW86" i="19"/>
  <c r="AV86" i="19"/>
  <c r="AU86" i="19"/>
  <c r="AS86" i="19"/>
  <c r="AT86" i="19"/>
  <c r="AD86" i="19"/>
  <c r="AC86" i="19"/>
  <c r="AB86" i="19"/>
  <c r="AZ86" i="19"/>
  <c r="AY86" i="19"/>
  <c r="AU96" i="19"/>
  <c r="AT96" i="19"/>
  <c r="AS96" i="19"/>
  <c r="AZ96" i="19"/>
  <c r="AY96" i="19"/>
  <c r="AX96" i="19"/>
  <c r="AD96" i="19"/>
  <c r="AW96" i="19"/>
  <c r="AC96" i="19"/>
  <c r="AV96" i="19"/>
  <c r="AB96" i="19"/>
  <c r="AX94" i="19"/>
  <c r="AW94" i="19"/>
  <c r="AV94" i="19"/>
  <c r="AU94" i="19"/>
  <c r="AD94" i="19"/>
  <c r="AT94" i="19"/>
  <c r="AC94" i="19"/>
  <c r="AB94" i="19"/>
  <c r="AS94" i="19"/>
  <c r="AZ94" i="19"/>
  <c r="AY94" i="19"/>
  <c r="AZ92" i="19"/>
  <c r="AB92" i="19"/>
  <c r="AY92" i="19"/>
  <c r="AX92" i="19"/>
  <c r="AW92" i="19"/>
  <c r="AV92" i="19"/>
  <c r="AU92" i="19"/>
  <c r="AT92" i="19"/>
  <c r="AD92" i="19"/>
  <c r="AS92" i="19"/>
  <c r="AC92" i="19"/>
  <c r="AD84" i="19"/>
  <c r="AZ84" i="19"/>
  <c r="AC84" i="19"/>
  <c r="AY84" i="19"/>
  <c r="AB84" i="19"/>
  <c r="AX84" i="19"/>
  <c r="AW84" i="19"/>
  <c r="AV84" i="19"/>
  <c r="AS84" i="19"/>
  <c r="AU84" i="19"/>
  <c r="AT84" i="19"/>
  <c r="AZ93" i="19"/>
  <c r="AX93" i="19"/>
  <c r="AD93" i="19"/>
  <c r="AW93" i="19"/>
  <c r="AC93" i="19"/>
  <c r="AV93" i="19"/>
  <c r="AB93" i="19"/>
  <c r="AS93" i="19"/>
  <c r="AY93" i="19"/>
  <c r="AU93" i="19"/>
  <c r="AT93" i="19"/>
  <c r="AZ87" i="19"/>
  <c r="AD87" i="19"/>
  <c r="AY87" i="19"/>
  <c r="AC87" i="19"/>
  <c r="AS87" i="19"/>
  <c r="AX87" i="19"/>
  <c r="AB87" i="19"/>
  <c r="AW87" i="19"/>
  <c r="AV87" i="19"/>
  <c r="AU87" i="19"/>
  <c r="AT87" i="19"/>
  <c r="AV91" i="19"/>
  <c r="AU91" i="19"/>
  <c r="AD91" i="19"/>
  <c r="AT91" i="19"/>
  <c r="AC91" i="19"/>
  <c r="AB91" i="19"/>
  <c r="AZ91" i="19"/>
  <c r="AY91" i="19"/>
  <c r="AX91" i="19"/>
  <c r="AW91" i="19"/>
  <c r="AS91" i="19"/>
  <c r="AY97" i="19"/>
  <c r="AX97" i="19"/>
  <c r="AW97" i="19"/>
  <c r="AV97" i="19"/>
  <c r="AU97" i="19"/>
  <c r="AS97" i="19"/>
  <c r="AT97" i="19"/>
  <c r="AD97" i="19"/>
  <c r="AC97" i="19"/>
  <c r="AB97" i="19"/>
  <c r="AZ97" i="19"/>
  <c r="AY89" i="19"/>
  <c r="AX89" i="19"/>
  <c r="AS89" i="19"/>
  <c r="AW89" i="19"/>
  <c r="AV89" i="19"/>
  <c r="AU89" i="19"/>
  <c r="AT89" i="19"/>
  <c r="AD89" i="19"/>
  <c r="AC89" i="19"/>
  <c r="AB89" i="19"/>
  <c r="AZ89" i="19"/>
  <c r="AD95" i="19"/>
  <c r="AC95" i="19"/>
  <c r="AZ95" i="19"/>
  <c r="AB95" i="19"/>
  <c r="AY95" i="19"/>
  <c r="AX95" i="19"/>
  <c r="AW95" i="19"/>
  <c r="AV95" i="19"/>
  <c r="AS95" i="19"/>
  <c r="AU95" i="19"/>
  <c r="AT95"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1" i="19" s="1"/>
  <c r="AV103" i="20" s="1"/>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G213" i="21" s="1"/>
  <c r="D13" i="16"/>
  <c r="F12" i="16"/>
  <c r="J211" i="21" s="1"/>
  <c r="F11" i="16"/>
  <c r="J210" i="21" s="1"/>
  <c r="D23" i="10"/>
  <c r="F23" i="10"/>
  <c r="J201" i="21" s="1"/>
  <c r="K62" i="10"/>
  <c r="F63" i="10"/>
  <c r="J158" i="21" s="1"/>
  <c r="K60" i="10"/>
  <c r="F61" i="10"/>
  <c r="J156" i="21" s="1"/>
  <c r="F64" i="10"/>
  <c r="J159" i="21" s="1"/>
  <c r="F58" i="10"/>
  <c r="J154" i="21" s="1"/>
  <c r="K54" i="10"/>
  <c r="D12" i="10"/>
  <c r="H192" i="21" s="1"/>
  <c r="F11" i="10"/>
  <c r="J191" i="21" s="1"/>
  <c r="J396" i="21"/>
  <c r="B4" i="7"/>
  <c r="D2" i="7"/>
  <c r="B4" i="6"/>
  <c r="B13" i="6"/>
  <c r="B2" i="6"/>
  <c r="B1" i="6"/>
  <c r="S9" i="4"/>
  <c r="T7" i="4"/>
  <c r="T6" i="4"/>
  <c r="T5" i="4"/>
  <c r="T4" i="4"/>
  <c r="T3" i="4"/>
  <c r="U3" i="4" s="1"/>
  <c r="T2" i="4"/>
  <c r="T44" i="4"/>
  <c r="B2" i="4"/>
  <c r="B1" i="4"/>
  <c r="S32" i="12" l="1"/>
  <c r="J82" i="21"/>
  <c r="F20" i="8"/>
  <c r="G192" i="21"/>
  <c r="I12" i="1"/>
  <c r="K3" i="5"/>
  <c r="A49" i="12"/>
  <c r="T78" i="12"/>
  <c r="I302" i="21"/>
  <c r="S26" i="12"/>
  <c r="I20" i="1"/>
  <c r="K3" i="13"/>
  <c r="O20" i="4"/>
  <c r="K3" i="12"/>
  <c r="A9" i="5"/>
  <c r="H8" i="5"/>
  <c r="AQ28" i="19"/>
  <c r="J130" i="21"/>
  <c r="F5" i="15"/>
  <c r="G17" i="1" s="1"/>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S32" i="10"/>
  <c r="K3" i="10" s="1"/>
  <c r="L6" i="8"/>
  <c r="L15" i="4"/>
  <c r="M4" i="1" s="1"/>
  <c r="L6" i="15"/>
  <c r="L6" i="3"/>
  <c r="L6" i="5"/>
  <c r="L6" i="2"/>
  <c r="M3" i="1"/>
  <c r="J88" i="21" l="1"/>
  <c r="H20" i="8"/>
  <c r="K20" i="8"/>
  <c r="S17" i="8" s="1"/>
  <c r="K3" i="8" s="1"/>
  <c r="G163" i="21"/>
  <c r="G164" i="21" s="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4"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H33" i="8"/>
  <c r="I100" i="21" s="1"/>
  <c r="S93" i="3"/>
  <c r="T29" i="4"/>
  <c r="T17" i="4"/>
  <c r="H12" i="4" s="1"/>
  <c r="T27" i="4"/>
  <c r="T28" i="4"/>
  <c r="V32" i="6"/>
  <c r="T32" i="6" s="1"/>
  <c r="H17" i="6" s="1"/>
  <c r="L6" i="12"/>
  <c r="L6" i="13"/>
  <c r="L6" i="16"/>
  <c r="P6" i="11"/>
  <c r="L6" i="10"/>
  <c r="V9" i="6"/>
  <c r="T9" i="6" s="1"/>
  <c r="O16" i="4" l="1"/>
  <c r="I15" i="1"/>
  <c r="I88" i="21"/>
  <c r="S21" i="8"/>
  <c r="S22" i="8" s="1"/>
  <c r="F33" i="8" s="1"/>
  <c r="J100" i="21" s="1"/>
  <c r="G345" i="21"/>
  <c r="I17" i="1"/>
  <c r="E13" i="21"/>
  <c r="F12" i="21"/>
  <c r="X2" i="4"/>
  <c r="X7" i="4"/>
  <c r="X6" i="4"/>
  <c r="X4" i="4"/>
  <c r="X5" i="4"/>
  <c r="AW17" i="10"/>
  <c r="AX16" i="10"/>
  <c r="G131" i="21"/>
  <c r="G132" i="21" s="1"/>
  <c r="T45" i="4"/>
  <c r="I18" i="21"/>
  <c r="C44" i="1"/>
  <c r="E44" i="1" s="1"/>
  <c r="G353" i="21"/>
  <c r="J402" i="21"/>
  <c r="H402" i="21"/>
  <c r="J401" i="21"/>
  <c r="H401" i="21"/>
  <c r="I44" i="21"/>
  <c r="G354" i="21"/>
  <c r="S14" i="8"/>
  <c r="U76" i="12" s="1"/>
  <c r="I26" i="21"/>
  <c r="H15" i="4"/>
  <c r="H27" i="21" s="1"/>
  <c r="H16" i="4"/>
  <c r="H31" i="21" s="1"/>
  <c r="J18" i="21"/>
  <c r="G18" i="21" s="1"/>
  <c r="S57" i="2"/>
  <c r="H3" i="2" s="1"/>
  <c r="AZ9" i="3"/>
  <c r="AZ8" i="3"/>
  <c r="S98" i="3"/>
  <c r="X3" i="4"/>
  <c r="E25" i="3"/>
  <c r="G346" i="21" l="1"/>
  <c r="G347" i="21" s="1"/>
  <c r="A47" i="12"/>
  <c r="T76" i="12"/>
  <c r="E14" i="21"/>
  <c r="F13" i="21"/>
  <c r="H15" i="1"/>
  <c r="H3" i="8"/>
  <c r="H10" i="5"/>
  <c r="H32" i="21" s="1"/>
  <c r="AX17" i="10"/>
  <c r="AW18" i="10"/>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G348" i="21" l="1"/>
  <c r="G349" i="21" s="1"/>
  <c r="E15" i="2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G350" i="21" l="1"/>
  <c r="G351" i="21" s="1"/>
  <c r="F15" i="21"/>
  <c r="E16" i="21"/>
  <c r="AW20" i="10"/>
  <c r="AX19" i="10"/>
  <c r="J67" i="21"/>
  <c r="G14" i="1"/>
  <c r="D46" i="1"/>
  <c r="A45" i="1"/>
  <c r="H415" i="21" s="1"/>
  <c r="G33" i="21"/>
  <c r="J50" i="21"/>
  <c r="F36" i="5"/>
  <c r="J40" i="21" s="1"/>
  <c r="I40" i="21"/>
  <c r="T25" i="5"/>
  <c r="H460" i="21" s="1"/>
  <c r="G460" i="21" s="1"/>
  <c r="F15" i="4"/>
  <c r="J27" i="21" s="1"/>
  <c r="I6" i="13"/>
  <c r="J6" i="11"/>
  <c r="I6" i="12"/>
  <c r="I6" i="16"/>
  <c r="I6" i="10"/>
  <c r="S6" i="5"/>
  <c r="G352" i="21" l="1"/>
  <c r="G355" i="21" s="1"/>
  <c r="E17" i="2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A50" i="12" l="1"/>
  <c r="T79"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E21" i="21" l="1"/>
  <c r="F20" i="21"/>
  <c r="G203" i="21"/>
  <c r="L3" i="1"/>
  <c r="K6" i="5" s="1"/>
  <c r="K3" i="3"/>
  <c r="AW25" i="10"/>
  <c r="AX24" i="10"/>
  <c r="A6" i="6"/>
  <c r="W2" i="6"/>
  <c r="S2" i="6"/>
  <c r="C48" i="1"/>
  <c r="E48" i="1"/>
  <c r="H399" i="21"/>
  <c r="G380" i="21"/>
  <c r="G12" i="11"/>
  <c r="J379" i="21" s="1"/>
  <c r="G13" i="11"/>
  <c r="J380"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204" i="21" l="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G215" i="21" l="1"/>
  <c r="A46" i="12"/>
  <c r="T75" i="12"/>
  <c r="H3" i="6"/>
  <c r="F23" i="21"/>
  <c r="E24" i="21"/>
  <c r="AW28" i="10"/>
  <c r="AX27" i="10"/>
  <c r="F5" i="6"/>
  <c r="G13" i="1" s="1"/>
  <c r="T43" i="6"/>
  <c r="T37" i="6" s="1"/>
  <c r="H461" i="21" s="1"/>
  <c r="G461" i="21" s="1"/>
  <c r="H13" i="1"/>
  <c r="D50" i="1"/>
  <c r="A49" i="1"/>
  <c r="H419" i="21" s="1"/>
  <c r="U100" i="3"/>
  <c r="F9" i="12"/>
  <c r="F7" i="12" s="1"/>
  <c r="G218" i="21" l="1"/>
  <c r="F24" i="21"/>
  <c r="E25" i="21"/>
  <c r="AW29" i="10"/>
  <c r="AX28" i="10"/>
  <c r="C50" i="1"/>
  <c r="E50" i="1"/>
  <c r="B26" i="1"/>
  <c r="J374" i="21" s="1"/>
  <c r="O27" i="4"/>
  <c r="O29" i="4"/>
  <c r="O28" i="4"/>
  <c r="H47" i="3"/>
  <c r="I20" i="21" s="1"/>
  <c r="G219" i="21" l="1"/>
  <c r="F25" i="21"/>
  <c r="E26" i="21"/>
  <c r="AX29" i="10"/>
  <c r="AW30" i="10"/>
  <c r="D51" i="1"/>
  <c r="A50" i="1"/>
  <c r="H420" i="21" s="1"/>
  <c r="T90" i="3"/>
  <c r="U70" i="3"/>
  <c r="F42" i="3" s="1"/>
  <c r="S63" i="3"/>
  <c r="G220" i="21" l="1"/>
  <c r="G222" i="21" s="1"/>
  <c r="U74" i="12"/>
  <c r="F26" i="21"/>
  <c r="E27" i="21"/>
  <c r="T73" i="3"/>
  <c r="T82" i="3" s="1"/>
  <c r="H3" i="3"/>
  <c r="AW31" i="10"/>
  <c r="AX30" i="10"/>
  <c r="F46" i="3"/>
  <c r="Y26" i="3" s="1"/>
  <c r="C51" i="1"/>
  <c r="E51" i="1"/>
  <c r="H10" i="1"/>
  <c r="Y45" i="3"/>
  <c r="Y50" i="3"/>
  <c r="Y49" i="3" s="1"/>
  <c r="F47" i="3" s="1"/>
  <c r="Y46" i="3"/>
  <c r="Y48" i="3"/>
  <c r="Y47" i="3"/>
  <c r="G225" i="21" l="1"/>
  <c r="G226" i="21" s="1"/>
  <c r="G228" i="21" s="1"/>
  <c r="G234" i="21" s="1"/>
  <c r="A45" i="12"/>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202" i="21" s="1"/>
  <c r="C236" i="21"/>
  <c r="D299" i="21"/>
  <c r="C239" i="21"/>
  <c r="C88" i="21"/>
  <c r="A183" i="21"/>
  <c r="A23" i="21"/>
  <c r="A79" i="21"/>
  <c r="B207" i="21"/>
  <c r="D155" i="21"/>
  <c r="B42" i="21"/>
  <c r="B165" i="21"/>
  <c r="C276" i="21"/>
  <c r="B241" i="21"/>
  <c r="C94"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alcChain>
</file>

<file path=xl/sharedStrings.xml><?xml version="1.0" encoding="utf-8"?>
<sst xmlns="http://schemas.openxmlformats.org/spreadsheetml/2006/main" count="4642" uniqueCount="2461">
  <si>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</si>
  <si>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</si>
  <si>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</si>
  <si>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</si>
  <si>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</si>
  <si>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</si>
  <si>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</si>
  <si>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</si>
  <si>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</si>
  <si>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</si>
  <si>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</si>
  <si>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</si>
  <si>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</si>
  <si>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</si>
  <si>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</si>
  <si>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</si>
  <si>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</si>
  <si>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</si>
  <si>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</si>
  <si>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</si>
  <si>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</si>
  <si>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</si>
  <si>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</si>
  <si>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</si>
  <si>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</si>
  <si>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</si>
  <si>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</si>
  <si>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</si>
  <si>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</si>
  <si>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</si>
  <si>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</si>
  <si>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</si>
  <si>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</si>
  <si>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</si>
  <si>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</si>
  <si>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</si>
  <si>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</si>
  <si>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</si>
  <si>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</si>
  <si>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</si>
  <si>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</si>
  <si>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</si>
  <si>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</si>
  <si>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</si>
  <si>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</si>
  <si>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</si>
  <si>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</si>
  <si>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</si>
  <si>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</si>
  <si>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</si>
  <si>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</si>
  <si>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</si>
  <si>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</si>
  <si>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</si>
  <si>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</si>
  <si>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</si>
  <si>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</si>
  <si>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</si>
  <si>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</si>
  <si>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</si>
  <si>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</si>
  <si>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</si>
  <si>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</si>
  <si>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</si>
  <si>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</si>
  <si>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</si>
  <si>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</si>
  <si>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</si>
  <si>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</si>
  <si>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</si>
  <si>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</si>
  <si>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</si>
  <si>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</si>
  <si>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</si>
  <si>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</si>
  <si>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</si>
  <si>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</si>
  <si>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</si>
  <si>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</si>
  <si>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</si>
  <si>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</si>
  <si>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</si>
  <si>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</si>
  <si>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</si>
  <si>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</si>
  <si>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</si>
  <si>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</si>
  <si>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</si>
  <si>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</si>
  <si>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</si>
  <si>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</si>
  <si>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</si>
  <si>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</si>
  <si>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</si>
  <si>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</si>
  <si>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</si>
  <si>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</si>
  <si>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</si>
  <si>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</si>
  <si>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</si>
  <si>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</si>
  <si>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</si>
  <si>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</si>
  <si>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</si>
  <si>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</si>
  <si>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</si>
  <si>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</si>
  <si>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</si>
  <si>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</si>
  <si>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</si>
  <si>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</si>
  <si>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</si>
  <si>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</si>
  <si>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</si>
  <si>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</si>
  <si>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</si>
  <si>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</si>
  <si>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</si>
  <si>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</si>
  <si>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</si>
  <si>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</si>
  <si>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</si>
  <si>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</si>
  <si>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</si>
  <si>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</si>
  <si>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</si>
  <si>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</si>
  <si>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</si>
  <si>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</si>
  <si>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</si>
  <si>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</si>
  <si>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</si>
  <si>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</si>
  <si>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</si>
  <si>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</si>
  <si>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</si>
  <si>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</si>
  <si>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</si>
  <si>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</si>
  <si>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</si>
  <si>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</si>
  <si>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</si>
  <si>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</si>
  <si>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</si>
  <si>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</si>
  <si>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</si>
  <si>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</si>
  <si>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</si>
  <si>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</si>
  <si>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</si>
  <si>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</si>
  <si>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</si>
  <si>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</si>
  <si>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</si>
  <si>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</si>
  <si>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</si>
  <si>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</si>
  <si>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</si>
  <si>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</si>
  <si>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</si>
  <si>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</si>
  <si>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</si>
  <si>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</si>
  <si>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</si>
  <si>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</si>
  <si>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</si>
  <si>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</si>
  <si>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</si>
  <si>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</si>
  <si>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</si>
  <si>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</si>
  <si>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</si>
  <si>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</si>
  <si>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</si>
  <si>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</si>
  <si>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</si>
  <si>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</si>
  <si>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</si>
  <si>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</si>
  <si>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</si>
  <si>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</si>
  <si>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</si>
  <si>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</si>
  <si>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</si>
  <si>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</si>
  <si>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</si>
  <si>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</si>
  <si>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</si>
  <si>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</si>
  <si>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</si>
  <si>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</si>
  <si>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</si>
  <si>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</si>
  <si>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</si>
  <si>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</si>
  <si>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</si>
  <si>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</si>
  <si>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</si>
  <si>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</si>
  <si>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</si>
  <si>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</si>
  <si>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</si>
  <si>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</si>
  <si>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</si>
  <si>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</si>
  <si>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</si>
  <si>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</si>
  <si>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</si>
  <si>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</si>
  <si>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</si>
  <si>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</si>
  <si>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</si>
  <si>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</si>
  <si>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</si>
  <si>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</si>
  <si>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</si>
  <si>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</si>
  <si>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</si>
  <si>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</si>
  <si>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</si>
  <si>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</si>
  <si>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</si>
  <si>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</si>
  <si>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</si>
  <si>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</si>
  <si>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</si>
  <si>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</si>
  <si>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</si>
  <si>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</si>
  <si>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</si>
  <si>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</si>
  <si>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</si>
  <si>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</si>
  <si>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</si>
  <si>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</si>
  <si>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</si>
  <si>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</si>
  <si>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</si>
  <si>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</si>
  <si>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</si>
  <si>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</si>
  <si>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</si>
  <si>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</si>
  <si>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</si>
  <si>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</si>
  <si>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</si>
  <si>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</si>
  <si>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</si>
  <si>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</si>
  <si>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</si>
  <si>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</si>
  <si>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</si>
  <si>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</si>
  <si>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</si>
  <si>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</si>
  <si>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</si>
  <si>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</si>
  <si>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</si>
  <si>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</si>
  <si>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</si>
  <si>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</si>
  <si>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</si>
  <si>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</si>
  <si>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</si>
  <si>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</si>
  <si>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</si>
  <si>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</si>
  <si>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</si>
  <si>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</si>
  <si>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</si>
  <si>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</si>
  <si>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</si>
  <si>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</si>
  <si>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</si>
  <si>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</si>
  <si>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</si>
  <si>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</si>
  <si>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</si>
  <si>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</si>
  <si>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</si>
  <si>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</si>
  <si>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</si>
  <si>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</si>
  <si>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</si>
  <si>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</si>
  <si>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</si>
  <si>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</si>
  <si>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</si>
  <si>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</si>
  <si>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</si>
  <si>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</si>
  <si>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</si>
  <si>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</si>
  <si>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</si>
  <si>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</si>
  <si>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</si>
  <si>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</si>
  <si>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</si>
  <si>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</si>
  <si>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</si>
  <si>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</si>
  <si>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</si>
  <si>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</si>
  <si>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</si>
  <si>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</si>
  <si>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</si>
  <si>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</si>
  <si>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</si>
  <si>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</si>
  <si>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</si>
  <si>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</si>
  <si>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</si>
  <si>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</si>
  <si>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</si>
  <si>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</si>
  <si>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</si>
  <si>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</si>
  <si>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</si>
  <si>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</si>
  <si>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</si>
  <si>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</si>
  <si>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</si>
  <si>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</si>
  <si>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</si>
  <si>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</si>
  <si>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</si>
  <si>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</si>
  <si>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</si>
  <si>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</si>
  <si>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</si>
  <si>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</si>
  <si>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</si>
  <si>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</si>
  <si>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</si>
  <si>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</si>
  <si>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</si>
  <si>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</si>
  <si>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</si>
  <si>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</si>
  <si>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</si>
  <si>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</si>
  <si>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</si>
  <si>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</si>
  <si>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</si>
  <si>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</si>
  <si>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</si>
  <si>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</si>
  <si>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</si>
  <si>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</si>
  <si>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</si>
  <si>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</si>
  <si>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</si>
  <si>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</si>
  <si>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</si>
  <si>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</si>
  <si>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</si>
  <si>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</si>
  <si>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</si>
  <si>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</si>
  <si>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</si>
  <si>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</si>
  <si>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</si>
  <si>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</si>
  <si>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</si>
  <si>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</si>
  <si>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</si>
  <si>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</si>
  <si>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</si>
  <si>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</si>
  <si>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</si>
  <si>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</si>
  <si>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</si>
  <si>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</si>
  <si>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</si>
  <si>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</si>
  <si>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</si>
  <si>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</si>
  <si>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</si>
  <si>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</si>
  <si>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</si>
  <si>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</si>
  <si>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</si>
  <si>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</si>
  <si>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</si>
  <si>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</si>
  <si>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</si>
  <si>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</si>
  <si>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</si>
  <si>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</si>
  <si>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</si>
  <si>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</si>
  <si>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</si>
  <si>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</si>
  <si>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</si>
  <si>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</si>
  <si>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</si>
  <si>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</si>
  <si>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</si>
  <si>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</si>
  <si>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</si>
  <si>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</si>
  <si>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</si>
  <si>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</si>
  <si>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</si>
  <si>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</si>
  <si>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</si>
  <si>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</si>
  <si>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</si>
  <si>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</si>
  <si>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</si>
  <si>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</si>
  <si>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</si>
  <si>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</si>
  <si>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</si>
  <si>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</si>
  <si>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</si>
  <si>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</si>
  <si>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</si>
  <si>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</si>
  <si>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</si>
  <si>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</si>
  <si>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</si>
  <si>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</si>
  <si>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</si>
  <si>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</si>
  <si>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</si>
  <si>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</si>
  <si>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</si>
  <si>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</si>
  <si>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</si>
  <si>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</si>
  <si>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</si>
  <si>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</si>
  <si>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</si>
  <si>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</si>
  <si>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</si>
  <si>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</si>
  <si>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</si>
  <si>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</si>
  <si>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</si>
  <si>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</si>
  <si>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</si>
  <si>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</si>
  <si>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</si>
  <si>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</si>
  <si>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</si>
  <si>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</si>
  <si>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</si>
  <si>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</si>
  <si>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</si>
  <si>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</si>
  <si>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</si>
  <si>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</si>
  <si>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</si>
  <si>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</si>
  <si>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</si>
  <si>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</si>
  <si>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</si>
  <si>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</si>
  <si>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</si>
  <si>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</si>
  <si>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</si>
  <si>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</si>
  <si>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</si>
  <si>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</si>
  <si>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</si>
  <si>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</si>
  <si>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</si>
  <si>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</si>
  <si>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</si>
  <si>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</si>
  <si>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</si>
  <si>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</si>
  <si>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</si>
  <si>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</si>
  <si>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</si>
  <si>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</si>
  <si>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</si>
  <si>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</si>
  <si>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</si>
  <si>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</si>
  <si>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</si>
  <si>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</si>
  <si>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</si>
  <si>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</si>
  <si>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</si>
  <si>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</si>
  <si>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</si>
  <si>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</si>
  <si>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</si>
  <si>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</si>
  <si>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</si>
  <si>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</si>
  <si>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</si>
  <si>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</si>
  <si>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</si>
  <si>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</si>
  <si>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</si>
  <si>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</si>
  <si>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</si>
  <si>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</si>
  <si>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</si>
  <si>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</si>
  <si>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</si>
  <si>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</si>
  <si>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</si>
  <si>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</si>
  <si>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</si>
  <si>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</si>
  <si>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</si>
  <si>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</si>
  <si>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</si>
  <si>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</si>
  <si>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</si>
  <si>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</si>
  <si>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</si>
  <si>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</si>
  <si>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</si>
  <si>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</si>
  <si>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</si>
  <si>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</si>
  <si>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</si>
  <si>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</si>
  <si>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</si>
  <si>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</si>
  <si>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</si>
  <si>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</si>
  <si>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</si>
  <si>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</si>
  <si>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</si>
  <si>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</si>
  <si>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</si>
  <si>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</si>
  <si>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</si>
  <si>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</si>
  <si>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</si>
  <si>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</si>
  <si>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</si>
  <si>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</si>
  <si>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</si>
  <si>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</si>
  <si>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</si>
  <si>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</si>
  <si>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</si>
  <si>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</si>
  <si>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</si>
  <si>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</si>
  <si>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</si>
  <si>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</si>
  <si>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</si>
  <si>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</si>
  <si>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</si>
  <si>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</si>
  <si>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</si>
  <si>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</si>
  <si>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</si>
  <si>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</si>
  <si>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</si>
  <si>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</si>
  <si>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</si>
  <si>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</si>
  <si>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</si>
  <si>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</si>
  <si>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</si>
  <si>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</si>
  <si>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</si>
  <si>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</si>
  <si>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</si>
  <si>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</si>
  <si>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</si>
  <si>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</si>
  <si>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</si>
  <si>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</si>
  <si>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</si>
  <si>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</si>
  <si>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</si>
  <si>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</si>
  <si>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</si>
  <si>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</si>
  <si>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</si>
  <si>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</si>
  <si>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</si>
  <si>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</si>
  <si>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</si>
  <si>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</si>
  <si>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</si>
  <si>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</si>
  <si>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</si>
  <si>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</si>
  <si>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</si>
  <si>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</si>
  <si>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</si>
  <si>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</si>
  <si>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</si>
  <si>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</si>
  <si>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</si>
  <si>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</si>
  <si>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</si>
  <si>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</si>
  <si>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</si>
  <si>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</si>
  <si>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</si>
  <si>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</si>
  <si>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</si>
  <si>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</si>
  <si>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</si>
  <si>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</si>
  <si>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</si>
  <si>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</si>
  <si>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</si>
  <si>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</si>
  <si>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</si>
  <si>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</si>
  <si>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</si>
  <si>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</si>
  <si>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</si>
  <si>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</si>
  <si>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</si>
  <si>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</si>
  <si>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</si>
  <si>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</si>
  <si>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</si>
  <si>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</si>
  <si>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</si>
  <si>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</si>
  <si>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</si>
  <si>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</si>
  <si>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</si>
  <si>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</si>
  <si>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</si>
  <si>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</si>
  <si>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</si>
  <si>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</si>
  <si>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</si>
  <si>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</si>
  <si>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</si>
  <si>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</si>
  <si>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</si>
  <si>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</si>
  <si>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</si>
  <si>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</si>
  <si>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</si>
  <si>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</si>
  <si>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</si>
  <si>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</si>
  <si>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</si>
  <si>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</si>
  <si>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</si>
  <si>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</si>
  <si>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</si>
  <si>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</si>
  <si>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</si>
  <si>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</si>
  <si>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</si>
  <si>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</si>
  <si>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</si>
  <si>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</si>
  <si>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</si>
  <si>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</si>
  <si>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</si>
  <si>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</si>
  <si>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</si>
  <si>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</si>
  <si>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</si>
  <si>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</si>
  <si>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</si>
  <si>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</si>
  <si>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</si>
  <si>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</si>
  <si>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</si>
  <si>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</si>
  <si>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</si>
  <si>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</si>
  <si>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</si>
  <si>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</si>
  <si>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</si>
  <si>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</si>
  <si>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</si>
  <si>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</si>
  <si>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</si>
  <si>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</si>
  <si>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</si>
  <si>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</si>
  <si>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</si>
  <si>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</si>
  <si>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</si>
  <si>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</si>
  <si>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</si>
  <si>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</si>
  <si>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</si>
  <si>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</si>
  <si>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</si>
  <si>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</si>
  <si>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</si>
  <si>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</si>
  <si>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</si>
  <si>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</si>
  <si>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</si>
  <si>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</si>
  <si>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</si>
  <si>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</si>
  <si>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</si>
  <si>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</si>
  <si>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</si>
  <si>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</si>
  <si>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</si>
  <si>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</si>
  <si>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</si>
  <si>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</si>
  <si>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</si>
  <si>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</si>
  <si>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</si>
  <si>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</si>
  <si>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</si>
  <si>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</si>
  <si>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</si>
  <si>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</si>
  <si>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</si>
  <si>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</si>
  <si>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</si>
  <si>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</si>
  <si>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</si>
  <si>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</si>
  <si>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</si>
  <si>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</si>
  <si>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</si>
  <si>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</si>
  <si>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</si>
  <si>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</si>
  <si>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</si>
  <si>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</si>
  <si>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</si>
  <si>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</si>
  <si>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</si>
  <si>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</si>
  <si>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</si>
  <si>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</si>
  <si>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</si>
  <si>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</si>
  <si>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</si>
  <si>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</si>
  <si>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</si>
  <si>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</si>
  <si>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</si>
  <si>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</si>
  <si>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</si>
  <si>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</si>
  <si>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</si>
  <si>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</si>
  <si>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</si>
  <si>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</si>
  <si>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</si>
  <si>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</si>
  <si>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</si>
  <si>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</si>
  <si>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</si>
  <si>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</si>
  <si>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</si>
  <si>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</si>
  <si>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</si>
  <si>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</si>
  <si>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</si>
  <si>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</si>
  <si>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</si>
  <si>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</si>
  <si>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</si>
  <si>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</si>
  <si>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</si>
  <si>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</si>
  <si>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</si>
  <si>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</si>
  <si>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</si>
  <si>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</si>
  <si>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</si>
  <si>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</si>
  <si>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</si>
  <si>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</si>
  <si>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</si>
  <si>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</si>
  <si>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</si>
  <si>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</si>
  <si>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</si>
  <si>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</si>
  <si>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</si>
  <si>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</si>
  <si>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</si>
  <si>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</si>
  <si>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</si>
  <si>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</si>
  <si>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</si>
  <si>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</si>
  <si>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</si>
  <si>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</si>
  <si>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</si>
  <si>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</si>
  <si>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</si>
  <si>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</si>
  <si>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</si>
  <si>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</si>
  <si>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</si>
  <si>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</si>
  <si>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</si>
  <si>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</si>
  <si>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</si>
  <si>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</si>
  <si>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</si>
  <si>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</si>
  <si>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</si>
  <si>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</si>
  <si>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</si>
  <si>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</si>
  <si>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</si>
  <si>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</si>
  <si>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</si>
  <si>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</si>
  <si>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</si>
  <si>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</si>
  <si>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</si>
  <si>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</si>
  <si>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</si>
  <si>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</si>
  <si>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</si>
  <si>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</si>
  <si>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</si>
  <si>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</si>
  <si>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</si>
  <si>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</si>
  <si>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</si>
  <si>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</si>
  <si>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</si>
  <si>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</si>
  <si>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</si>
  <si>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</si>
  <si>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</si>
  <si>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</si>
  <si>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</si>
  <si>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</si>
  <si>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</si>
  <si>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</si>
  <si>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</si>
  <si>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</si>
  <si>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</si>
  <si>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</si>
  <si>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</si>
  <si>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</si>
  <si>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</si>
  <si>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</si>
  <si>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</si>
  <si>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</si>
  <si>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</si>
  <si>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</si>
  <si>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</si>
  <si>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</si>
  <si>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</si>
  <si>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</si>
  <si>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</si>
  <si>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</si>
  <si>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</si>
  <si>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</si>
  <si>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</si>
  <si>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</si>
  <si>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</si>
  <si>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</si>
  <si>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</si>
  <si>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</si>
  <si>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</si>
  <si>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</si>
  <si>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</si>
  <si>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</si>
  <si>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</si>
  <si>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</si>
  <si>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</si>
  <si>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</si>
  <si>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</si>
  <si>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</si>
  <si>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</si>
  <si>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</si>
  <si>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</si>
  <si>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</si>
  <si>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</si>
  <si>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</si>
  <si>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</si>
  <si>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</si>
  <si>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</si>
  <si>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</si>
  <si>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</si>
  <si>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</si>
  <si>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</si>
  <si>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</si>
  <si>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</si>
  <si>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</si>
  <si>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</si>
  <si>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</si>
  <si>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</si>
  <si>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</si>
  <si>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</si>
  <si>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</si>
  <si>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</si>
  <si>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</si>
  <si>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</si>
  <si>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</si>
  <si>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</si>
  <si>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</si>
  <si>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</si>
  <si>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</si>
  <si>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</si>
  <si>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</si>
  <si>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</si>
  <si>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</si>
  <si>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</si>
  <si>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</si>
  <si>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</si>
  <si>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</si>
  <si>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</si>
  <si>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</si>
  <si>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</si>
  <si>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</si>
  <si>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</si>
  <si>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</si>
  <si>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</si>
  <si>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</si>
  <si>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</si>
  <si>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</si>
  <si>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</si>
  <si>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</si>
  <si>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</si>
  <si>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</si>
  <si>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</si>
  <si>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</si>
  <si>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</si>
  <si>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</si>
  <si>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</si>
  <si>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</si>
  <si>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</si>
  <si>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</si>
  <si>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</si>
  <si>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</si>
  <si>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</si>
  <si>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</si>
  <si>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</si>
  <si>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</si>
  <si>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</si>
  <si>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</si>
  <si>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</si>
  <si>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</si>
  <si>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</si>
  <si>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</si>
  <si>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</si>
  <si>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</si>
  <si>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</si>
  <si>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</si>
  <si>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</si>
  <si>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</si>
  <si>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</si>
  <si>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</si>
  <si>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</si>
  <si>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</si>
  <si>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</si>
  <si>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</si>
  <si>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</si>
  <si>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</si>
  <si>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</si>
  <si>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</si>
  <si>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</si>
  <si>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</si>
  <si>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</si>
  <si>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</si>
  <si>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</si>
  <si>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</si>
  <si>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</si>
  <si>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</si>
  <si>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</si>
  <si>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</si>
  <si>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</si>
  <si>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</si>
  <si>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</si>
  <si>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</si>
  <si>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</si>
  <si>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</si>
  <si>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</si>
  <si>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</si>
  <si>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</si>
  <si>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</si>
  <si>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</si>
  <si>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</si>
  <si>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</si>
  <si>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</si>
  <si>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</si>
  <si>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</si>
  <si>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</si>
  <si>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</si>
  <si>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</si>
  <si>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</si>
  <si>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</si>
  <si>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</si>
  <si>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</si>
  <si>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</si>
  <si>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</si>
  <si>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</si>
  <si>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</si>
  <si>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</si>
  <si>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</si>
  <si>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</si>
  <si>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</si>
  <si>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</si>
  <si>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</si>
  <si>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</si>
  <si>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</si>
  <si>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</si>
  <si>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</si>
  <si>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</si>
  <si>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</si>
  <si>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</si>
  <si>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</si>
  <si>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</si>
  <si>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</si>
  <si>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</si>
  <si>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</si>
  <si>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</si>
  <si>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</si>
  <si>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</si>
  <si>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</si>
  <si>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</si>
  <si>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</si>
  <si>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</si>
  <si>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</si>
  <si>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</si>
  <si>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</si>
  <si>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</si>
  <si>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</si>
  <si>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</si>
  <si>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</si>
  <si>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</si>
  <si>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</si>
  <si>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</si>
  <si>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</si>
  <si>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</si>
  <si>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</si>
  <si>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</si>
  <si>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</si>
  <si>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</si>
  <si>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</si>
  <si>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</si>
  <si>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</si>
  <si>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</si>
  <si>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</si>
  <si>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</si>
  <si>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</si>
  <si>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</si>
  <si>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</si>
  <si>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</si>
  <si>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</si>
  <si>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</si>
  <si>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</si>
  <si>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</si>
  <si>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</si>
  <si>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</si>
  <si>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</si>
  <si>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</si>
  <si>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</si>
  <si>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</si>
  <si>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</si>
  <si>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</si>
  <si>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</si>
  <si>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</si>
  <si>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</si>
  <si>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</si>
  <si>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</si>
  <si>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</si>
  <si>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</si>
  <si>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</si>
  <si>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</si>
  <si>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</si>
  <si>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</si>
  <si>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</si>
  <si>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</si>
  <si>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</si>
  <si>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</si>
  <si>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</si>
  <si>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</si>
  <si>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</si>
  <si>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</si>
  <si>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</si>
  <si>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</si>
  <si>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</si>
  <si>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</si>
  <si>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</si>
  <si>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</si>
  <si>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</si>
  <si>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</si>
  <si>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</si>
  <si>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</si>
  <si>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</si>
  <si>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</si>
  <si>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</si>
  <si>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</si>
  <si>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</si>
  <si>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</si>
  <si>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</si>
  <si>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</si>
  <si>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</si>
  <si>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</si>
  <si>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</si>
  <si>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</si>
  <si>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</si>
  <si>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</si>
  <si>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</si>
  <si>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</si>
  <si>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</si>
  <si>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</si>
  <si>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</si>
  <si>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</si>
  <si>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</si>
  <si>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</si>
  <si>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</si>
  <si>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</si>
  <si>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</si>
  <si>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</si>
  <si>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</si>
  <si>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</si>
  <si>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</si>
  <si>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</si>
  <si>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</si>
  <si>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</si>
  <si>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</si>
  <si>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</si>
  <si>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</si>
  <si>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</si>
  <si>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</si>
  <si>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</si>
  <si>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</si>
  <si>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</si>
  <si>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</si>
  <si>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</si>
  <si>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</si>
  <si>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</si>
  <si>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</si>
  <si>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</si>
  <si>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</si>
  <si>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</si>
  <si>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</si>
  <si>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</si>
  <si>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</si>
  <si>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</si>
  <si>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</si>
  <si>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</si>
  <si>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</si>
  <si>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</si>
  <si>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</si>
  <si>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</si>
  <si>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</si>
  <si>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</si>
  <si>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</si>
  <si>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</si>
  <si>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</si>
  <si>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</si>
  <si>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</si>
  <si>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</si>
  <si>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</si>
  <si>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</si>
  <si>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</si>
  <si>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</si>
  <si>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</si>
  <si>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</si>
  <si>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</si>
  <si>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</si>
  <si>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</si>
  <si>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</si>
  <si>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</si>
  <si>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</si>
  <si>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</si>
  <si>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</si>
  <si>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</si>
  <si>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</si>
  <si>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</si>
  <si>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</si>
  <si>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</si>
  <si>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</si>
  <si>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</si>
  <si>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</si>
  <si>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</si>
  <si>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</si>
  <si>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</si>
  <si>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</si>
  <si>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</si>
  <si>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</si>
  <si>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</si>
  <si>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</si>
  <si>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</si>
  <si>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</si>
  <si>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</si>
  <si>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</si>
  <si>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</si>
  <si>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</si>
  <si>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</si>
  <si>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</si>
  <si>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</si>
  <si>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</si>
  <si>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</si>
  <si>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</si>
  <si>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</si>
  <si>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</si>
  <si>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</si>
  <si>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</si>
  <si>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</si>
  <si>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</si>
  <si>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</si>
  <si>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</si>
  <si>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</si>
  <si>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</si>
  <si>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</si>
  <si>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</si>
  <si>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</si>
  <si>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</si>
  <si>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</si>
  <si>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</si>
  <si>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</si>
  <si>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</si>
  <si>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</si>
  <si>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</si>
  <si>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</si>
  <si>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</si>
  <si>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</si>
  <si>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</si>
  <si>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</si>
  <si>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</si>
  <si>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</si>
  <si>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</si>
  <si>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</si>
  <si>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</si>
  <si>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</si>
  <si>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</si>
  <si>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</si>
  <si>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</si>
  <si>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</si>
  <si>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</si>
  <si>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</si>
  <si>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</si>
  <si>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</si>
  <si>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</si>
  <si>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</si>
  <si>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</si>
  <si>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</si>
  <si>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</si>
  <si>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</si>
  <si>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</si>
  <si>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</si>
  <si>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</si>
  <si>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</si>
  <si>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</si>
  <si>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</si>
  <si>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</si>
  <si>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</si>
  <si>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</si>
  <si>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</si>
  <si>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</si>
  <si>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</si>
  <si>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</si>
  <si>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</si>
  <si>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</si>
  <si>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</si>
  <si>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</si>
  <si>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</si>
  <si>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</si>
  <si>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</si>
  <si>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</si>
  <si>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</si>
  <si>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</si>
  <si>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</si>
  <si>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</si>
  <si>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</si>
  <si>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</si>
  <si>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</si>
  <si>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</si>
  <si>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</si>
  <si>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</si>
  <si>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</si>
  <si>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</si>
  <si>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</si>
  <si>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</si>
  <si>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</si>
  <si>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</si>
  <si>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</si>
  <si>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</si>
  <si>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</si>
  <si>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</si>
  <si>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</si>
  <si>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</si>
  <si>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</si>
  <si>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</si>
  <si>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</si>
  <si>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</si>
  <si>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</si>
  <si>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</si>
  <si>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</si>
  <si>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</si>
  <si>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</si>
  <si>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</si>
  <si>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</si>
  <si>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</si>
  <si>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</si>
  <si>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</si>
  <si>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</si>
  <si>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</si>
  <si>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</si>
  <si>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</si>
  <si>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</si>
  <si>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</si>
  <si>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</si>
  <si>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</si>
  <si>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</si>
  <si>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</si>
  <si>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</si>
  <si>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</si>
  <si>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</si>
  <si>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</si>
  <si>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</si>
  <si>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</si>
  <si>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</si>
  <si>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</si>
  <si>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</si>
  <si>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</si>
  <si>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</si>
  <si>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</si>
  <si>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</si>
  <si>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</si>
  <si>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</si>
  <si>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</si>
  <si>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</si>
  <si>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</si>
  <si>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</si>
  <si>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</si>
  <si>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</si>
  <si>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</si>
  <si>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</si>
  <si>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</si>
  <si>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</si>
  <si>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</si>
  <si>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</si>
  <si>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</si>
  <si>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</si>
  <si>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</si>
  <si>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</si>
  <si>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</si>
  <si>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</si>
  <si>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</si>
  <si>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</si>
  <si>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</si>
  <si>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</si>
  <si>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</si>
  <si>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</si>
  <si>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</si>
  <si>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</si>
  <si>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</si>
  <si>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</si>
  <si>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</si>
  <si>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</si>
  <si>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</si>
  <si>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</si>
  <si>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</si>
  <si>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</si>
  <si>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</si>
  <si>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</si>
  <si>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</si>
  <si>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</si>
  <si>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</si>
  <si>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</si>
  <si>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</si>
  <si>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</si>
  <si>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</si>
  <si>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</si>
  <si>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</si>
  <si>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</si>
  <si>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</si>
  <si>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</si>
  <si>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</si>
  <si>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</si>
  <si>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</si>
  <si>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</si>
  <si>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</si>
  <si>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</si>
  <si>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</si>
  <si>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</si>
  <si>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</si>
  <si>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</si>
  <si>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</si>
  <si>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</si>
  <si>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</si>
  <si>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</si>
  <si>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</si>
  <si>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</si>
  <si>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</si>
  <si>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</si>
  <si>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</si>
  <si>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</si>
  <si>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</si>
  <si>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</si>
  <si>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</si>
  <si>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</si>
  <si>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</si>
  <si>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</si>
  <si>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</si>
  <si>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</si>
  <si>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</si>
  <si>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</si>
  <si>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</si>
  <si>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</si>
  <si>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</si>
  <si>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</si>
  <si>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</si>
  <si>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</si>
  <si>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</si>
  <si>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</si>
  <si>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</si>
  <si>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</si>
  <si>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</si>
  <si>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</si>
  <si>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</si>
  <si>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</si>
  <si>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</si>
  <si>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</si>
  <si>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</si>
  <si>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</si>
  <si>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</si>
  <si>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</si>
  <si>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</si>
  <si>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</si>
  <si>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</si>
  <si>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</si>
  <si>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</si>
  <si>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</si>
  <si>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</si>
  <si>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</si>
  <si>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</si>
  <si>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</si>
  <si>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</si>
  <si>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</si>
  <si>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</si>
  <si>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</si>
  <si>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</si>
  <si>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</si>
  <si>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</si>
  <si>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</si>
  <si>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</si>
  <si>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</si>
  <si>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</si>
  <si>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</si>
  <si>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</si>
  <si>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</si>
  <si>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</si>
  <si>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</si>
  <si>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</si>
  <si>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</si>
  <si>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</si>
  <si>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</si>
  <si>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</si>
  <si>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</si>
  <si>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</si>
  <si>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</si>
  <si>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</si>
  <si>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</si>
  <si>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</si>
  <si>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</si>
  <si>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</si>
  <si>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</si>
  <si>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</si>
  <si>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</si>
  <si>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</si>
  <si>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</si>
  <si>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</si>
  <si>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</si>
  <si>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</si>
  <si>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</si>
  <si>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</si>
  <si>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</si>
  <si>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</si>
  <si>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</si>
  <si>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</si>
  <si>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</si>
  <si>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</si>
  <si>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</si>
  <si>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</si>
  <si>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</si>
  <si>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</si>
  <si>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</si>
  <si>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</si>
  <si>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</si>
  <si>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</si>
  <si>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</si>
  <si>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</si>
  <si>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</si>
  <si>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</si>
  <si>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</si>
  <si>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</si>
  <si>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</si>
  <si>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</si>
  <si>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</si>
  <si>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</si>
  <si>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</si>
  <si>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</si>
  <si>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</si>
  <si>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</si>
  <si>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</si>
  <si>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</si>
  <si>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</si>
  <si>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</si>
  <si>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</si>
  <si>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</si>
  <si>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</si>
  <si>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</si>
  <si>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</si>
  <si>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</si>
  <si>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</si>
  <si>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</si>
  <si>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</si>
  <si>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</si>
  <si>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</si>
  <si>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</si>
  <si>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</si>
  <si>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</si>
  <si>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</si>
  <si>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</si>
  <si>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</si>
  <si>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</si>
  <si>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</si>
  <si>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</si>
  <si>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</si>
  <si>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</si>
  <si>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</si>
  <si>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</si>
  <si>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</si>
  <si>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</si>
  <si>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</si>
  <si>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</si>
  <si>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</si>
  <si>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</si>
  <si>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</si>
  <si>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</si>
  <si>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</si>
  <si>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</si>
  <si>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</si>
  <si>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</si>
  <si>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</si>
  <si>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</si>
  <si>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</si>
  <si>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</si>
  <si>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</si>
  <si>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</si>
  <si>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</si>
  <si>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</si>
  <si>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</si>
  <si>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</si>
  <si>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</si>
  <si>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</si>
  <si>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</si>
  <si>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</si>
  <si>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</si>
  <si>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</si>
  <si>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</si>
  <si>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</si>
  <si>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</si>
  <si>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</si>
  <si>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</si>
  <si>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</si>
  <si>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</si>
  <si>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</si>
  <si>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</si>
  <si>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</si>
  <si>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</si>
  <si>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</si>
  <si>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</si>
  <si>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</si>
  <si>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</si>
  <si>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</si>
  <si>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</si>
  <si>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</si>
  <si>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</si>
  <si>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</si>
  <si>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</si>
  <si>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</si>
  <si>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</si>
  <si>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</si>
  <si>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</si>
  <si>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</si>
  <si>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</si>
  <si>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</si>
  <si>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</si>
  <si>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</si>
  <si>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</si>
  <si>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</si>
  <si>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</si>
  <si>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</si>
  <si>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</si>
  <si>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</si>
  <si>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</si>
  <si>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</si>
  <si>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</si>
  <si>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</si>
  <si>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</si>
  <si>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</si>
  <si>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</si>
  <si>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</si>
  <si>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</si>
  <si>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</si>
  <si>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</si>
  <si>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</si>
  <si>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</si>
  <si>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</si>
  <si>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</si>
  <si>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</si>
  <si>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</si>
  <si>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</si>
  <si>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</si>
  <si>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</si>
  <si>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</si>
  <si>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</si>
  <si>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</si>
  <si>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</si>
  <si>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</si>
  <si>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</si>
  <si>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</si>
  <si>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</si>
  <si>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</si>
  <si>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</si>
  <si>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</si>
  <si>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</si>
  <si>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</si>
  <si>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</si>
  <si>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</si>
  <si>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</si>
  <si>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</si>
  <si>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</si>
  <si>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</si>
  <si>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</si>
  <si>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</si>
  <si>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</si>
  <si>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</si>
  <si>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</si>
  <si>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</si>
  <si>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</si>
  <si>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</si>
  <si>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</si>
  <si>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</si>
  <si>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</si>
  <si>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</si>
  <si>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</si>
  <si>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</si>
  <si>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</si>
  <si>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</si>
  <si>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</si>
  <si>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</si>
  <si>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</si>
  <si>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</si>
  <si>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</si>
  <si>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</si>
  <si>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</si>
  <si>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</si>
  <si>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</si>
  <si>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</si>
  <si>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</si>
  <si>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</si>
  <si>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</si>
  <si>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</si>
  <si>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</si>
  <si>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</si>
  <si>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</si>
  <si>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</si>
  <si>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</si>
  <si>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</si>
  <si>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</si>
  <si>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</si>
  <si>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</si>
  <si>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</si>
  <si>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</si>
  <si>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</si>
  <si>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</si>
  <si>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</si>
  <si>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</si>
  <si>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</si>
  <si>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</si>
  <si>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</si>
  <si>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</si>
  <si>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</si>
  <si>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</si>
  <si>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</si>
  <si>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</si>
  <si>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</si>
  <si>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</si>
  <si>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</si>
  <si>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</si>
  <si>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</si>
  <si>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</si>
  <si>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</si>
  <si>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</si>
  <si>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</si>
  <si>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</si>
  <si>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</si>
  <si>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</si>
  <si>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</si>
  <si>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</si>
  <si>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</si>
  <si>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</si>
  <si>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</si>
  <si>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</si>
  <si>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</si>
  <si>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</si>
  <si>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</si>
  <si>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</si>
  <si>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</si>
  <si>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</si>
  <si>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</si>
  <si>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</si>
  <si>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</si>
  <si>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</si>
  <si>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</si>
  <si>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</si>
  <si>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</si>
  <si>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</si>
  <si>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</si>
  <si>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</si>
  <si>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</si>
  <si>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</si>
  <si>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</si>
  <si>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</si>
  <si>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</si>
  <si>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</si>
  <si>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</si>
  <si>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</si>
  <si>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</si>
  <si>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</si>
  <si>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</si>
  <si>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</si>
  <si>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</si>
  <si>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</si>
  <si>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</si>
  <si>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</si>
  <si>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</si>
  <si>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</si>
  <si>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</si>
  <si>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</si>
  <si>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</si>
  <si>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</si>
  <si>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</si>
  <si>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</si>
  <si>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</si>
  <si>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</si>
  <si>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</si>
  <si>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</si>
  <si>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</si>
  <si>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</si>
  <si>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</si>
  <si>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</si>
  <si>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</si>
  <si>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</si>
  <si>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</si>
  <si>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</si>
  <si>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</si>
  <si>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</si>
  <si>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</si>
  <si>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</si>
  <si>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</si>
  <si>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</si>
  <si>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</si>
  <si>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</si>
  <si>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</si>
  <si>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</si>
  <si>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</si>
  <si>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</si>
  <si>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</si>
  <si>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</si>
  <si>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</si>
  <si>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</si>
  <si>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</si>
  <si>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</si>
  <si>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</si>
  <si>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</si>
  <si>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</si>
  <si>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</si>
  <si>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</si>
  <si>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</si>
  <si>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</si>
  <si>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</si>
  <si>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</si>
  <si>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</si>
  <si>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</si>
  <si>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</si>
  <si>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</si>
  <si>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</si>
  <si>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</si>
  <si>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</si>
  <si>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</si>
  <si>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</si>
  <si>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</si>
  <si>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</si>
  <si>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</si>
  <si>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</si>
  <si>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</si>
  <si>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</si>
  <si>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</si>
  <si>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</si>
  <si>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</si>
  <si>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</si>
  <si>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</si>
  <si>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</si>
  <si>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</si>
  <si>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</si>
  <si>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</si>
  <si>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</si>
  <si>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</si>
  <si>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</si>
  <si>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</si>
  <si>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</si>
  <si>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</si>
  <si>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</si>
  <si>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</si>
  <si>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</si>
  <si>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</si>
  <si>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</si>
  <si>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</si>
  <si>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</si>
  <si>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</si>
  <si>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</si>
  <si>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</si>
  <si>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</si>
  <si>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</si>
  <si>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</si>
  <si>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</si>
  <si>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</si>
  <si>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</si>
  <si>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</si>
  <si>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</si>
  <si>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</si>
  <si>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</si>
  <si>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</si>
  <si>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</si>
  <si>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</si>
  <si>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</si>
  <si>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</si>
  <si>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</si>
  <si>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</si>
  <si>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</si>
  <si>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</si>
  <si>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</si>
  <si>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</si>
  <si>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</si>
  <si>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</si>
  <si>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</si>
  <si>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</si>
  <si>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</si>
  <si>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</si>
  <si>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</si>
  <si>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</si>
  <si>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</si>
  <si>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</si>
  <si>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</si>
  <si>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</si>
  <si>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</si>
  <si>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</si>
  <si>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</si>
  <si>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</si>
  <si>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</si>
  <si>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</si>
  <si>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</si>
  <si>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</si>
  <si>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</si>
  <si>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</si>
  <si>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</si>
  <si>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</si>
  <si>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</si>
  <si>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</si>
  <si>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</si>
  <si>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</si>
  <si>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</si>
  <si>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</si>
  <si>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</si>
  <si>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</si>
  <si>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</si>
  <si>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</si>
  <si>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</si>
  <si>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</si>
  <si>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</si>
  <si>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</si>
  <si>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</si>
  <si>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</si>
  <si>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</si>
  <si>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</si>
  <si>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</si>
  <si>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</si>
  <si>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</si>
  <si>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</si>
  <si>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</si>
  <si>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</si>
  <si>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</si>
  <si>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</si>
  <si>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</si>
  <si>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</si>
  <si>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</si>
  <si>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</si>
  <si>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</si>
  <si>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</si>
  <si>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</si>
  <si>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</si>
  <si>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</si>
  <si>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</si>
  <si>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</si>
  <si>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</si>
  <si>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</si>
  <si>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</si>
  <si>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</si>
  <si>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</si>
  <si>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</si>
  <si>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</si>
  <si>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</si>
  <si>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</si>
  <si>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</si>
  <si>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</si>
  <si>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</si>
  <si>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</si>
  <si>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</si>
  <si>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</si>
  <si>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</si>
  <si>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</si>
  <si>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</si>
  <si>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</si>
  <si>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</si>
  <si>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</si>
  <si>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</si>
  <si>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</si>
  <si>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</si>
  <si>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</si>
  <si>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</si>
  <si>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</si>
  <si>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</si>
  <si>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</si>
  <si>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</si>
  <si>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</si>
  <si>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</si>
  <si>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</si>
  <si>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</si>
  <si>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</si>
  <si>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</si>
  <si>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</si>
  <si>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</si>
  <si>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</si>
  <si>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</si>
  <si>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</si>
  <si>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</si>
  <si>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</si>
  <si>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</si>
  <si>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</si>
  <si>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</si>
  <si>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</si>
  <si>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</si>
  <si>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</si>
  <si>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</si>
  <si>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</si>
  <si>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</si>
  <si>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</si>
  <si>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</si>
  <si>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</si>
  <si>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</si>
  <si>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</si>
  <si>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</si>
  <si>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</si>
  <si>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</si>
  <si>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</si>
  <si>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</si>
  <si>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</si>
  <si>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</si>
  <si>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</si>
  <si>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</si>
  <si>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</si>
  <si>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</si>
  <si>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</si>
  <si>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</si>
  <si>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</si>
  <si>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</si>
  <si>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</si>
  <si>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</si>
  <si>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</si>
  <si>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</si>
  <si>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</si>
  <si>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</si>
  <si>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</si>
  <si>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</si>
  <si>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</si>
  <si>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</si>
  <si>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</si>
  <si>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</si>
  <si>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</si>
  <si>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</si>
  <si>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</si>
  <si>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</si>
  <si>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</si>
  <si>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</si>
  <si>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</si>
  <si>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</si>
  <si>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</si>
  <si>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</si>
  <si>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</si>
  <si>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</si>
  <si>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</si>
  <si>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</si>
  <si>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</si>
  <si>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</si>
  <si>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</si>
  <si>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</si>
  <si>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</si>
  <si>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</si>
  <si>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</si>
  <si>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</si>
  <si>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</si>
  <si>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</si>
  <si>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</si>
  <si>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</si>
  <si>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</si>
  <si>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</si>
  <si>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</si>
  <si>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</si>
  <si>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</si>
  <si>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</si>
  <si>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</si>
  <si>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</si>
  <si>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</si>
  <si>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</si>
  <si>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</si>
  <si>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</si>
  <si>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</si>
  <si>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</si>
  <si>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</si>
  <si>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</si>
  <si>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</si>
  <si>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</si>
  <si>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</si>
  <si>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</si>
  <si>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</si>
  <si>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</si>
  <si>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</si>
  <si>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</si>
  <si>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</si>
  <si>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</si>
  <si>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</si>
  <si>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</si>
  <si>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</si>
  <si>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</si>
  <si>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</si>
  <si>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</si>
  <si>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</si>
  <si>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</si>
  <si>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</si>
  <si>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</si>
  <si>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</si>
  <si>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</si>
  <si>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</si>
  <si>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</si>
  <si>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</si>
  <si>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</si>
  <si>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</si>
  <si>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</si>
  <si>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</si>
  <si>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</si>
  <si>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</si>
  <si>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</si>
  <si>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</si>
  <si>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</si>
  <si>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</si>
  <si>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</si>
  <si>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</si>
  <si>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</si>
  <si>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</si>
  <si>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</si>
  <si>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</si>
  <si>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</si>
  <si>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</si>
  <si>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</si>
  <si>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</si>
  <si>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</si>
  <si>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</si>
  <si>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</si>
  <si>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</si>
  <si>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</si>
  <si>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</si>
  <si>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</si>
  <si>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</si>
  <si>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</si>
  <si>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</si>
  <si>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</si>
  <si>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</si>
  <si>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</si>
  <si>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</si>
  <si>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</si>
  <si>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</si>
  <si>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</si>
  <si>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</si>
  <si>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</si>
  <si>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</si>
  <si>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</si>
  <si>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</si>
  <si>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</si>
  <si>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</si>
  <si>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</si>
  <si>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</si>
  <si>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</si>
  <si>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</si>
  <si>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</si>
  <si>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</si>
  <si>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</si>
  <si>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</si>
  <si>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</si>
  <si>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</si>
  <si>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</si>
  <si>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</si>
  <si>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</si>
  <si>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</si>
  <si>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</si>
  <si>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</si>
  <si>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</si>
  <si>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</si>
  <si>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</si>
  <si>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</si>
  <si>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</si>
  <si>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</si>
  <si>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</si>
  <si>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</si>
  <si>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</si>
  <si>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</si>
  <si>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</si>
  <si>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</si>
  <si>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</si>
  <si>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</si>
  <si>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</si>
  <si>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</si>
  <si>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</si>
  <si>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</si>
  <si>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</si>
  <si>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</si>
  <si>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</si>
  <si>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</si>
  <si>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</si>
  <si>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</si>
  <si>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</si>
  <si>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</si>
  <si>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</si>
  <si>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</si>
  <si>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</si>
  <si>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</si>
  <si>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</si>
  <si>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</si>
  <si>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</si>
  <si>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</si>
  <si>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</si>
  <si>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</si>
  <si>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</si>
  <si>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</si>
  <si>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</si>
  <si>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</si>
  <si>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</si>
  <si>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</si>
  <si>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</si>
  <si>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</si>
  <si>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</si>
  <si>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</si>
  <si>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</si>
  <si>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</si>
  <si>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</si>
  <si>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</si>
  <si>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</si>
  <si>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</si>
  <si>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</si>
  <si>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</si>
  <si>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</si>
  <si>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</si>
  <si>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</si>
  <si>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</si>
  <si>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</si>
  <si>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</si>
  <si>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</si>
  <si>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</si>
  <si>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</si>
  <si>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</si>
  <si>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</si>
  <si>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</si>
  <si>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</si>
  <si>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</si>
  <si>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</si>
  <si>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</si>
  <si>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</si>
  <si>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</si>
  <si>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</si>
  <si>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</si>
  <si>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</si>
  <si>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</si>
  <si>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</si>
  <si>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</si>
  <si>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</si>
  <si>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</si>
  <si>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</si>
  <si>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</si>
  <si>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</si>
  <si>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</si>
  <si>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</si>
  <si>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</si>
  <si>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</si>
  <si>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</si>
  <si>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</si>
  <si>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</si>
  <si>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</si>
  <si>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</si>
  <si>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</si>
  <si>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</si>
  <si>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</si>
  <si>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</si>
  <si>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</si>
  <si>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</si>
  <si>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</si>
  <si>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</si>
  <si>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</si>
  <si>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</si>
  <si>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</si>
  <si>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</si>
  <si>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</si>
  <si>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</si>
  <si>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</si>
  <si>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</si>
  <si>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</si>
  <si>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</si>
  <si>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</si>
  <si>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</si>
  <si>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</si>
  <si>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</si>
  <si>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</si>
  <si>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</si>
  <si>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</si>
  <si>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</si>
  <si>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</si>
  <si>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</si>
  <si>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</si>
  <si>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</si>
  <si>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</si>
  <si>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</si>
  <si>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</si>
  <si>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</si>
  <si>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</si>
  <si>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</si>
  <si>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</si>
  <si>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</si>
  <si>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</si>
  <si>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</si>
  <si>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</si>
  <si>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</si>
  <si>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</si>
  <si>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</si>
  <si>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</si>
  <si>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</si>
  <si>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</si>
  <si>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</si>
  <si>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</si>
  <si>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</si>
  <si>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</si>
  <si>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</si>
  <si>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</si>
  <si>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</si>
  <si>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</si>
  <si>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</si>
  <si>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</si>
  <si>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</si>
  <si>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</si>
  <si>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</si>
  <si>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</si>
  <si>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</si>
  <si>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</si>
  <si>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</si>
  <si>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</si>
  <si>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</si>
  <si>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</si>
  <si>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</si>
  <si>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</si>
  <si>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</si>
  <si>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</si>
  <si>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</si>
  <si>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</si>
  <si>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</si>
  <si>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</si>
  <si>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</si>
  <si>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</si>
  <si>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</si>
  <si>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</si>
  <si>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</si>
  <si>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</si>
  <si>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</si>
  <si>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</si>
  <si>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</si>
  <si>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</si>
  <si>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</si>
  <si>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</si>
  <si>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</si>
  <si>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</si>
  <si>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</si>
  <si>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</si>
  <si>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</si>
  <si>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</si>
  <si>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</si>
  <si>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</si>
  <si>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</si>
  <si>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</si>
  <si>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</si>
  <si>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</si>
  <si>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</si>
  <si>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</si>
  <si>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</si>
  <si>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</si>
  <si>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</si>
  <si>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</si>
  <si>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</si>
  <si>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</si>
  <si>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</si>
  <si>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</si>
  <si>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</si>
  <si>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</si>
  <si>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</si>
  <si>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</si>
  <si>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</si>
  <si>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</si>
  <si>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</si>
  <si>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</si>
  <si>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</si>
  <si>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</si>
  <si>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</si>
  <si>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</si>
  <si>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</si>
  <si>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</si>
  <si>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</si>
  <si>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</si>
  <si>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</si>
  <si>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</si>
  <si>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</si>
  <si>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</si>
  <si>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</si>
  <si>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</si>
  <si>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</si>
  <si>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</si>
  <si>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</si>
  <si>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</si>
  <si>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</si>
  <si>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</si>
  <si>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</si>
  <si>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</si>
  <si>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</si>
  <si>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</si>
  <si>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</si>
  <si>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</si>
  <si>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</si>
  <si>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</si>
  <si>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</si>
  <si>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</si>
  <si>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</si>
  <si>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</si>
  <si>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</si>
  <si>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</si>
  <si>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</si>
  <si>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</si>
  <si>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</si>
  <si>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</si>
  <si>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</si>
  <si>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</si>
  <si>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</si>
  <si>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</si>
  <si>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</si>
  <si>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</si>
  <si>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</si>
  <si>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</si>
  <si>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</si>
  <si>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</si>
  <si>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</si>
  <si>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</si>
  <si>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</si>
  <si>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</si>
  <si>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</si>
  <si>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</si>
  <si>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</si>
  <si>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</si>
  <si>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</si>
  <si>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</si>
  <si>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</si>
  <si>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</si>
  <si>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</si>
  <si>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</si>
  <si>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</si>
  <si>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</si>
  <si>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</si>
  <si>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</si>
  <si>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</si>
  <si>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</si>
  <si>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</si>
  <si>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</si>
  <si>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</si>
  <si>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</si>
  <si>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</si>
  <si>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</si>
  <si>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</si>
  <si>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</si>
  <si>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</si>
  <si>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</si>
  <si>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</si>
  <si>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</si>
  <si>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</si>
  <si>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</si>
  <si>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</si>
  <si>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</si>
  <si>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</si>
  <si>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</si>
  <si>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</si>
  <si>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</si>
  <si>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</si>
  <si>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</si>
  <si>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</si>
  <si>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</si>
  <si>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</si>
  <si>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</si>
  <si>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</si>
  <si>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</si>
  <si>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</si>
  <si>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</si>
  <si>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</si>
  <si>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</si>
  <si>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</si>
  <si>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</si>
  <si>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</si>
  <si>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</si>
  <si>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</si>
  <si>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</si>
  <si>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</si>
  <si>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</si>
  <si>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</si>
  <si>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</si>
  <si>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</si>
  <si>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</si>
  <si>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</si>
  <si>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</si>
  <si>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</si>
  <si>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</si>
  <si>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</si>
  <si>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</si>
  <si>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</si>
  <si>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</si>
  <si>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</si>
  <si>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</si>
  <si>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</si>
  <si>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</si>
  <si>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</si>
  <si>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</si>
  <si>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</si>
  <si>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</si>
  <si>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</si>
  <si>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</si>
  <si>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</si>
  <si>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Primary Cargo Bay</t>
  </si>
  <si>
    <t>Biological Containment Bay</t>
  </si>
  <si>
    <t>Secondary Cargo Bay</t>
  </si>
  <si>
    <t>Expeditionary Base Ship</t>
  </si>
  <si>
    <t>Jump Control/4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</si>
</sst>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1">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0">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69"/>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68" dataDxfId="766" headerRowBorderDxfId="767" tableBorderDxfId="765" totalsRowBorderDxfId="764">
  <autoFilter ref="W2:X26" xr:uid="{1AB22D71-6D53-4999-80D8-DEAE85A8DA99}"/>
  <sortState xmlns:xlrd2="http://schemas.microsoft.com/office/spreadsheetml/2017/richdata2" ref="W3:X26">
    <sortCondition ref="W2:W26"/>
  </sortState>
  <tableColumns count="2">
    <tableColumn id="1" xr3:uid="{5710D457-FC98-427E-ABEB-EE63A69460FA}" name="Column1" dataDxfId="763"/>
    <tableColumn id="2" xr3:uid="{3CE29EA1-5B25-44D6-95CF-EECA6D87B3A1}" name="Column2" dataDxfId="7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1" dataDxfId="760">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59"/>
    <tableColumn id="2" xr3:uid="{268F303A-D6B9-4594-8DAC-7EE27FE773FF}" name="TL" dataDxfId="758"/>
    <tableColumn id="3" xr3:uid="{3F0CD468-A0E9-47EF-B11F-CBC1C6E5E384}" name="Range" dataDxfId="757"/>
    <tableColumn id="4" xr3:uid="{70785B22-DC1A-41A8-AE9E-EAF85E518566}" name="Small Range" dataDxfId="756"/>
    <tableColumn id="5" xr3:uid="{2ADCF830-FC1B-4410-8C8C-2D0CD8749F6A}" name="PWR" dataDxfId="755"/>
    <tableColumn id="6" xr3:uid="{7C5266B8-AB92-4FC7-A7D7-162953EAA114}" name="DAM" dataDxfId="754"/>
    <tableColumn id="7" xr3:uid="{3BEA295C-87C1-4A88-BDFD-D1037BF4D55B}" name="Cost" dataDxfId="753"/>
    <tableColumn id="8" xr3:uid="{B058DA95-72D9-4B79-9A62-1B5B131FB0A0}" name="Notes" dataDxfId="752"/>
    <tableColumn id="9" xr3:uid="{96C76D11-7498-48B6-96E5-567415BBE13F}" name="Column1" dataDxfId="751"/>
    <tableColumn id="10" xr3:uid="{A8A41C54-00B9-453E-BDC6-869342696C9E}" name="Missile" dataDxfId="750"/>
    <tableColumn id="11" xr3:uid="{570EE8F4-A84E-4194-B5F2-C4DB12CB26FD}" name="Index" dataDxfId="749"/>
    <tableColumn id="12" xr3:uid="{F281A17A-0734-45B5-BF43-8BECE256C55F}" name="1" dataDxfId="748"/>
    <tableColumn id="13" xr3:uid="{8CE19AFF-4F92-48DD-BACA-F4FB959153E2}" name="2" dataDxfId="747"/>
    <tableColumn id="14" xr3:uid="{E8476A3C-E5C3-4F6B-B4AF-6756108D8EC1}" name="3" dataDxfId="746"/>
    <tableColumn id="15" xr3:uid="{FEAECF50-8FB1-4B0C-AD43-D3D3E0DA0A48}" name="4" dataDxfId="745"/>
    <tableColumn id="16" xr3:uid="{37D54A7B-EE99-4D23-B486-B3219941CDE6}" name="5" dataDxfId="744"/>
    <tableColumn id="17" xr3:uid="{A70BE25E-7F17-433E-9CEB-BB4901D158DD}" name="6" dataDxfId="743"/>
    <tableColumn id="18" xr3:uid="{BB6B7334-175D-4FF1-8C79-0663F693CBBB}" name="7" dataDxfId="7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1">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0"/>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39" tableBorderDxfId="738">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7"/>
    <tableColumn id="2" xr3:uid="{1CF94512-B535-4786-8982-F3223044A7E2}" name="TL" dataDxfId="736"/>
    <tableColumn id="3" xr3:uid="{CAF95523-0B5E-4392-85F7-2D332349DBE3}" name="PWR" dataDxfId="735"/>
    <tableColumn id="4" xr3:uid="{270154A6-A49A-415C-922D-C67A3C516C1B}" name="Tons" dataDxfId="734"/>
    <tableColumn id="5" xr3:uid="{DCA0F4F2-A271-4399-A3B4-F23C0EB1FE49}" name="Cost" dataDxfId="733"/>
    <tableColumn id="6" xr3:uid="{CA115E9A-809D-4C8B-9FB6-ADFC805B72EB}" name="Notes" dataDxfId="732"/>
    <tableColumn id="7" xr3:uid="{8A07A007-7B21-43E0-AC38-8AEEF0BB9FA5}" name="#Mods" dataDxfId="731"/>
    <tableColumn id="8" xr3:uid="{E741371F-925E-4CF1-B38E-A4613D251C2D}" name="Mod Name" dataDxfId="730"/>
    <tableColumn id="9" xr3:uid="{95B4E953-CDA9-4925-BDB5-B00256809E16}" name="SSD Notes" dataDxfId="7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28">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14" workbookViewId="0">
      <selection activeCell="B36" sqref="B3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f>'Ship Info'!B1</f>
        <v>0</v>
      </c>
      <c r="E1" s="2"/>
      <c r="F1" s="6" t="s">
        <v>1</v>
      </c>
      <c r="S1" t="str">
        <f>""</f>
        <v/>
      </c>
      <c r="T1">
        <v>0</v>
      </c>
      <c r="U1">
        <v>0</v>
      </c>
      <c r="V1">
        <v>0</v>
      </c>
    </row>
    <row r="2" spans="1:25">
      <c r="A2" s="3" t="s">
        <v>432</v>
      </c>
      <c r="B2" t="str">
        <f>'Ship Info'!B2</f>
        <v>Expeditionary Base Ship</v>
      </c>
      <c r="C2" t="s">
        <v>0</v>
      </c>
      <c r="D2" s="2">
        <f>'Ship Info'!F2</f>
        <v>14</v>
      </c>
      <c r="E2" s="2"/>
      <c r="F2" s="4">
        <f>'Ship Info'!G2</f>
        <v>9839492100.0000038</v>
      </c>
      <c r="S2" t="s">
        <v>157</v>
      </c>
      <c r="T2">
        <v>7</v>
      </c>
      <c r="U2">
        <v>30000</v>
      </c>
      <c r="V2">
        <v>5</v>
      </c>
    </row>
    <row r="3" spans="1:25">
      <c r="E3" s="2"/>
      <c r="S3" t="s">
        <v>142</v>
      </c>
      <c r="T3">
        <v>9</v>
      </c>
      <c r="U3">
        <v>160000</v>
      </c>
      <c r="V3">
        <v>10</v>
      </c>
    </row>
    <row r="4" spans="1:25">
      <c r="A4" t="s">
        <v>2</v>
      </c>
      <c r="B4" s="263">
        <f>'1-Hull'!B4</f>
        <v>10000</v>
      </c>
      <c r="E4" s="2"/>
      <c r="F4" s="6" t="s">
        <v>45</v>
      </c>
      <c r="H4" s="787"/>
      <c r="I4" s="787"/>
      <c r="K4" s="787"/>
      <c r="L4" s="787"/>
      <c r="S4" t="s">
        <v>143</v>
      </c>
      <c r="T4">
        <v>11</v>
      </c>
      <c r="U4">
        <v>2000000</v>
      </c>
      <c r="V4">
        <v>15</v>
      </c>
      <c r="X4" t="s">
        <v>701</v>
      </c>
    </row>
    <row r="5" spans="1:25" ht="16" thickBot="1">
      <c r="B5" s="5" t="s">
        <v>920</v>
      </c>
      <c r="F5" s="4">
        <f>IF(AND(C7="No",'Ship Info'!F7),0,SUM(F9:F44,F48:F67))</f>
        <v>229000000</v>
      </c>
      <c r="H5" s="1"/>
      <c r="I5" s="1"/>
      <c r="K5" s="1"/>
      <c r="L5" s="1"/>
      <c r="S5" t="s">
        <v>144</v>
      </c>
      <c r="T5">
        <v>12</v>
      </c>
      <c r="U5">
        <v>5000000</v>
      </c>
      <c r="V5">
        <v>20</v>
      </c>
      <c r="X5" t="s">
        <v>700</v>
      </c>
      <c r="Y5" t="str">
        <f>IF(B21=S25,IF(B24=S36,"N/A",VLOOKUP(B24,S36:T41,2)),VLOOKUP(B21,S25:T28,2))</f>
        <v>N/A</v>
      </c>
    </row>
    <row r="6" spans="1:25" ht="16" thickBot="1">
      <c r="B6" s="7" t="s">
        <v>921</v>
      </c>
      <c r="C6" s="197" t="s">
        <v>99</v>
      </c>
      <c r="H6" s="2"/>
      <c r="I6" s="2"/>
      <c r="K6" s="2"/>
      <c r="L6" s="2"/>
      <c r="S6" t="s">
        <v>145</v>
      </c>
      <c r="T6">
        <v>13</v>
      </c>
      <c r="U6">
        <v>10000000</v>
      </c>
      <c r="V6">
        <v>25</v>
      </c>
      <c r="X6" t="s">
        <v>705</v>
      </c>
      <c r="Y6" t="str">
        <f>VLOOKUP(B33,S75:T78,2)</f>
        <v>N/A</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N/A</v>
      </c>
    </row>
    <row r="9" spans="1:25" ht="16" thickBot="1">
      <c r="A9" s="7" t="s">
        <v>91</v>
      </c>
      <c r="B9" s="198" t="s">
        <v>156</v>
      </c>
      <c r="D9" s="2">
        <f>VLOOKUP(B9,S1:U17,2)</f>
        <v>14</v>
      </c>
      <c r="F9" s="4">
        <f>VLOOKUP(B9,S1:V17,3)</f>
        <v>120000000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N/A</v>
      </c>
    </row>
    <row r="11" spans="1:25" ht="16" thickBot="1">
      <c r="A11" s="7" t="s">
        <v>150</v>
      </c>
      <c r="B11" s="254" t="s">
        <v>99</v>
      </c>
      <c r="F11" s="4">
        <f>VLOOKUP(B11,S21:T22,2)*F9</f>
        <v>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90+20</v>
      </c>
      <c r="D17" s="16" t="str">
        <f>IF(B9=S9,"",IF(VLOOKUP(B9,S1:V16,4)&gt;39,C32&amp;" units of bandwidth reserved for Jump Control Only. No other programs permitted",""))</f>
        <v>20 units of bandwidth reserved for Jump Control Only. No other programs permitted</v>
      </c>
      <c r="F17" s="4"/>
      <c r="S17" t="s">
        <v>1446</v>
      </c>
      <c r="T17">
        <v>16</v>
      </c>
      <c r="U17">
        <v>150000000</v>
      </c>
      <c r="V17">
        <v>110</v>
      </c>
    </row>
    <row r="18" spans="1:25">
      <c r="B18" s="7" t="s">
        <v>753</v>
      </c>
      <c r="C18" s="2">
        <f>SUM(C21:C44,D48:D55)</f>
        <v>90</v>
      </c>
    </row>
    <row r="19" spans="1:25">
      <c r="B19" s="2"/>
      <c r="C19" s="2"/>
      <c r="X19" t="s">
        <v>1646</v>
      </c>
      <c r="Y19" s="107">
        <f>IF(B40=S90,0,B41)</f>
        <v>7</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90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0</v>
      </c>
      <c r="X22" t="s">
        <v>800</v>
      </c>
      <c r="Y22">
        <f>IF(B9&gt;B13,0,IF(AND(B9="",B13=""),0,1))</f>
        <v>0</v>
      </c>
    </row>
    <row r="23" spans="1:25" ht="16" thickBot="1">
      <c r="A23" t="s">
        <v>249</v>
      </c>
      <c r="B23" s="254" t="s">
        <v>195</v>
      </c>
      <c r="C23" s="2">
        <f>VLOOKUP(B23,S33:X35,4)</f>
        <v>10</v>
      </c>
      <c r="D23" s="2">
        <f>VLOOKUP(B23,S33:X35,5)</f>
        <v>10</v>
      </c>
      <c r="F23" s="4">
        <f>VLOOKUP(B23,S33:X35,3)</f>
        <v>5000000</v>
      </c>
      <c r="I23" t="str">
        <f>VLOOKUP(B23,S33:X35,6)</f>
        <v>DM +1 to a repair roll or 1 automated roll (Repair Drone)</v>
      </c>
      <c r="V23" s="14">
        <f>SUM(V21:V22)</f>
        <v>90</v>
      </c>
      <c r="X23" t="s">
        <v>1646</v>
      </c>
      <c r="Y23">
        <f>IF(B41&gt;'10-Crew'!X7,1,0)</f>
        <v>0</v>
      </c>
    </row>
    <row r="24" spans="1:25" ht="16" thickBot="1">
      <c r="A24" t="s">
        <v>250</v>
      </c>
      <c r="B24" s="254" t="s">
        <v>1103</v>
      </c>
      <c r="C24" s="2">
        <f>VLOOKUP(B24,S36:X41,4)</f>
        <v>0</v>
      </c>
      <c r="D24" s="2">
        <f>VLOOKUP(B24,S36:X41,5)</f>
        <v>0</v>
      </c>
      <c r="F24" s="4">
        <f>VLOOKUP(B24,S36:X41,3)</f>
        <v>0</v>
      </c>
      <c r="I24" t="str">
        <f>VLOOKUP(B24,S36:X41,6)</f>
        <v xml:space="preserve"> </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1103</v>
      </c>
      <c r="C30" s="2">
        <f>VLOOKUP(B30,S59:X62,4)</f>
        <v>0</v>
      </c>
      <c r="D30" s="2">
        <f>VLOOKUP(B30,S59:X62,5)</f>
        <v>0</v>
      </c>
      <c r="F30" s="4">
        <f>VLOOKUP(B30,S59:X62,3)</f>
        <v>0</v>
      </c>
      <c r="I30" t="str">
        <f>VLOOKUP(B30,S59:X62,6)</f>
        <v xml:space="preserve"> </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2460</v>
      </c>
      <c r="C32" s="2">
        <f>VLOOKUP(B32,S65:X74,4)</f>
        <v>20</v>
      </c>
      <c r="D32" s="2">
        <f>VLOOKUP(B32,S65:X74,5)+IF(SUM('2-Drives'!E28:E30)&lt;0,SUM('2-Drives'!E28:E30),0)</f>
        <v>13</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7</v>
      </c>
      <c r="C41" s="2">
        <f>IF(B41&gt;0,ROUNDUP(B41/10,0)-1,0)</f>
        <v>0</v>
      </c>
      <c r="F41" s="4"/>
      <c r="I41" t="str">
        <f>"Limit = "&amp;'10-Crew'!X7</f>
        <v>Limit = 14</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113</v>
      </c>
      <c r="C44" s="2">
        <f>INDEX($S$96:$X$97,MATCH($B$44,$S$96:$S$97,0),4)</f>
        <v>5</v>
      </c>
      <c r="D44" s="2">
        <f>INDEX($S$96:$X$97,MATCH($B$44,$S$96:$S$97,0),5)</f>
        <v>14</v>
      </c>
      <c r="F44" s="4">
        <f>INDEX($S$96:$X$97,MATCH($B$44,$S$96:$S$97,0),3)</f>
        <v>5000000</v>
      </c>
      <c r="I44" t="str">
        <f>INDEX($S$96:$X$97,MATCH($B$44,$S$96:$S$97,0),6)</f>
        <v>Electronics (Sensors) 10+ to determine where a ship has jumped to</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1536</v>
      </c>
      <c r="D48" s="2">
        <f>INDEX(S104:X105,MATCH(B48,S104:S105,0),4)</f>
        <v>9</v>
      </c>
      <c r="E48">
        <f>INDEX(S104:X105,MATCH(B48,S104:S105,0),5)</f>
        <v>12</v>
      </c>
      <c r="F48" s="4">
        <f>INDEX(S104:X105,MATCH(B48,S104:S105,0),3)</f>
        <v>25000000</v>
      </c>
      <c r="I48" t="str">
        <f>INDEX(S104:X105,MATCH(B48,S104:S105,0),6)</f>
        <v>DM +1 to any Science research checks</v>
      </c>
      <c r="S48" t="s">
        <v>173</v>
      </c>
      <c r="T48" t="str">
        <f>"+3"</f>
        <v>+3</v>
      </c>
      <c r="U48">
        <v>36000000</v>
      </c>
      <c r="V48">
        <v>15</v>
      </c>
      <c r="W48">
        <v>15</v>
      </c>
      <c r="X48" t="s">
        <v>178</v>
      </c>
    </row>
    <row r="49" spans="1:24" ht="16" thickBot="1">
      <c r="A49" t="s">
        <v>1554</v>
      </c>
      <c r="B49" s="254" t="s">
        <v>1529</v>
      </c>
      <c r="C49" s="240">
        <v>3</v>
      </c>
      <c r="D49" s="2">
        <f>INDEX(S106:X108,MATCH(B49,S106:S108,0),4)*C49</f>
        <v>18</v>
      </c>
      <c r="E49">
        <f>INDEX(S106:X108,MATCH(B49,S106:S108,0),5)</f>
        <v>11</v>
      </c>
      <c r="F49" s="4">
        <f>INDEX(S106:X108,MATCH(B49,S106:S108,0),3)*C49</f>
        <v>60000000</v>
      </c>
      <c r="I49" t="str">
        <f>INDEX(S106:X108,MATCH(B49,S106:S108,0),6)</f>
        <v>DM +2 to Purchased Science(Specific) research checks</v>
      </c>
      <c r="S49" t="str">
        <f>""</f>
        <v/>
      </c>
      <c r="T49" t="s">
        <v>61</v>
      </c>
      <c r="U49">
        <v>0</v>
      </c>
      <c r="V49">
        <v>0</v>
      </c>
      <c r="W49">
        <v>0</v>
      </c>
      <c r="X49" t="s">
        <v>33</v>
      </c>
    </row>
    <row r="50" spans="1:24" ht="16" thickBot="1">
      <c r="A50" t="s">
        <v>1530</v>
      </c>
      <c r="B50" s="254" t="s">
        <v>1538</v>
      </c>
      <c r="C50" s="240">
        <v>3</v>
      </c>
      <c r="D50" s="2">
        <f>INDEX(S109:X112,MATCH(B50,S109:S112,0),4)*C50</f>
        <v>9</v>
      </c>
      <c r="E50">
        <f>INDEX(S109:X112,MATCH(B50,S109:S112,0),5)</f>
        <v>8</v>
      </c>
      <c r="F50" s="4">
        <f>INDEX(S109:X112,MATCH(B50,S109:S112,0),3)*C50</f>
        <v>6000000</v>
      </c>
      <c r="I50" t="str">
        <f>INDEX(S109:X112,MATCH(B50,S109:S112,0),6)</f>
        <v>DM +2 to avoid mishap for up to 36 people.</v>
      </c>
      <c r="S50" t="s">
        <v>179</v>
      </c>
      <c r="T50" t="s">
        <v>100</v>
      </c>
      <c r="U50">
        <v>14000000</v>
      </c>
      <c r="V50">
        <v>12</v>
      </c>
      <c r="W50">
        <v>13</v>
      </c>
      <c r="X50" t="s">
        <v>180</v>
      </c>
    </row>
    <row r="51" spans="1:24" ht="16" thickBot="1">
      <c r="A51" t="s">
        <v>1531</v>
      </c>
      <c r="B51" s="254" t="s">
        <v>1541</v>
      </c>
      <c r="C51" s="240">
        <v>3</v>
      </c>
      <c r="D51" s="2">
        <f>INDEX(S113:X116,MATCH(B51,S113:S116,0),4)*C51</f>
        <v>12</v>
      </c>
      <c r="E51">
        <f>INDEX(S113:X116,MATCH(B51,S113:S116,0),5)</f>
        <v>9</v>
      </c>
      <c r="F51" s="4">
        <f>INDEX(S113:X116,MATCH(B51,S113:S116,0),3)*C51</f>
        <v>6000000</v>
      </c>
      <c r="I51" t="str">
        <f>INDEX(S113:X116,MATCH(B51,S113:S116,0),6)</f>
        <v>DM +1 to any Science research checks for up to 36 researchers.</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1547</v>
      </c>
      <c r="C53" s="2"/>
      <c r="D53" s="2">
        <f>INDEX(S121:X124,MATCH(B53,S121:S124,0),4)</f>
        <v>2</v>
      </c>
      <c r="E53">
        <f>INDEX(S121:X124,MATCH(B53,S121:S124,0),5)</f>
        <v>9</v>
      </c>
      <c r="F53" s="4">
        <f>INDEX(S121:X124,MATCH(B53,S121:S124,0),3)</f>
        <v>1000000</v>
      </c>
      <c r="I53" t="str">
        <f>INDEX(S121:X124,MATCH(B53,S121:S124,0),6)</f>
        <v>DM +1 to Planetology/Prospecting/Weather Prediction</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Auto-Repair/1, Intellect, Jump Control/4, Virtual Gunner/0: 7 additional gunners replaced, Jump Filter, Science (General), 3x Science (Specific), 3x Mentor/1, 3x Research Assist/1, Planetology/1</v>
      </c>
      <c r="U98" t="s">
        <v>1581</v>
      </c>
    </row>
    <row r="99" spans="6:24">
      <c r="F99" s="4"/>
    </row>
    <row r="100" spans="6:24">
      <c r="F100" s="4"/>
      <c r="S100" t="s">
        <v>55</v>
      </c>
    </row>
    <row r="101" spans="6:24">
      <c r="F101" s="4"/>
      <c r="S101">
        <f>IF(B44=S96,1,0)</f>
        <v>1</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36 people.</v>
      </c>
    </row>
    <row r="111" spans="6:24">
      <c r="F111" s="4"/>
      <c r="S111" t="s">
        <v>1539</v>
      </c>
      <c r="U111">
        <v>3000000</v>
      </c>
      <c r="V111">
        <v>5</v>
      </c>
      <c r="W111">
        <v>10</v>
      </c>
      <c r="X111" t="str">
        <f>"DM +3 to avoid mishap for up to "&amp;C50*12&amp;" people."</f>
        <v>DM +3 to avoid mishap for up to 36 people.</v>
      </c>
    </row>
    <row r="112" spans="6:24">
      <c r="F112" s="4"/>
      <c r="S112" t="s">
        <v>1540</v>
      </c>
      <c r="U112">
        <v>4000000</v>
      </c>
      <c r="V112">
        <v>7</v>
      </c>
      <c r="W112">
        <v>12</v>
      </c>
      <c r="X112" t="str">
        <f>"DM +4 to avoid mishap for up to "&amp;C50*12&amp;" people."</f>
        <v>DM +4 to avoid mishap for up to 36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36 researchers.</v>
      </c>
    </row>
    <row r="115" spans="6:24">
      <c r="F115" s="4"/>
      <c r="S115" t="s">
        <v>1542</v>
      </c>
      <c r="U115">
        <v>3000000</v>
      </c>
      <c r="V115">
        <v>6</v>
      </c>
      <c r="W115">
        <v>11</v>
      </c>
      <c r="X115" t="str">
        <f>"DM +2 to any Science research checks for up to "&amp;12*C51&amp;" researchers."</f>
        <v>DM +2 to any Science research checks for up to 36 researchers.</v>
      </c>
    </row>
    <row r="116" spans="6:24">
      <c r="F116" s="4"/>
      <c r="S116" t="s">
        <v>1543</v>
      </c>
      <c r="U116">
        <v>5000000</v>
      </c>
      <c r="V116">
        <v>8</v>
      </c>
      <c r="W116">
        <v>13</v>
      </c>
      <c r="X116" t="str">
        <f>"DM +3 to any Science research checks for up to "&amp;12*C51&amp;" researchers."</f>
        <v>DM +3 to any Science research checks for up to 36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4" priority="46">
      <formula>$D$21&gt;$D$2</formula>
    </cfRule>
  </conditionalFormatting>
  <conditionalFormatting sqref="A22:D22">
    <cfRule type="expression" dxfId="503" priority="45">
      <formula>$D$22&gt;$D$2</formula>
    </cfRule>
  </conditionalFormatting>
  <conditionalFormatting sqref="A23:D23">
    <cfRule type="expression" dxfId="502" priority="44">
      <formula>$D$23&gt;$D$2</formula>
    </cfRule>
  </conditionalFormatting>
  <conditionalFormatting sqref="A24:D24">
    <cfRule type="expression" dxfId="501" priority="43">
      <formula>$D$24&gt;$D$2</formula>
    </cfRule>
  </conditionalFormatting>
  <conditionalFormatting sqref="A26:D26">
    <cfRule type="expression" dxfId="500" priority="42">
      <formula>$D$26&gt;$D$2</formula>
    </cfRule>
  </conditionalFormatting>
  <conditionalFormatting sqref="A27:D27">
    <cfRule type="expression" dxfId="499" priority="41">
      <formula>$D$27&gt;$D$2</formula>
    </cfRule>
  </conditionalFormatting>
  <conditionalFormatting sqref="A28:D28">
    <cfRule type="expression" dxfId="498" priority="40">
      <formula>$D$28&gt;$D$2</formula>
    </cfRule>
  </conditionalFormatting>
  <conditionalFormatting sqref="A29:D29">
    <cfRule type="expression" dxfId="497" priority="39">
      <formula>$D$29&gt;$D$2</formula>
    </cfRule>
  </conditionalFormatting>
  <conditionalFormatting sqref="A30:D30">
    <cfRule type="expression" dxfId="496" priority="38">
      <formula>$D$30&gt;$D$2</formula>
    </cfRule>
  </conditionalFormatting>
  <conditionalFormatting sqref="A31:D31">
    <cfRule type="expression" dxfId="495" priority="37">
      <formula>$D$31&gt;$D$2</formula>
    </cfRule>
  </conditionalFormatting>
  <conditionalFormatting sqref="A32:D32">
    <cfRule type="expression" dxfId="494" priority="36">
      <formula>$D$32&gt;$D$2</formula>
    </cfRule>
  </conditionalFormatting>
  <conditionalFormatting sqref="A33:D33">
    <cfRule type="expression" dxfId="493" priority="35">
      <formula>$D$33&gt;$D$2</formula>
    </cfRule>
  </conditionalFormatting>
  <conditionalFormatting sqref="A36:D36">
    <cfRule type="expression" dxfId="492" priority="34">
      <formula>$D$36&gt;$D$2</formula>
    </cfRule>
  </conditionalFormatting>
  <conditionalFormatting sqref="A37:D37">
    <cfRule type="expression" dxfId="491" priority="33">
      <formula>$D$37&gt;$D$2</formula>
    </cfRule>
  </conditionalFormatting>
  <conditionalFormatting sqref="A38:D38">
    <cfRule type="expression" dxfId="490" priority="32">
      <formula>$D$38&gt;$D$2</formula>
    </cfRule>
  </conditionalFormatting>
  <conditionalFormatting sqref="A40:D40">
    <cfRule type="expression" dxfId="489" priority="31">
      <formula>$D$40&gt;$D$2</formula>
    </cfRule>
  </conditionalFormatting>
  <conditionalFormatting sqref="B10">
    <cfRule type="cellIs" dxfId="487" priority="18" operator="equal">
      <formula>$S$21</formula>
    </cfRule>
  </conditionalFormatting>
  <conditionalFormatting sqref="B11 B14:B15">
    <cfRule type="cellIs" dxfId="486" priority="25" operator="equal">
      <formula>$S$21</formula>
    </cfRule>
  </conditionalFormatting>
  <conditionalFormatting sqref="B13">
    <cfRule type="cellIs" dxfId="485" priority="727" operator="equal">
      <formula>$S$1</formula>
    </cfRule>
    <cfRule type="expression" dxfId="484" priority="728">
      <formula>($V$21-1)&lt;$V$22</formula>
    </cfRule>
  </conditionalFormatting>
  <conditionalFormatting sqref="B21">
    <cfRule type="cellIs" dxfId="483" priority="19" operator="equal">
      <formula>$S$25</formula>
    </cfRule>
  </conditionalFormatting>
  <conditionalFormatting sqref="B22 B24">
    <cfRule type="cellIs" dxfId="482" priority="13" operator="equal">
      <formula>$S$29</formula>
    </cfRule>
  </conditionalFormatting>
  <conditionalFormatting sqref="B23 B27">
    <cfRule type="cellIs" dxfId="481" priority="16" operator="equal">
      <formula>$S$25</formula>
    </cfRule>
  </conditionalFormatting>
  <conditionalFormatting sqref="B25">
    <cfRule type="cellIs" dxfId="480" priority="744" operator="equal">
      <formula>$S$42</formula>
    </cfRule>
  </conditionalFormatting>
  <conditionalFormatting sqref="B26 B28">
    <cfRule type="cellIs" dxfId="479" priority="737" operator="equal">
      <formula>$S$29</formula>
    </cfRule>
  </conditionalFormatting>
  <conditionalFormatting sqref="B29:B33">
    <cfRule type="cellIs" dxfId="478" priority="740" operator="equal">
      <formula>$S$33</formula>
    </cfRule>
  </conditionalFormatting>
  <conditionalFormatting sqref="B34:B35">
    <cfRule type="expression" dxfId="477" priority="1">
      <formula>$B$34=""</formula>
    </cfRule>
  </conditionalFormatting>
  <conditionalFormatting sqref="B36:B38 B40">
    <cfRule type="cellIs" dxfId="476" priority="741" operator="equal">
      <formula>$S$36</formula>
    </cfRule>
  </conditionalFormatting>
  <conditionalFormatting sqref="B39">
    <cfRule type="cellIs" dxfId="475" priority="26" operator="equal">
      <formula>0</formula>
    </cfRule>
  </conditionalFormatting>
  <conditionalFormatting sqref="B41">
    <cfRule type="cellIs" dxfId="474" priority="27" operator="equal">
      <formula>0</formula>
    </cfRule>
    <cfRule type="expression" dxfId="473" priority="4">
      <formula>$Y$23=1</formula>
    </cfRule>
  </conditionalFormatting>
  <conditionalFormatting sqref="B44">
    <cfRule type="cellIs" dxfId="472" priority="743" operator="equal">
      <formula>$S$97</formula>
    </cfRule>
  </conditionalFormatting>
  <conditionalFormatting sqref="B48:B53">
    <cfRule type="cellIs" dxfId="471" priority="9" operator="equal">
      <formula>$S$104</formula>
    </cfRule>
  </conditionalFormatting>
  <conditionalFormatting sqref="B49:B52">
    <cfRule type="expression" dxfId="470" priority="6">
      <formula>AND($B49="",$C49&gt;0)</formula>
    </cfRule>
  </conditionalFormatting>
  <conditionalFormatting sqref="B55">
    <cfRule type="cellIs" dxfId="469" priority="3" operator="equal">
      <formula>$S$104</formula>
    </cfRule>
  </conditionalFormatting>
  <conditionalFormatting sqref="B9:Q9">
    <cfRule type="expression" dxfId="467" priority="54">
      <formula>$B$9=$S$1</formula>
    </cfRule>
  </conditionalFormatting>
  <conditionalFormatting sqref="C6:C7">
    <cfRule type="expression" dxfId="466" priority="30">
      <formula>$C$6="Yes"</formula>
    </cfRule>
  </conditionalFormatting>
  <conditionalFormatting sqref="C17">
    <cfRule type="expression" dxfId="465" priority="748">
      <formula>SUM($C$21:$C$41)&gt;(VLOOKUP(B9,S1:V16,4))</formula>
    </cfRule>
  </conditionalFormatting>
  <conditionalFormatting sqref="C42">
    <cfRule type="cellIs" dxfId="464" priority="28" operator="equal">
      <formula>0</formula>
    </cfRule>
    <cfRule type="expression" dxfId="463" priority="47">
      <formula>$C$42&gt;$C$17</formula>
    </cfRule>
  </conditionalFormatting>
  <conditionalFormatting sqref="C49:C52">
    <cfRule type="expression" dxfId="462" priority="8">
      <formula>AND($B49&lt;&gt;"",$C49=0)</formula>
    </cfRule>
  </conditionalFormatting>
  <conditionalFormatting sqref="D9 D13">
    <cfRule type="cellIs" dxfId="461" priority="29" operator="greaterThan">
      <formula>$D$2</formula>
    </cfRule>
  </conditionalFormatting>
  <conditionalFormatting sqref="E48:E53">
    <cfRule type="cellIs" dxfId="460"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B17" sqref="B17"/>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f>'Ship Info'!B1</f>
        <v>0</v>
      </c>
      <c r="F1" s="1" t="s">
        <v>1</v>
      </c>
      <c r="S1" s="3" t="s">
        <v>267</v>
      </c>
      <c r="T1" s="3" t="s">
        <v>26</v>
      </c>
      <c r="U1" s="3" t="s">
        <v>1</v>
      </c>
      <c r="V1" s="3" t="s">
        <v>262</v>
      </c>
      <c r="W1" s="3" t="s">
        <v>117</v>
      </c>
      <c r="X1" s="3"/>
      <c r="Y1" s="3" t="s">
        <v>171</v>
      </c>
    </row>
    <row r="2" spans="1:26">
      <c r="A2" s="3" t="s">
        <v>432</v>
      </c>
      <c r="B2" t="str">
        <f>'Ship Info'!B2</f>
        <v>Expeditionary Base Ship</v>
      </c>
      <c r="C2" s="3" t="s">
        <v>0</v>
      </c>
      <c r="D2" s="2">
        <f>'Ship Info'!F2</f>
        <v>14</v>
      </c>
      <c r="F2" s="10">
        <f>'Ship Info'!G2</f>
        <v>9839492100.0000038</v>
      </c>
      <c r="S2" t="s">
        <v>576</v>
      </c>
      <c r="T2">
        <v>0</v>
      </c>
      <c r="U2">
        <v>0</v>
      </c>
      <c r="V2">
        <v>0</v>
      </c>
      <c r="W2">
        <v>0</v>
      </c>
      <c r="X2">
        <v>0</v>
      </c>
      <c r="Y2" t="str">
        <f>""</f>
        <v/>
      </c>
    </row>
    <row r="3" spans="1:26">
      <c r="F3" s="10"/>
      <c r="H3" s="506">
        <f>S14</f>
        <v>256</v>
      </c>
      <c r="K3" s="507">
        <f>S17</f>
        <v>257</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393800000</v>
      </c>
      <c r="H5" s="1" t="s">
        <v>403</v>
      </c>
      <c r="I5" s="1" t="s">
        <v>27</v>
      </c>
      <c r="K5" s="1" t="s">
        <v>403</v>
      </c>
      <c r="L5" s="1" t="s">
        <v>27</v>
      </c>
      <c r="S5" t="s">
        <v>299</v>
      </c>
      <c r="T5">
        <v>10</v>
      </c>
      <c r="U5">
        <v>4100000</v>
      </c>
      <c r="V5">
        <v>2</v>
      </c>
      <c r="W5">
        <v>2</v>
      </c>
      <c r="X5" t="str">
        <f>"0"</f>
        <v>0</v>
      </c>
      <c r="Y5" t="s">
        <v>296</v>
      </c>
    </row>
    <row r="6" spans="1:26">
      <c r="B6" s="497" t="s">
        <v>2181</v>
      </c>
      <c r="F6" s="4"/>
      <c r="H6" s="10">
        <f>'Ship Info'!I3</f>
        <v>42.25</v>
      </c>
      <c r="I6" s="270">
        <f>'1-Hull'!B4</f>
        <v>10000</v>
      </c>
      <c r="J6" s="2"/>
      <c r="K6" s="270">
        <f>'Ship Info'!L3</f>
        <v>-23</v>
      </c>
      <c r="L6" s="270">
        <f>'3-Pwr Plant'!L6</f>
        <v>7500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5</v>
      </c>
      <c r="D8" s="18">
        <f>VLOOKUP(B8,S3:Y8,2)</f>
        <v>12</v>
      </c>
      <c r="F8" s="4">
        <f>VLOOKUP(B8,S3:Y8,3)*C8</f>
        <v>21500000</v>
      </c>
      <c r="H8" s="4">
        <f>VLOOKUP(B8,S3:Y8,5)*C8</f>
        <v>15</v>
      </c>
      <c r="K8">
        <f>VLOOKUP(B8,S3:Y8,4)*C8</f>
        <v>20</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3</v>
      </c>
      <c r="D11" s="18">
        <f>VLOOKUP(B11,S2:Y7,2)</f>
        <v>10</v>
      </c>
      <c r="F11" s="4">
        <f>VLOOKUP(B11,S2:Y7,3)*C11</f>
        <v>12300000</v>
      </c>
      <c r="H11" s="4">
        <f>VLOOKUP(B11,S2:Y7,5)*C11</f>
        <v>6</v>
      </c>
      <c r="K11">
        <f>VLOOKUP(B11,S2:Y7,4)*C11</f>
        <v>6</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2</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256</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5</v>
      </c>
      <c r="C17" t="str">
        <f>+"Scan "&amp;H17*20&amp;" T/Hr"</f>
        <v>Scan 100 T/Hr</v>
      </c>
      <c r="D17" s="18">
        <v>13</v>
      </c>
      <c r="E17" s="18"/>
      <c r="F17" s="20">
        <f>H17*1000000</f>
        <v>5000000</v>
      </c>
      <c r="G17" s="19"/>
      <c r="H17" s="419">
        <f>B17</f>
        <v>5</v>
      </c>
      <c r="I17" s="19"/>
      <c r="J17" s="19"/>
      <c r="K17" s="336">
        <f>IF(F17&gt;0,1,0)*B17</f>
        <v>5</v>
      </c>
      <c r="L17" s="19"/>
      <c r="S17">
        <f>SUM(K8:K31)</f>
        <v>257</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5</v>
      </c>
      <c r="C19" t="s">
        <v>286</v>
      </c>
      <c r="D19" s="18">
        <v>13</v>
      </c>
      <c r="E19" s="18"/>
      <c r="F19" s="20">
        <f>IF(B19&gt;0,8000000,0)*B19</f>
        <v>40000000</v>
      </c>
      <c r="G19" s="19"/>
      <c r="H19" s="419">
        <f>IF(F19&gt;0,2,0)*B19</f>
        <v>10</v>
      </c>
      <c r="I19" s="19"/>
      <c r="J19" s="19"/>
      <c r="K19" s="336">
        <f>IF(F19&gt;0,2,0)*B19</f>
        <v>10</v>
      </c>
      <c r="L19" s="19"/>
      <c r="V19">
        <v>18</v>
      </c>
      <c r="W19">
        <f>IF(AND(B18&gt;0,D18&gt;D2),1,0)</f>
        <v>0</v>
      </c>
      <c r="Y19" t="s">
        <v>919</v>
      </c>
      <c r="Z19">
        <f>IF(AND(B8&lt;S38,B30&gt;0),1,0)</f>
        <v>0</v>
      </c>
    </row>
    <row r="20" spans="1:26" ht="16" thickBot="1">
      <c r="A20" t="s">
        <v>273</v>
      </c>
      <c r="B20" s="337">
        <v>5</v>
      </c>
      <c r="C20" t="s">
        <v>284</v>
      </c>
      <c r="D20" s="18">
        <v>11</v>
      </c>
      <c r="E20" s="18"/>
      <c r="F20" s="20">
        <f>IF(B20&gt;0,2*F8,0)*B20</f>
        <v>215000000</v>
      </c>
      <c r="G20" s="19"/>
      <c r="H20" s="419">
        <f>IF(F20&gt;0,2*H8,0)*B20</f>
        <v>150</v>
      </c>
      <c r="I20" s="19"/>
      <c r="J20" s="19"/>
      <c r="K20" s="336">
        <f>IF(F20&gt;0,2*K8,0)*B20</f>
        <v>200</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25.6</v>
      </c>
      <c r="V21">
        <v>20</v>
      </c>
      <c r="W21">
        <f>IF(AND(B20&gt;0,D20&gt;D2),1,0)</f>
        <v>0</v>
      </c>
      <c r="Y21" t="s">
        <v>999</v>
      </c>
      <c r="Z21">
        <f>IF(AND(B8=S3,B11=S3),1,0)</f>
        <v>0</v>
      </c>
    </row>
    <row r="22" spans="1:26" ht="16" thickBot="1">
      <c r="A22" t="s">
        <v>275</v>
      </c>
      <c r="B22" s="337">
        <v>5</v>
      </c>
      <c r="C22" t="s">
        <v>288</v>
      </c>
      <c r="D22" s="18">
        <v>11</v>
      </c>
      <c r="E22" s="18"/>
      <c r="F22" s="20">
        <f>IF(B22&gt;0,4000000,0)*B22</f>
        <v>20000000</v>
      </c>
      <c r="G22" s="19"/>
      <c r="H22" s="419">
        <f>IF(F22&gt;0,1,0)*B22</f>
        <v>5</v>
      </c>
      <c r="I22" s="19"/>
      <c r="J22" s="19"/>
      <c r="K22" s="336">
        <f>IF(F22&gt;0,1,0)*B22</f>
        <v>5</v>
      </c>
      <c r="L22" s="19"/>
      <c r="S22">
        <f>200000*S21</f>
        <v>5120000</v>
      </c>
      <c r="V22">
        <v>21</v>
      </c>
      <c r="W22">
        <f>IF(AND(B21&gt;0,D21&gt;D2),1,0)</f>
        <v>0</v>
      </c>
      <c r="Y22" t="s">
        <v>1224</v>
      </c>
      <c r="Z22">
        <f>IF(AND(B8=S3,C8&gt;1),1,0)</f>
        <v>0</v>
      </c>
    </row>
    <row r="23" spans="1:26" ht="16" thickBot="1">
      <c r="A23" t="s">
        <v>276</v>
      </c>
      <c r="B23" s="337">
        <v>5</v>
      </c>
      <c r="C23" t="s">
        <v>290</v>
      </c>
      <c r="D23" s="18">
        <v>12</v>
      </c>
      <c r="E23" s="18"/>
      <c r="F23" s="20">
        <f>IF(B23&gt;0,2000000,0)*B23</f>
        <v>10000000</v>
      </c>
      <c r="G23" s="19"/>
      <c r="H23" s="419">
        <f>IF(F23&gt;0,1,0)*B23</f>
        <v>5</v>
      </c>
      <c r="I23" s="19"/>
      <c r="J23" s="19"/>
      <c r="K23" s="336">
        <f>IF(F23&gt;0,1,0)*B23</f>
        <v>5</v>
      </c>
      <c r="L23" s="19"/>
      <c r="S23" t="s">
        <v>701</v>
      </c>
      <c r="V23">
        <v>22</v>
      </c>
      <c r="W23">
        <f>IF(AND(B22&gt;0,D22&gt;D2),1,0)</f>
        <v>0</v>
      </c>
      <c r="Y23" t="s">
        <v>1225</v>
      </c>
      <c r="Z23">
        <f>IF(AND(B11=S3,C11&gt;1),1,0)</f>
        <v>0</v>
      </c>
    </row>
    <row r="24" spans="1:26" ht="16" thickBot="1">
      <c r="A24" t="s">
        <v>277</v>
      </c>
      <c r="B24" s="337">
        <v>5</v>
      </c>
      <c r="C24" t="s">
        <v>291</v>
      </c>
      <c r="D24" s="18">
        <v>14</v>
      </c>
      <c r="E24" s="18"/>
      <c r="F24" s="20">
        <f>IF(B24&gt;0,4000000,0)*B24</f>
        <v>20000000</v>
      </c>
      <c r="G24" s="19"/>
      <c r="H24" s="419">
        <f>IF(F24&gt;0,1,0)*B24</f>
        <v>5</v>
      </c>
      <c r="I24" s="19"/>
      <c r="J24" s="19"/>
      <c r="K24" s="336">
        <f>IF(F24&gt;0,1,0)*B24</f>
        <v>5</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5</v>
      </c>
      <c r="C29" t="s">
        <v>304</v>
      </c>
      <c r="D29" s="18">
        <v>12</v>
      </c>
      <c r="E29" s="18"/>
      <c r="F29" s="20">
        <f>IF(B29&gt;0,5000000,0)*B29</f>
        <v>25000000</v>
      </c>
      <c r="G29" s="19"/>
      <c r="H29" s="419">
        <f>IF(F29&gt;0,1,0)*B29</f>
        <v>5</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5</v>
      </c>
      <c r="C31" t="s">
        <v>306</v>
      </c>
      <c r="D31" s="18">
        <v>10</v>
      </c>
      <c r="E31" s="18"/>
      <c r="F31" s="4">
        <f>IF(B31&gt;0,5000000,0)*B31</f>
        <v>25000000</v>
      </c>
      <c r="H31" s="4">
        <f>IF(F31&gt;0,10,0)*B31</f>
        <v>50</v>
      </c>
      <c r="K31" s="263">
        <f>IF(F31&gt;0,1,0)</f>
        <v>1</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5x Improved  Sensor Array: 2 Stations, 3x Aux Array: Class III - Military Grade, 5 tons Deep Penetration Scanners- Scan 100 T/Hr, 5x Enhanced Signal Processing, 5x Extended Arrays, 5x Improved Signal Processing, 5x Life Scanner, 5x Life Scanner Analysis Suite, 5x Mineral Detection Suite, 5x Shallow Penetration Suite</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59" priority="788">
      <formula>$B$16=$S$10</formula>
    </cfRule>
  </conditionalFormatting>
  <conditionalFormatting sqref="A17">
    <cfRule type="expression" dxfId="458" priority="789">
      <formula>$B$17=$S$10</formula>
    </cfRule>
  </conditionalFormatting>
  <conditionalFormatting sqref="A18">
    <cfRule type="expression" dxfId="457" priority="790">
      <formula>$B$18=$S$10</formula>
    </cfRule>
  </conditionalFormatting>
  <conditionalFormatting sqref="A19">
    <cfRule type="expression" dxfId="456" priority="791">
      <formula>$B$19=$S$10</formula>
    </cfRule>
  </conditionalFormatting>
  <conditionalFormatting sqref="A20">
    <cfRule type="expression" dxfId="455" priority="792">
      <formula>$B$20=$S$10</formula>
    </cfRule>
  </conditionalFormatting>
  <conditionalFormatting sqref="A21">
    <cfRule type="expression" dxfId="454" priority="793">
      <formula>$B$21=$S$10</formula>
    </cfRule>
  </conditionalFormatting>
  <conditionalFormatting sqref="A22">
    <cfRule type="expression" dxfId="453" priority="794">
      <formula>$B$22=$S$10</formula>
    </cfRule>
  </conditionalFormatting>
  <conditionalFormatting sqref="A23">
    <cfRule type="expression" dxfId="452" priority="795">
      <formula>$B$23=$S$10</formula>
    </cfRule>
  </conditionalFormatting>
  <conditionalFormatting sqref="A24">
    <cfRule type="expression" dxfId="451" priority="796">
      <formula>$B$24=$S$10</formula>
    </cfRule>
  </conditionalFormatting>
  <conditionalFormatting sqref="A25">
    <cfRule type="expression" dxfId="450" priority="797">
      <formula>$B$25=$S$10</formula>
    </cfRule>
  </conditionalFormatting>
  <conditionalFormatting sqref="A26">
    <cfRule type="expression" dxfId="449" priority="785">
      <formula>$B$26=$S$10</formula>
    </cfRule>
    <cfRule type="expression" dxfId="448" priority="784" stopIfTrue="1">
      <formula>$D$25&gt;$D$2</formula>
    </cfRule>
  </conditionalFormatting>
  <conditionalFormatting sqref="A27:A28">
    <cfRule type="expression" dxfId="447" priority="798">
      <formula>$B$27=$S$10</formula>
    </cfRule>
  </conditionalFormatting>
  <conditionalFormatting sqref="A29">
    <cfRule type="expression" dxfId="446" priority="799">
      <formula>$B$29=$S$10</formula>
    </cfRule>
  </conditionalFormatting>
  <conditionalFormatting sqref="A30">
    <cfRule type="expression" dxfId="445" priority="800">
      <formula>$B$30=$S$10</formula>
    </cfRule>
  </conditionalFormatting>
  <conditionalFormatting sqref="A31">
    <cfRule type="expression" dxfId="444" priority="801">
      <formula>$B$31=$S$10</formula>
    </cfRule>
  </conditionalFormatting>
  <conditionalFormatting sqref="A16:D16">
    <cfRule type="expression" dxfId="443" priority="52" stopIfTrue="1">
      <formula>$D$16&gt;$D$2</formula>
    </cfRule>
  </conditionalFormatting>
  <conditionalFormatting sqref="A17:D17">
    <cfRule type="expression" dxfId="442" priority="51" stopIfTrue="1">
      <formula>$D$17&gt;$D$2</formula>
    </cfRule>
  </conditionalFormatting>
  <conditionalFormatting sqref="A18:D18">
    <cfRule type="expression" dxfId="441" priority="70" stopIfTrue="1">
      <formula>$D$18&gt;$D$2</formula>
    </cfRule>
    <cfRule type="expression" dxfId="439" priority="68" stopIfTrue="1">
      <formula>$B$8=$S$3</formula>
    </cfRule>
    <cfRule type="expression" dxfId="438" priority="67" stopIfTrue="1">
      <formula>$B$8=$S$4</formula>
    </cfRule>
    <cfRule type="expression" dxfId="437" priority="50" stopIfTrue="1">
      <formula>$B$8=$S$5</formula>
    </cfRule>
  </conditionalFormatting>
  <conditionalFormatting sqref="A19:D19">
    <cfRule type="expression" dxfId="436" priority="49" stopIfTrue="1">
      <formula>$D$19&gt;$D$2</formula>
    </cfRule>
  </conditionalFormatting>
  <conditionalFormatting sqref="A20:D20">
    <cfRule type="expression" dxfId="435" priority="48" stopIfTrue="1">
      <formula>$B$8=$S$5</formula>
    </cfRule>
    <cfRule type="expression" dxfId="434" priority="66" stopIfTrue="1">
      <formula>$D$20&gt;$D$2</formula>
    </cfRule>
    <cfRule type="expression" dxfId="433" priority="65" stopIfTrue="1">
      <formula>$B$8=$S$3</formula>
    </cfRule>
    <cfRule type="expression" dxfId="432" priority="64" stopIfTrue="1">
      <formula>$B$8=$S$4</formula>
    </cfRule>
  </conditionalFormatting>
  <conditionalFormatting sqref="A21:D21">
    <cfRule type="expression" dxfId="431" priority="80">
      <formula>$D$21&gt;$D$2</formula>
    </cfRule>
  </conditionalFormatting>
  <conditionalFormatting sqref="A22:D22">
    <cfRule type="expression" dxfId="430" priority="46" stopIfTrue="1">
      <formula>$D$22&gt;$D$2</formula>
    </cfRule>
  </conditionalFormatting>
  <conditionalFormatting sqref="A23:D23">
    <cfRule type="expression" dxfId="429" priority="45" stopIfTrue="1">
      <formula>$D$23&gt;$D$2</formula>
    </cfRule>
  </conditionalFormatting>
  <conditionalFormatting sqref="A24:D24">
    <cfRule type="expression" dxfId="428" priority="44" stopIfTrue="1">
      <formula>$D$24&gt;$D$2</formula>
    </cfRule>
  </conditionalFormatting>
  <conditionalFormatting sqref="A25:D25">
    <cfRule type="expression" dxfId="427" priority="774" stopIfTrue="1">
      <formula>$B$26=$S$10</formula>
    </cfRule>
    <cfRule type="expression" dxfId="426" priority="775" stopIfTrue="1">
      <formula>$D$25&gt;$D$2</formula>
    </cfRule>
  </conditionalFormatting>
  <conditionalFormatting sqref="A26:D26">
    <cfRule type="expression" dxfId="425" priority="787" stopIfTrue="1">
      <formula>$D$26&gt;$D$2</formula>
    </cfRule>
    <cfRule type="expression" dxfId="424" priority="786" stopIfTrue="1">
      <formula>$B$25=$S$10</formula>
    </cfRule>
  </conditionalFormatting>
  <conditionalFormatting sqref="A27:D27">
    <cfRule type="expression" dxfId="423" priority="41" stopIfTrue="1">
      <formula>$D$27&gt;$D$2</formula>
    </cfRule>
  </conditionalFormatting>
  <conditionalFormatting sqref="A28:D28">
    <cfRule type="expression" dxfId="422" priority="6" stopIfTrue="1">
      <formula>$D$27&gt;$D$2</formula>
    </cfRule>
  </conditionalFormatting>
  <conditionalFormatting sqref="A29:D29">
    <cfRule type="expression" dxfId="421" priority="56">
      <formula>$B$8=$S$5</formula>
    </cfRule>
    <cfRule type="expression" dxfId="420" priority="57">
      <formula>$B$8=$S$4</formula>
    </cfRule>
    <cfRule type="expression" dxfId="419" priority="58">
      <formula>$B$8=$S$3</formula>
    </cfRule>
    <cfRule type="expression" dxfId="418" priority="74">
      <formula>$D$29&gt;$D$2</formula>
    </cfRule>
  </conditionalFormatting>
  <conditionalFormatting sqref="A30:D30">
    <cfRule type="expression" dxfId="417" priority="55" stopIfTrue="1">
      <formula>$D$30&gt;$D$2</formula>
    </cfRule>
    <cfRule type="expression" dxfId="416" priority="54" stopIfTrue="1">
      <formula>$B$8=$S$5</formula>
    </cfRule>
    <cfRule type="expression" dxfId="415" priority="53" stopIfTrue="1">
      <formula>$B$8=$S$4</formula>
    </cfRule>
    <cfRule type="expression" dxfId="414" priority="39" stopIfTrue="1">
      <formula>$B$8=$S$3</formula>
    </cfRule>
  </conditionalFormatting>
  <conditionalFormatting sqref="A31:D31">
    <cfRule type="expression" dxfId="413" priority="72">
      <formula>$D$31&gt;$D$2</formula>
    </cfRule>
  </conditionalFormatting>
  <conditionalFormatting sqref="B8 B11">
    <cfRule type="expression" dxfId="411" priority="12">
      <formula>AND($B$8=$S$3,$B$8=$B$11)</formula>
    </cfRule>
  </conditionalFormatting>
  <conditionalFormatting sqref="B8 E20">
    <cfRule type="expression" dxfId="409" priority="823">
      <formula>AND($B$8&lt;$S$38,$B$20=$S$10)</formula>
    </cfRule>
  </conditionalFormatting>
  <conditionalFormatting sqref="B8 E29">
    <cfRule type="expression" dxfId="408" priority="825">
      <formula>AND($B$8&lt;$S$38,$B$29=$S$10)</formula>
    </cfRule>
  </conditionalFormatting>
  <conditionalFormatting sqref="B8 E30">
    <cfRule type="expression" dxfId="407" priority="827">
      <formula>AND($B$8&lt;$S$38,$B$30=$S$10)</formula>
    </cfRule>
  </conditionalFormatting>
  <conditionalFormatting sqref="B16:B31 C12">
    <cfRule type="cellIs" dxfId="406" priority="10" operator="greaterThan">
      <formula>0</formula>
    </cfRule>
  </conditionalFormatting>
  <conditionalFormatting sqref="B33:B34">
    <cfRule type="cellIs" dxfId="405" priority="822" operator="equal">
      <formula>$S$11</formula>
    </cfRule>
  </conditionalFormatting>
  <conditionalFormatting sqref="B8:D8">
    <cfRule type="expression" dxfId="404" priority="71">
      <formula>$D$8&gt;$D$2</formula>
    </cfRule>
  </conditionalFormatting>
  <conditionalFormatting sqref="B14:F14">
    <cfRule type="expression" dxfId="403" priority="3">
      <formula>AND($C$12&gt;0,Tonnage&gt;7500)</formula>
    </cfRule>
  </conditionalFormatting>
  <conditionalFormatting sqref="C8 B11:C11">
    <cfRule type="expression" dxfId="402" priority="15">
      <formula>$B$8="Class I - Basic"</formula>
    </cfRule>
  </conditionalFormatting>
  <conditionalFormatting sqref="C8">
    <cfRule type="expression" dxfId="401" priority="14">
      <formula>AND(B8=S3,C8&gt;1)</formula>
    </cfRule>
    <cfRule type="expression" dxfId="400" priority="2">
      <formula>$Z$24=1</formula>
    </cfRule>
  </conditionalFormatting>
  <conditionalFormatting sqref="C11">
    <cfRule type="expression" dxfId="399" priority="11">
      <formula>AND($B$11&lt;&gt;$S$2,$C$11=0)</formula>
    </cfRule>
    <cfRule type="expression" dxfId="398" priority="13">
      <formula>AND(B11=S3,C11&gt;1)</formula>
    </cfRule>
  </conditionalFormatting>
  <conditionalFormatting sqref="C12">
    <cfRule type="expression" dxfId="397" priority="4">
      <formula>AND($C$12&gt;0,Tonnage&gt;7500)</formula>
    </cfRule>
  </conditionalFormatting>
  <conditionalFormatting sqref="C26">
    <cfRule type="expression" dxfId="396" priority="63">
      <formula>$D$25&gt;$D$2</formula>
    </cfRule>
  </conditionalFormatting>
  <conditionalFormatting sqref="D2">
    <cfRule type="expression" dxfId="395" priority="802">
      <formula>$W$15&gt;0</formula>
    </cfRule>
  </conditionalFormatting>
  <conditionalFormatting sqref="E13">
    <cfRule type="cellIs" dxfId="394" priority="9" operator="equal">
      <formula>"Yes"</formula>
    </cfRule>
  </conditionalFormatting>
  <conditionalFormatting sqref="E16">
    <cfRule type="expression" dxfId="393" priority="33">
      <formula>$W$17=1</formula>
    </cfRule>
  </conditionalFormatting>
  <conditionalFormatting sqref="E17">
    <cfRule type="expression" dxfId="392" priority="32">
      <formula>$W$18=1</formula>
    </cfRule>
  </conditionalFormatting>
  <conditionalFormatting sqref="E18">
    <cfRule type="expression" dxfId="391" priority="31">
      <formula>$W$19=1</formula>
    </cfRule>
  </conditionalFormatting>
  <conditionalFormatting sqref="E19">
    <cfRule type="expression" dxfId="390" priority="30">
      <formula>$W$20=1</formula>
    </cfRule>
  </conditionalFormatting>
  <conditionalFormatting sqref="E20">
    <cfRule type="expression" dxfId="389" priority="29">
      <formula>$W$21=1</formula>
    </cfRule>
  </conditionalFormatting>
  <conditionalFormatting sqref="E21">
    <cfRule type="expression" dxfId="388" priority="28">
      <formula>$W$22=1</formula>
    </cfRule>
  </conditionalFormatting>
  <conditionalFormatting sqref="E22">
    <cfRule type="expression" dxfId="387" priority="27">
      <formula>$W$23=1</formula>
    </cfRule>
  </conditionalFormatting>
  <conditionalFormatting sqref="E23">
    <cfRule type="expression" dxfId="386" priority="26">
      <formula>$W$24=1</formula>
    </cfRule>
  </conditionalFormatting>
  <conditionalFormatting sqref="E24">
    <cfRule type="expression" dxfId="385" priority="25">
      <formula>$W$25=1</formula>
    </cfRule>
  </conditionalFormatting>
  <conditionalFormatting sqref="E25">
    <cfRule type="expression" dxfId="384" priority="24">
      <formula>$W$26=1</formula>
    </cfRule>
  </conditionalFormatting>
  <conditionalFormatting sqref="E26">
    <cfRule type="expression" dxfId="383" priority="23">
      <formula>$W$27=1</formula>
    </cfRule>
  </conditionalFormatting>
  <conditionalFormatting sqref="E27">
    <cfRule type="expression" dxfId="382" priority="814">
      <formula>$W$28=1</formula>
    </cfRule>
  </conditionalFormatting>
  <conditionalFormatting sqref="E28">
    <cfRule type="expression" dxfId="381" priority="832">
      <formula>$W$29&gt;0</formula>
    </cfRule>
  </conditionalFormatting>
  <conditionalFormatting sqref="E29">
    <cfRule type="expression" dxfId="380" priority="20">
      <formula>$W$30=1</formula>
    </cfRule>
  </conditionalFormatting>
  <conditionalFormatting sqref="E30">
    <cfRule type="expression" dxfId="379" priority="759">
      <formula>$W$31=1</formula>
    </cfRule>
  </conditionalFormatting>
  <conditionalFormatting sqref="E31">
    <cfRule type="expression" dxfId="378" priority="831">
      <formula>$W$32=1</formula>
    </cfRule>
  </conditionalFormatting>
  <conditionalFormatting sqref="H6">
    <cfRule type="expression" dxfId="377" priority="37">
      <formula>$H$6&lt;0</formula>
    </cfRule>
  </conditionalFormatting>
  <conditionalFormatting sqref="K6">
    <cfRule type="expression" dxfId="376"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D14" sqref="D14"/>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f>'Ship Info'!B1</f>
        <v>0</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Expeditionary Base Ship</v>
      </c>
      <c r="E2" s="158"/>
      <c r="F2" s="159" t="s">
        <v>1154</v>
      </c>
      <c r="G2" s="160"/>
      <c r="J2" s="68" t="s">
        <v>0</v>
      </c>
      <c r="K2" s="69">
        <f>'Ship Info'!F2</f>
        <v>14</v>
      </c>
      <c r="L2" s="156">
        <f>'Ship Info'!G2</f>
        <v>9839492100.0000038</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10000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99</v>
      </c>
      <c r="F5" s="229" t="s">
        <v>99</v>
      </c>
      <c r="G5" s="229" t="s">
        <v>99</v>
      </c>
      <c r="I5" s="161" t="s">
        <v>1122</v>
      </c>
      <c r="J5" s="267"/>
      <c r="K5" s="165">
        <f>IF('Ship Info'!C5&lt;35.001,1,IF('Ship Info'!C5&lt;70,2,IF('Ship Info'!C5&lt;99.999,3,ROUNDDOWN('Ship Info'!C5/100,0))))</f>
        <v>15</v>
      </c>
      <c r="L5" s="514">
        <f>SUM(L12:L37)</f>
        <v>91750000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1103</v>
      </c>
      <c r="F6" s="197" t="s">
        <v>1103</v>
      </c>
      <c r="G6" s="197" t="s">
        <v>1103</v>
      </c>
      <c r="I6" s="163" t="str">
        <f>IF(LEFT(Y28,2)="Fm","Firmpoints","Hardpoints")</f>
        <v>Hardpoints</v>
      </c>
      <c r="J6" s="343">
        <f>IF('Ship Info'!F7,'8a-Weapons'!K5,IF(Tonnage&lt;35.001,1,IF(Tonnage&lt;70,2,IF(Tonnage&lt;99.999,3,ROUNDDOWN(Tonnage/100,0)))))</f>
        <v>100</v>
      </c>
      <c r="L6" s="509"/>
      <c r="N6" s="344">
        <f>'Ship Info'!I3</f>
        <v>42.25</v>
      </c>
      <c r="O6" s="345">
        <f>'1-Hull'!B4</f>
        <v>10000</v>
      </c>
      <c r="Q6" s="345">
        <f>'Ship Info'!L3</f>
        <v>-23</v>
      </c>
      <c r="R6" s="345">
        <f>'3-Pwr Plant'!L6</f>
        <v>7500</v>
      </c>
      <c r="T6" s="78" t="s">
        <v>353</v>
      </c>
      <c r="U6" s="46">
        <f>VLOOKUP(B12,Table1[],9)</f>
        <v>1</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1103</v>
      </c>
      <c r="F7" s="197" t="s">
        <v>1103</v>
      </c>
      <c r="G7" s="197" t="s">
        <v>1103</v>
      </c>
      <c r="I7" s="161" t="s">
        <v>1123</v>
      </c>
      <c r="J7" s="162"/>
      <c r="L7" s="510"/>
      <c r="T7" s="78" t="s">
        <v>354</v>
      </c>
      <c r="U7" s="46">
        <f>VLOOKUP(B13,Table1[],9)</f>
        <v>1</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25</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119</v>
      </c>
      <c r="O9" s="71"/>
      <c r="P9" s="71"/>
      <c r="Q9" s="511">
        <f>SUMIF(Q12:Q37,"&lt;&gt;#N/A")</f>
        <v>160</v>
      </c>
      <c r="W9" s="125" t="s">
        <v>342</v>
      </c>
      <c r="X9" s="125">
        <v>1</v>
      </c>
      <c r="Y9" s="149" t="s">
        <v>1151</v>
      </c>
      <c r="Z9" s="4">
        <f>VLOOKUP(B12,Table2[],5)</f>
        <v>1100000</v>
      </c>
      <c r="AA9">
        <f>VLOOKUP(B12,Table2[],4)</f>
        <v>1</v>
      </c>
      <c r="AB9">
        <f>VLOOKUP(B12,Table2[],9)*D12</f>
        <v>10</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1100000</v>
      </c>
      <c r="AA10">
        <f>VLOOKUP(B13,Table2[],4)</f>
        <v>1</v>
      </c>
      <c r="AB10">
        <f>VLOOKUP(B13,Table2[],9)*D13</f>
        <v>10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342</v>
      </c>
      <c r="C12" s="214" t="s">
        <v>1694</v>
      </c>
      <c r="D12" s="338">
        <v>10</v>
      </c>
      <c r="E12" s="215" t="s">
        <v>1160</v>
      </c>
      <c r="F12" s="215" t="s">
        <v>1095</v>
      </c>
      <c r="G12" s="215" t="s">
        <v>1096</v>
      </c>
      <c r="H12" s="69">
        <f t="shared" ref="H12:H31" si="1">VLOOKUP(E12,$Z$51:$AL$76,9)+VLOOKUP(F12,$Z$51:$AL$76,9)+VLOOKUP(G12,$Z$51:$AL$76,9)</f>
        <v>3</v>
      </c>
      <c r="I12" s="198" t="s">
        <v>99</v>
      </c>
      <c r="J12" s="198" t="s">
        <v>99</v>
      </c>
      <c r="K12" s="67">
        <f>SUM(T12:U12)</f>
        <v>13</v>
      </c>
      <c r="L12" s="164">
        <f>AI28+IF(I12="Yes",AI28*0.5,0)+IF(J12="Yes",200000*AJ28*0.1,0)</f>
        <v>14250000</v>
      </c>
      <c r="N12" s="346">
        <f>AJ28*IF(J12="No",1,1.1)+IF(C12=AF101,2*D12,0)</f>
        <v>9</v>
      </c>
      <c r="Q12" s="242">
        <f>AK28</f>
        <v>40</v>
      </c>
      <c r="S12" s="166" t="str">
        <f>VLOOKUP(E12,Table5[],6)&amp;IF(F12=$Z$52,"",", "&amp;VLOOKUP(F12,Table5[],6))&amp;IF(G12=$Z$52,"",", "&amp;VLOOKUP(G12,Table5[],6))</f>
        <v>DM +1 to Repair, Uses 25% less Power, Size -10%</v>
      </c>
      <c r="T12" s="78">
        <f>IF(E5="No",VLOOKUP(C12,Table3[],2),MAX(V50:V53))</f>
        <v>10</v>
      </c>
      <c r="U12" s="46">
        <f>VLOOKUP(E12,Table5[],2)+VLOOKUP(F12,Table5[],2)+VLOOKUP(G12,Table5[],2)</f>
        <v>3</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342</v>
      </c>
      <c r="C13" s="216" t="s">
        <v>1625</v>
      </c>
      <c r="D13" s="339">
        <v>10</v>
      </c>
      <c r="E13" s="217" t="s">
        <v>1160</v>
      </c>
      <c r="F13" s="217" t="s">
        <v>1095</v>
      </c>
      <c r="G13" s="217" t="s">
        <v>395</v>
      </c>
      <c r="H13" s="69">
        <f t="shared" si="1"/>
        <v>2</v>
      </c>
      <c r="I13" s="205" t="s">
        <v>99</v>
      </c>
      <c r="J13" s="205" t="s">
        <v>99</v>
      </c>
      <c r="K13" s="154">
        <f t="shared" ref="K13:K31" si="2">SUM(T13:U13)</f>
        <v>14</v>
      </c>
      <c r="L13" s="164">
        <f t="shared" ref="L13:L31" si="3">AI29+IF(I13="Yes",AI29*0.5,0)+IF(J13="Yes",200000*AJ29*0.1,0)</f>
        <v>52500000</v>
      </c>
      <c r="M13" s="154"/>
      <c r="N13" s="347">
        <f t="shared" ref="N13:N31" si="4">AJ29*IF(J13="No",1,1.1)</f>
        <v>10</v>
      </c>
      <c r="O13" s="154"/>
      <c r="P13" s="154"/>
      <c r="Q13" s="348">
        <f t="shared" ref="Q13:Q31" si="5">AK29</f>
        <v>70</v>
      </c>
      <c r="R13" s="154"/>
      <c r="S13" s="168" t="str">
        <f>VLOOKUP(E13,Table5[],6)&amp;IF(F13=$Z$52,"",", "&amp;VLOOKUP(F13,Table5[],6))&amp;IF(G13=$Z$52,"",", "&amp;VLOOKUP(G13,Table5[],6))</f>
        <v>DM +1 to Repair, Uses 25% less Power</v>
      </c>
      <c r="T13" s="78">
        <f>IF(F5="No",VLOOKUP(C13,Table3[],2),MAX(W50:W53))</f>
        <v>12</v>
      </c>
      <c r="U13" s="46">
        <f>VLOOKUP(E13,Table5[],2)+VLOOKUP(F13,Table5[],2)+VLOOKUP(G13,Table5[],2)</f>
        <v>2</v>
      </c>
      <c r="W13" s="124" t="s">
        <v>1227</v>
      </c>
      <c r="X13" s="124">
        <v>0</v>
      </c>
      <c r="Y13" s="149" t="s">
        <v>353</v>
      </c>
      <c r="Z13" s="4">
        <f>VLOOKUP(B12,Table1[],5)</f>
        <v>200000</v>
      </c>
      <c r="AA13">
        <f>VLOOKUP(B12,Table1[],4)</f>
        <v>1</v>
      </c>
      <c r="AB13">
        <f>VLOOKUP(B12,Table1[],9)</f>
        <v>1</v>
      </c>
      <c r="AC13">
        <f>VLOOKUP(B12,Table1[],3)</f>
        <v>1</v>
      </c>
      <c r="AF13" s="78" t="s">
        <v>1211</v>
      </c>
      <c r="AG13" s="46">
        <f>VLOOKUP(B12,Table2[],7)+VLOOKUP(B13,Table2[],7)+VLOOKUP(B14,Table2[],7)</f>
        <v>2</v>
      </c>
      <c r="AH13" s="123">
        <f>2*AG13</f>
        <v>4</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200000</v>
      </c>
      <c r="AA14">
        <f>VLOOKUP(B13,Table1[],4)</f>
        <v>1</v>
      </c>
      <c r="AB14">
        <f>VLOOKUP(B13,Table1[],9)</f>
        <v>1</v>
      </c>
      <c r="AC14">
        <f>VLOOKUP(B13,Table1[],3)</f>
        <v>1</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25</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45</v>
      </c>
      <c r="AI14">
        <f>D12*(IF($B$4&lt;100,Z9,Z13)+IF(E5="No",Z19,Z23))</f>
        <v>9500000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318</v>
      </c>
      <c r="C15" s="206" t="s">
        <v>2354</v>
      </c>
      <c r="D15" s="340">
        <v>5</v>
      </c>
      <c r="E15" s="218" t="s">
        <v>395</v>
      </c>
      <c r="F15" s="218" t="s">
        <v>395</v>
      </c>
      <c r="G15" s="218" t="s">
        <v>395</v>
      </c>
      <c r="H15" s="69">
        <f t="shared" si="1"/>
        <v>0</v>
      </c>
      <c r="I15" s="205" t="s">
        <v>99</v>
      </c>
      <c r="J15" s="205" t="s">
        <v>99</v>
      </c>
      <c r="K15" s="154">
        <f t="shared" si="2"/>
        <v>10</v>
      </c>
      <c r="L15" s="164">
        <f t="shared" si="3"/>
        <v>25000000</v>
      </c>
      <c r="M15" s="154"/>
      <c r="N15" s="347">
        <f t="shared" si="4"/>
        <v>100</v>
      </c>
      <c r="O15" s="154"/>
      <c r="P15" s="154"/>
      <c r="Q15" s="348">
        <f t="shared" si="5"/>
        <v>50</v>
      </c>
      <c r="R15" s="154"/>
      <c r="S15" s="168" t="str">
        <f>VLOOKUP(E15,Table5[],6)&amp;IF(F15=$Z$52,"",", "&amp;VLOOKUP(F15,Table5[],6))&amp;IF(G15=$Z$52,"",", "&amp;VLOOKUP(G15,Table5[],6))</f>
        <v/>
      </c>
      <c r="T15" s="78">
        <f>INDEX(Table3[],MATCH(C15,Table3[Weapon],0),2)</f>
        <v>10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25</v>
      </c>
      <c r="AH15" s="122">
        <f>IF(AND('Ship Info'!F7,'Ship Info'!C5&gt;=100),AH14,IF(B4&lt;100,AH13,AH14))</f>
        <v>45</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750000</v>
      </c>
      <c r="AA19">
        <f>IF(B12=Z7,1,IF(B4&lt;100,AB9,AB13))</f>
        <v>1</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4000000</v>
      </c>
      <c r="AA20">
        <f>IF(B13=Z7,1,IF(B4&lt;100,AB10,AB14))</f>
        <v>1</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Single Turret</v>
      </c>
      <c r="AA28" s="2">
        <f>IF(OR(Z28=0,Z28=""),"",D12)</f>
        <v>10</v>
      </c>
      <c r="AB28" s="16" t="str">
        <f>IF(E5="No",C12,E6)</f>
        <v>Burst Laser</v>
      </c>
      <c r="AC28" s="2" t="str">
        <f>IF($E$5="No","",E7)</f>
        <v/>
      </c>
      <c r="AD28" s="2" t="str">
        <f>IF($E$5="No","",E8)</f>
        <v/>
      </c>
      <c r="AE28" s="2" t="str">
        <f>IF($E$5="No","",E9)</f>
        <v/>
      </c>
      <c r="AF28" s="16" t="str">
        <f>IF(E12="A Standard","",VLOOKUP(E12,Table5[],10)&amp;IF(AND(E12=G12,E12=F12)," x3",IF(OR(E12=F12,E12=G12)," x2","")))</f>
        <v>Adv - Easy Repair</v>
      </c>
      <c r="AG28" s="16" t="str">
        <f>IF(F12="A Standard","",IF(E12=F12,"",IF(AF28="","",", ")&amp;VLOOKUP(F12,Table5[],10)&amp;IF(F12=G12," x2","")))</f>
        <v>, Adv - Energy Efficient</v>
      </c>
      <c r="AH28" s="16" t="str">
        <f>IF(G12="A Standard","",IF(OR(G12=E12,G12=F12),"", IF(AND(AF28="",AG28=""),"",", ")&amp;VLOOKUP(G12,Table5[],10)))</f>
        <v>, Adv - Small</v>
      </c>
      <c r="AI28" s="10">
        <f>D12*(IF($B$4&lt;100,Z9,Z13)+IF(E5="No",Z19,Z23))*(1+IF(SUM(VLOOKUP(E12,Table5[],5),VLOOKUP(F12,Table5[],5),VLOOKUP(G12,Table5[],5))=0,VLOOKUP(H12,$AC$17:$AD$20,2),VLOOKUP(E12,Table5[],5)+VLOOKUP(F12,Table5[],5)+VLOOKUP(G12,Table5[],5)))</f>
        <v>14250000</v>
      </c>
      <c r="AJ28" s="2">
        <f>D12*IF(AND('Ship Info'!F7,'Ship Info'!C5&gt;=100),AA13,IF($B$4&lt;100,AA9,AA13))*(1+VLOOKUP(E12,Table5[],4)+VLOOKUP(F12,Table5[],4)+VLOOKUP(G12,Table5[],4))</f>
        <v>9</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40</v>
      </c>
      <c r="AL28" t="str">
        <f>IF($E$5="No",VLOOKUP(AB28,Table3[],8),"See Rulebook")</f>
        <v>Auto 3</v>
      </c>
      <c r="AM28">
        <f>IF(AND('Ship Info'!$F$7,'Ship Info'!$C$5&gt;=100),1,IF($B$4&gt;=100,1,0))</f>
        <v>1</v>
      </c>
      <c r="AN28">
        <f>IF(B12=$Z$2,$AM$28,VLOOKUP(B12,Table4[],2))</f>
        <v>1</v>
      </c>
      <c r="AO28">
        <f>IF(AM28=AN28,0,1)</f>
        <v>0</v>
      </c>
      <c r="AP28">
        <f>VLOOKUP(B12,Table1[],6)*D12</f>
        <v>10</v>
      </c>
      <c r="AQ28" s="46" t="str">
        <f>IF(AA28="","",IF(E$5="Yes","See Notes",IF(B$4&lt;100,INDEX($U$64:$V$72,MATCH(VLOOKUP(AB28,Table3[],4)+AS28,$U$64:$U$72,0),2),INDEX($U$64:$V$72,MATCH(VLOOKUP(AB28,Table3[],3)+AS28,$U$64:$U$72,0),2))))</f>
        <v>Medium</v>
      </c>
      <c r="AR28" t="str">
        <f>IF(E5="Yes","See Notes",VLOOKUP(C12,Table3[],6)&amp;IF(VLOOKUP(AB28,Table3[],10)=0,IF(VLOOKUP(B12,Table1[],10)=0,"","+"&amp;LEFT(VLOOKUP(C12,Table3[],6),1)*VLOOKUP(B12,Table1[],10)),""))</f>
        <v>1D</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Single Turret</v>
      </c>
      <c r="AA29" s="2">
        <f t="shared" ref="AA29:AA47" si="7">IF(OR(Z29=0,Z29=""),"",D13)</f>
        <v>10</v>
      </c>
      <c r="AB29" s="16" t="str">
        <f>IF(F5="No",C13,F6)</f>
        <v>Particle Beam</v>
      </c>
      <c r="AC29" s="2" t="str">
        <f>IF($F$5="No","",F7)</f>
        <v/>
      </c>
      <c r="AD29" s="2" t="str">
        <f>IF($F$5="No","",F8)</f>
        <v/>
      </c>
      <c r="AE29" s="2" t="str">
        <f>IF($F$5="No","",F9)</f>
        <v/>
      </c>
      <c r="AF29" s="16" t="str">
        <f>IF(E13="A Standard","",VLOOKUP(E13,Table5[],10)&amp;IF(AND(E13=G13,E13=F13)," x3",IF(OR(E13=F13,E13=G13)," x2","")))</f>
        <v>Adv - Easy Repair</v>
      </c>
      <c r="AG29" s="16" t="str">
        <f>IF(F13="A Standard","",IF(E13=F13,"",IF(AF29="","",", ")&amp;VLOOKUP(F13,Table5[],10)&amp;IF(F13=G13," x2","")))</f>
        <v>, Adv - Energy Efficient</v>
      </c>
      <c r="AH29" s="16" t="str">
        <f>IF(G13="A Standard","",IF(OR(G13=E13,G13=F13),"", IF(AND(AF29="",AG29=""),"",", ")&amp;VLOOKUP(G13,Table5[],10)))</f>
        <v/>
      </c>
      <c r="AI29" s="10">
        <f>D13*(IF($B$4&lt;100,Z10,Z14)+IF(F5="No",Z20,Z24))*(1+IF(SUM(VLOOKUP(E13,Table5[],5),VLOOKUP(F13,Table5[],5),VLOOKUP(G13,Table5[],5))=0,VLOOKUP(H13,$AC$17:$AD$20,2),VLOOKUP(E13,Table5[],5)+VLOOKUP(F13,Table5[],5)+VLOOKUP(G13,Table5[],5)))</f>
        <v>52500000</v>
      </c>
      <c r="AJ29" s="2">
        <f>D13*IF(AND('Ship Info'!F7,'Ship Info'!C5&gt;=100),AA14,IF($B$4&lt;100,AA10,AA14))*(1+VLOOKUP(E13,Table5[],4)+VLOOKUP(F13,Table5[],4)+VLOOKUP(G13,Table5[],4))</f>
        <v>10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70</v>
      </c>
      <c r="AL29" t="str">
        <f>IF($E$5="No",VLOOKUP(AB29,Table3[],8),"See Rulebook")</f>
        <v>Radiation</v>
      </c>
      <c r="AM29">
        <f>IF(AND('Ship Info'!$F$7,'Ship Info'!$C$5&gt;=100),1,IF($B$4&gt;=100,1,0))</f>
        <v>1</v>
      </c>
      <c r="AN29">
        <f>IF(B13=$Z$2,$AM$28,VLOOKUP(B13,Table4[],2))</f>
        <v>1</v>
      </c>
      <c r="AO29">
        <f t="shared" ref="AO29:AO47" si="8">IF(AM29=AN29,0,1)</f>
        <v>0</v>
      </c>
      <c r="AP29">
        <f>VLOOKUP(B13,Table1[],6)*D13</f>
        <v>10</v>
      </c>
      <c r="AQ29" s="46" t="str">
        <f>IF(AA29="","",IF(E$5="Yes","See Notes",IF(B$4&lt;100,INDEX($U$64:$V$72,MATCH(VLOOKUP(AB29,Table3[],4)+AS29,$U$64:$U$72,0),2),INDEX($U$64:$V$72,MATCH(VLOOKUP(AB29,Table3[],3)+AS29,$U$64:$U$72,0),2))))</f>
        <v>Very Long</v>
      </c>
      <c r="AR29" t="str">
        <f>IF(F5="Yes","See Notes",VLOOKUP(C13,Table3[],6)&amp;IF(VLOOKUP(AB29,Table3[],10)=0,IF(VLOOKUP(B13,Table1[],10)=0,"","+"&amp;LEFT(VLOOKUP(C13,Table3[],6),1)*VLOOKUP(B13,Table1[],10)),""))</f>
        <v>3D</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Point Defense Btty</v>
      </c>
      <c r="AA31" s="2">
        <f t="shared" si="7"/>
        <v>5</v>
      </c>
      <c r="AB31" s="16" t="str">
        <f>C15</f>
        <v>Type I -L</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25000000</v>
      </c>
      <c r="AJ31" s="2">
        <f>D15*VLOOKUP(B15,Table1[],4)*(1+VLOOKUP(E15,Table5[],4)+VLOOKUP(F15,Table5[],4)+VLOOKUP(G15,Table5[],4))</f>
        <v>100</v>
      </c>
      <c r="AK31" s="2">
        <f>D15*VLOOKUP(B15,Table1[],3)+D15*VLOOKUP(B15,Table1[],9)*VLOOKUP(AB31,Table3[],5)*(1+VLOOKUP(E15,Table5[],3)+VLOOKUP(F15,Table5[],3)+VLOOKUP(G15,Table5[],3))</f>
        <v>50</v>
      </c>
      <c r="AL31" t="str">
        <f>VLOOKUP(AB31,Table3[],8)</f>
        <v>1 roll for all BTTYs</v>
      </c>
      <c r="AM31">
        <f>IF(AND('Ship Info'!$F$7,'Ship Info'!$C$5&gt;=100),1,IF($B$4&gt;=100,1,0))</f>
        <v>1</v>
      </c>
      <c r="AN31">
        <f>IF(B15=$Z$2,$AM$28,VLOOKUP(B15,Table4[],2))</f>
        <v>1</v>
      </c>
      <c r="AO31">
        <f t="shared" si="8"/>
        <v>0</v>
      </c>
      <c r="AP31">
        <f>VLOOKUP(B15,Table1[],6)*D15</f>
        <v>5</v>
      </c>
      <c r="AQ31" s="46" t="str">
        <f>IF(AA31="","",IF(E$5="Yes","See Notes",IF(B$4&lt;100,INDEX($U$64:$V$72,MATCH(VLOOKUP(AB31,Table3[],4)+AS31,$U$64:$U$72,0),2),INDEX($U$64:$V$72,MATCH(VLOOKUP(AB31,Table3[],3)+AS31,$U$64:$U$72,0),2))))</f>
        <v>Special</v>
      </c>
      <c r="AR31" t="str">
        <f>IF(D9="Yes","See Notes",INDEX(Table3[],MATCH(C15,Table3[Weapon],0),6)&amp;IF(VLOOKUP(AB31,Table3[],10)=0,IF(VLOOKUP(B15,Table1[],10)=0,"","+"&amp;LEFT(VLOOKUP(C15,Table3[],6),1)*VLOOKUP(B15,Table1[],10)),""))</f>
        <v xml:space="preserve"> +2D/PDB</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-5</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1</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1</v>
      </c>
      <c r="Y79" s="27">
        <f>VLOOKUP(B13,Table1[],8)</f>
        <v>1</v>
      </c>
      <c r="Z79" s="87">
        <f>IF(AND('Ship Info'!$F$7,'Ship Info'!$C$5&gt;=100),Y79,IF($B$4&lt;100,X79,Y79))</f>
        <v>1</v>
      </c>
      <c r="AA79" s="136" t="str">
        <f>""</f>
        <v/>
      </c>
      <c r="AB79" s="22" t="str">
        <f>IF($Z79=0,AB$99,IF($Z79=1,AB$100,IF($Z79=2,AB$101,IF($Z79=3,AB$102,IF($Z79=4,AB$103,IF($Z79=5,AB$104,AB$105))))))</f>
        <v>Beam Laser</v>
      </c>
      <c r="AC79" s="22" t="str">
        <f t="shared" si="25"/>
        <v>Burst Laser</v>
      </c>
      <c r="AD79" s="22" t="str">
        <f t="shared" si="25"/>
        <v>Fusion Gun</v>
      </c>
      <c r="AE79" s="22" t="str">
        <f t="shared" si="25"/>
        <v>Laser Drill</v>
      </c>
      <c r="AF79" s="22" t="str">
        <f t="shared" si="25"/>
        <v>Missile Rack</v>
      </c>
      <c r="AG79" s="22" t="str">
        <f t="shared" si="25"/>
        <v>Particle Beam</v>
      </c>
      <c r="AH79" s="22" t="str">
        <f t="shared" si="25"/>
        <v>Plasma Gun</v>
      </c>
      <c r="AI79" s="22" t="str">
        <f t="shared" si="25"/>
        <v>Plasma-pulse Cannon (T)</v>
      </c>
      <c r="AJ79" s="22" t="str">
        <f t="shared" si="25"/>
        <v>Pulse Laser</v>
      </c>
      <c r="AK79" s="22" t="str">
        <f t="shared" si="25"/>
        <v>Railgun</v>
      </c>
      <c r="AL79" s="22" t="str">
        <f t="shared" si="25"/>
        <v>Sandcaster</v>
      </c>
      <c r="AM79" s="22" t="str">
        <f t="shared" si="26"/>
        <v>Torpedo Interceptor Cluster</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5</v>
      </c>
      <c r="W81" s="103">
        <v>4</v>
      </c>
      <c r="X81" s="136">
        <f>VLOOKUP(B15,Table2[],8)</f>
        <v>2</v>
      </c>
      <c r="Y81" s="27">
        <f>VLOOKUP(B15,Table1[],8)</f>
        <v>3</v>
      </c>
      <c r="Z81" s="87">
        <f>IF(AND('Ship Info'!$F$7,'Ship Info'!$C$5&gt;=100),Y81,IF($B$4&lt;100,X81,Y81))</f>
        <v>3</v>
      </c>
      <c r="AA81" s="136" t="str">
        <f>""</f>
        <v/>
      </c>
      <c r="AB81" s="22" t="str">
        <f>IF($Z81=0,AB$99,IF($Z81=1,AB$100,IF($Z81=2,AB$101,IF($Z81=3,AB$102,IF($Z81=4,AB$103,IF($Z81=5,AB$104,IF($Z81=6,AB$105,IF($Z81=7,AB$106,AB$107))))))))</f>
        <v>Type I -G</v>
      </c>
      <c r="AC81" s="22" t="str">
        <f t="shared" ref="AC81:AD97" si="28">IF($Z81=0,AC$99,IF($Z81=1,AC$100,IF($Z81=2,AC$101,IF($Z81=3,AC$102,IF($Z81=4,AC$103,IF($Z81=5,AC$104,IF($Z81=6,AC$105,IF($Z81=7,AC$106,AC$107))))))))</f>
        <v>Type I -L</v>
      </c>
      <c r="AD81" s="22" t="str">
        <f t="shared" si="28"/>
        <v>Type II -G</v>
      </c>
      <c r="AE81" s="22" t="str">
        <f t="shared" ref="AE81:AR83" si="29">IF($Z81=0,AE$99,IF($Z81=1,AE$100,IF($Z81=2,AE$101,IF($Z81=3,AE$102,IF($Z81=4,AE$103,IF($Z81=5,AE$104,IF($Z81=6,AE$105,AE$106)))))))</f>
        <v>Type II -L</v>
      </c>
      <c r="AF81" s="22" t="str">
        <f t="shared" si="29"/>
        <v>Type III -G</v>
      </c>
      <c r="AG81" s="22" t="str">
        <f t="shared" si="29"/>
        <v>Type III -L</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10x Single Turret: Burst Laser Adv - Easy Repair, Adv - Energy Efficient, Adv - Small</v>
      </c>
      <c r="AS113" s="22" t="str">
        <f>IF(AA28="","",AA28&amp;"x "&amp;Z28&amp;": "&amp;AB28&amp;AC28&amp;AD28&amp;AE28)</f>
        <v>10x Single Turret: Burst Laser</v>
      </c>
      <c r="AU113" s="22" t="str">
        <f>IF(AA28=0,"",IF(I12="No",""," Ignore Ion")&amp;IF(J12="No","",", CS-1")&amp;IF(VLOOKUP(E12,Table5[],13)="","",", "&amp;VLOOKUP(E12,Table5[],13))&amp;IF(VLOOKUP(F12,Table5[],13)="","",", "&amp;VLOOKUP(F12,Table5[],13))&amp;IF(VLOOKUP(G12,Table5[],13)="","",""&amp;VLOOKUP(G12,Table5[],13)))</f>
        <v>, Repair +1</v>
      </c>
      <c r="AV113" s="92">
        <v>1</v>
      </c>
      <c r="AW113" s="2">
        <f>VLOOKUP(B12,Table1[],8)</f>
        <v>1</v>
      </c>
      <c r="AX113">
        <f>VLOOKUP(B12,Table2[],8)</f>
        <v>1</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10x Single Turret: Particle Beam Adv - Easy Repair, Adv - Energy Efficient</v>
      </c>
      <c r="AS114" s="22" t="str">
        <f t="shared" ref="AS114:AS115" si="47">IF(AA29="","",AA29&amp;"x "&amp;Z29&amp;": "&amp;AB29&amp;AC29&amp;AD29&amp;AE29)</f>
        <v>10x Single Turret: Particle Beam</v>
      </c>
      <c r="AU114" s="22" t="str">
        <f>IF(AA29=0,"",IF(I13="No",""," Ignore Ion")&amp;IF(J13="No","",", CS-1")&amp;IF(VLOOKUP(E13,Table5[],13)="","",", "&amp;VLOOKUP(E13,Table5[],13))&amp;IF(VLOOKUP(F13,Table5[],13)="","",", "&amp;VLOOKUP(F13,Table5[],13))&amp;IF(VLOOKUP(G13,Table5[],13)="","",""&amp;VLOOKUP(G13,Table5[],13)))</f>
        <v>, Repair +1</v>
      </c>
      <c r="AV114" s="92">
        <v>2</v>
      </c>
      <c r="AW114" s="2">
        <f>VLOOKUP(B13,Table1[],8)</f>
        <v>1</v>
      </c>
      <c r="AX114">
        <f>VLOOKUP(B13,Table2[],8)</f>
        <v>1</v>
      </c>
      <c r="AY114">
        <f>IF(AND('Ship Info'!$F$7,'Ship Info'!$C$5&gt;=100),AW114,IF($B$4&lt;100,AX114,AW114))</f>
        <v>1</v>
      </c>
      <c r="AZ114">
        <f>VLOOKUP(C13,Table3[],11)</f>
        <v>1</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xml:space="preserve">5x Point Defense Btty: Type I -L </v>
      </c>
      <c r="AS116" s="22" t="str">
        <f>IF(AA31="","",AA31&amp;"x "&amp;Z31&amp;": "&amp;AB31)</f>
        <v>5x Point Defense Btty: Type I -L</v>
      </c>
      <c r="AU116" s="22" t="str">
        <f>IF(AA31=0,"",IF(I15="No",""," Ignore Ion")&amp;IF(J15="No","",", CS-1")&amp;IF(VLOOKUP(E15,Table5[],13)="","",", "&amp;VLOOKUP(E15,Table5[],13))&amp;IF(VLOOKUP(F15,Table5[],13)="","",", "&amp;VLOOKUP(F15,Table5[],13))&amp;IF(VLOOKUP(G15,Table5[],13)="","",""&amp;VLOOKUP(G15,Table5[],13)))</f>
        <v/>
      </c>
      <c r="AV116" s="92">
        <v>4</v>
      </c>
      <c r="AW116" s="2">
        <f>VLOOKUP(B15,Table1[],8)</f>
        <v>3</v>
      </c>
      <c r="AX116">
        <f>VLOOKUP(B15,Table2[],8)</f>
        <v>2</v>
      </c>
      <c r="AY116">
        <f>IF(AND('Ship Info'!$F$7,'Ship Info'!$C$5&gt;=100),AW116,IF($B$4&lt;100,AX116,AW116))</f>
        <v>3</v>
      </c>
      <c r="AZ116">
        <f>VLOOKUP(C15,Table3[],11)</f>
        <v>3</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10000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10000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5" priority="37">
      <formula>SUM($AO$28:$AO$47)&gt;0</formula>
    </cfRule>
  </conditionalFormatting>
  <conditionalFormatting sqref="B12">
    <cfRule type="expression" dxfId="374" priority="91">
      <formula>AO28=1</formula>
    </cfRule>
  </conditionalFormatting>
  <conditionalFormatting sqref="B13:B14">
    <cfRule type="expression" dxfId="373" priority="38">
      <formula>AO29&gt;0</formula>
    </cfRule>
  </conditionalFormatting>
  <conditionalFormatting sqref="B15">
    <cfRule type="expression" dxfId="372" priority="516">
      <formula>AND($A$15="N/A",$B$15&gt;$BB$2)</formula>
    </cfRule>
  </conditionalFormatting>
  <conditionalFormatting sqref="B16">
    <cfRule type="expression" dxfId="371" priority="517">
      <formula>AND($A$16="N/A",$B$16&gt;$BB$2)</formula>
    </cfRule>
  </conditionalFormatting>
  <conditionalFormatting sqref="B17">
    <cfRule type="expression" dxfId="370" priority="518">
      <formula>AND($A$17="N/A",$B$17&gt;$BB$2)</formula>
    </cfRule>
  </conditionalFormatting>
  <conditionalFormatting sqref="B18">
    <cfRule type="expression" dxfId="369" priority="519">
      <formula>AND($A$18="N/A",$B$18&gt;$BB$2)</formula>
    </cfRule>
  </conditionalFormatting>
  <conditionalFormatting sqref="B19">
    <cfRule type="expression" dxfId="368" priority="520">
      <formula>AND($A$19="N/A",$B$19&gt;$BB$2)</formula>
    </cfRule>
  </conditionalFormatting>
  <conditionalFormatting sqref="B20">
    <cfRule type="expression" dxfId="367" priority="521">
      <formula>AND($A$20="N/A",$B$20&gt;$BB$2)</formula>
    </cfRule>
  </conditionalFormatting>
  <conditionalFormatting sqref="B21">
    <cfRule type="expression" dxfId="366" priority="522">
      <formula>AND($A$21="N/A",$B$21&gt;$BB$2)</formula>
    </cfRule>
  </conditionalFormatting>
  <conditionalFormatting sqref="B22">
    <cfRule type="expression" dxfId="365" priority="523">
      <formula>AND($A$22="N/A",$B$22&gt;$BB$2)</formula>
    </cfRule>
  </conditionalFormatting>
  <conditionalFormatting sqref="B23">
    <cfRule type="expression" dxfId="364" priority="524">
      <formula>AND($A$23="N/A",$B$23&gt;$BB$2)</formula>
    </cfRule>
  </conditionalFormatting>
  <conditionalFormatting sqref="B24">
    <cfRule type="expression" dxfId="363" priority="525">
      <formula>AND($A$24="N/A",$B$24&gt;$BB$2)</formula>
    </cfRule>
  </conditionalFormatting>
  <conditionalFormatting sqref="B25">
    <cfRule type="expression" dxfId="362" priority="526">
      <formula>AND($A$25="N/A",$B$25&gt;$BB$2)</formula>
    </cfRule>
  </conditionalFormatting>
  <conditionalFormatting sqref="B26">
    <cfRule type="expression" dxfId="361" priority="527">
      <formula>AND($A$26="N/A",$B$26&gt;$BB$2)</formula>
    </cfRule>
  </conditionalFormatting>
  <conditionalFormatting sqref="B27">
    <cfRule type="expression" dxfId="360" priority="528">
      <formula>AND($A$27="N/A",$B$27&gt;$BB$2)</formula>
    </cfRule>
  </conditionalFormatting>
  <conditionalFormatting sqref="B28">
    <cfRule type="expression" dxfId="359" priority="529">
      <formula>AND($A$28="N/A",$B$28&gt;$BB$2)</formula>
    </cfRule>
  </conditionalFormatting>
  <conditionalFormatting sqref="B29">
    <cfRule type="expression" dxfId="358" priority="530">
      <formula>AND($A$29="N/A",$B$29&gt;$BB$2)</formula>
    </cfRule>
  </conditionalFormatting>
  <conditionalFormatting sqref="B30">
    <cfRule type="expression" dxfId="357" priority="531">
      <formula>AND($A$30="N/A",$B$30&gt;$BB$2)</formula>
    </cfRule>
  </conditionalFormatting>
  <conditionalFormatting sqref="B31">
    <cfRule type="expression" dxfId="356" priority="532">
      <formula>AND($A$31="N/A",$B$31&gt;$BB$2)</formula>
    </cfRule>
  </conditionalFormatting>
  <conditionalFormatting sqref="C6">
    <cfRule type="expression" dxfId="355" priority="101">
      <formula>B4&lt;100</formula>
    </cfRule>
  </conditionalFormatting>
  <conditionalFormatting sqref="C7">
    <cfRule type="expression" dxfId="354" priority="98">
      <formula>B4&lt;100</formula>
    </cfRule>
  </conditionalFormatting>
  <conditionalFormatting sqref="C8">
    <cfRule type="expression" dxfId="353" priority="94">
      <formula>B4&lt;100</formula>
    </cfRule>
  </conditionalFormatting>
  <conditionalFormatting sqref="C12">
    <cfRule type="expression" dxfId="352" priority="923">
      <formula>$BA$113&gt;0</formula>
    </cfRule>
    <cfRule type="expression" dxfId="351" priority="924">
      <formula>$E$5="Yes"</formula>
    </cfRule>
  </conditionalFormatting>
  <conditionalFormatting sqref="C12:C31">
    <cfRule type="expression" dxfId="350" priority="925">
      <formula>$BA113&gt;0</formula>
    </cfRule>
  </conditionalFormatting>
  <conditionalFormatting sqref="C13">
    <cfRule type="expression" dxfId="349" priority="541">
      <formula>$F$5="Yes"</formula>
    </cfRule>
  </conditionalFormatting>
  <conditionalFormatting sqref="C14">
    <cfRule type="expression" dxfId="348" priority="545">
      <formula>$G$5="Yes"</formula>
    </cfRule>
  </conditionalFormatting>
  <conditionalFormatting sqref="D12:D31">
    <cfRule type="expression" dxfId="347" priority="5">
      <formula>AND($B12&lt;&gt;$Z$2,$D12=0)</formula>
    </cfRule>
  </conditionalFormatting>
  <conditionalFormatting sqref="D33">
    <cfRule type="cellIs" dxfId="346" priority="10" operator="greaterThan">
      <formula>0</formula>
    </cfRule>
    <cfRule type="expression" dxfId="345" priority="3">
      <formula>AND($B$4&lt;50.1,$D$33&gt;0)</formula>
    </cfRule>
  </conditionalFormatting>
  <conditionalFormatting sqref="D33:D34 F34">
    <cfRule type="expression" dxfId="344" priority="4">
      <formula>$B$4&lt;50.01</formula>
    </cfRule>
  </conditionalFormatting>
  <conditionalFormatting sqref="D34 F34 D32">
    <cfRule type="cellIs" dxfId="343" priority="11" operator="greaterThan">
      <formula>0</formula>
    </cfRule>
  </conditionalFormatting>
  <conditionalFormatting sqref="D34">
    <cfRule type="expression" dxfId="342" priority="2">
      <formula>AND($B$4&lt;50.1,$D$34&gt;0)</formula>
    </cfRule>
  </conditionalFormatting>
  <conditionalFormatting sqref="E5">
    <cfRule type="expression" dxfId="341" priority="100">
      <formula>B4&lt;100</formula>
    </cfRule>
    <cfRule type="expression" dxfId="340" priority="99" stopIfTrue="1">
      <formula>AND(E5="Yes",B4&lt;100)</formula>
    </cfRule>
  </conditionalFormatting>
  <conditionalFormatting sqref="E6">
    <cfRule type="expression" dxfId="339" priority="64">
      <formula>$U$6=0</formula>
    </cfRule>
  </conditionalFormatting>
  <conditionalFormatting sqref="E6:E9">
    <cfRule type="expression" dxfId="338" priority="535">
      <formula>$E$5="No"</formula>
    </cfRule>
  </conditionalFormatting>
  <conditionalFormatting sqref="E7">
    <cfRule type="expression" dxfId="337" priority="65">
      <formula>$U$6&lt;2</formula>
    </cfRule>
  </conditionalFormatting>
  <conditionalFormatting sqref="E8">
    <cfRule type="expression" dxfId="336" priority="63">
      <formula>$U$6&lt;3</formula>
    </cfRule>
  </conditionalFormatting>
  <conditionalFormatting sqref="E9">
    <cfRule type="expression" dxfId="335" priority="62">
      <formula>$U$6&lt;4</formula>
    </cfRule>
  </conditionalFormatting>
  <conditionalFormatting sqref="E37">
    <cfRule type="expression" dxfId="334" priority="6">
      <formula>$W$60&gt;0</formula>
    </cfRule>
  </conditionalFormatting>
  <conditionalFormatting sqref="E12:G12 E14:G14 E16:G16 E18:G18 E20:G20 E22:G22 E24:G24 E26:G26 E28:G28 E30:G30">
    <cfRule type="cellIs" dxfId="333" priority="45" operator="notEqual">
      <formula>"A Standard"</formula>
    </cfRule>
  </conditionalFormatting>
  <conditionalFormatting sqref="E12:G14">
    <cfRule type="expression" dxfId="332" priority="1">
      <formula>AND(Tonnage&lt;100,E12=$Z$66)</formula>
    </cfRule>
  </conditionalFormatting>
  <conditionalFormatting sqref="E13:G13 E15:G15 E17:G17 E19:G19 E21:G21 E23:G23 E25:G25 E27:G27 E29:G29 E31:G31 E36:G36">
    <cfRule type="cellIs" dxfId="331" priority="40" operator="notEqual">
      <formula>"A Standard"</formula>
    </cfRule>
  </conditionalFormatting>
  <conditionalFormatting sqref="F5">
    <cfRule type="expression" dxfId="330" priority="97">
      <formula>B4&lt;100</formula>
    </cfRule>
    <cfRule type="expression" dxfId="329" priority="96" stopIfTrue="1">
      <formula>AND(F5="Yes",B4&lt;100)</formula>
    </cfRule>
  </conditionalFormatting>
  <conditionalFormatting sqref="F6">
    <cfRule type="expression" dxfId="328" priority="61">
      <formula>$U$7=0</formula>
    </cfRule>
  </conditionalFormatting>
  <conditionalFormatting sqref="F6:F9">
    <cfRule type="expression" dxfId="327" priority="540">
      <formula>$F$5="No"</formula>
    </cfRule>
  </conditionalFormatting>
  <conditionalFormatting sqref="F7">
    <cfRule type="expression" dxfId="326" priority="60">
      <formula>$U$7&lt;2</formula>
    </cfRule>
  </conditionalFormatting>
  <conditionalFormatting sqref="F8">
    <cfRule type="expression" dxfId="325" priority="59">
      <formula>$U$7&lt;3</formula>
    </cfRule>
  </conditionalFormatting>
  <conditionalFormatting sqref="F9">
    <cfRule type="expression" dxfId="324" priority="58">
      <formula>$U$7&lt;4</formula>
    </cfRule>
  </conditionalFormatting>
  <conditionalFormatting sqref="F10">
    <cfRule type="expression" dxfId="323" priority="53">
      <formula>$W$57&gt;0</formula>
    </cfRule>
  </conditionalFormatting>
  <conditionalFormatting sqref="F50 H50:L50">
    <cfRule type="cellIs" dxfId="322" priority="49" operator="greaterThan">
      <formula>0</formula>
    </cfRule>
  </conditionalFormatting>
  <conditionalFormatting sqref="F53 H53:L53">
    <cfRule type="cellIs" dxfId="321" priority="47" operator="greaterThan">
      <formula>0</formula>
    </cfRule>
  </conditionalFormatting>
  <conditionalFormatting sqref="G1">
    <cfRule type="expression" dxfId="320" priority="41">
      <formula>$W$71&gt;0</formula>
    </cfRule>
  </conditionalFormatting>
  <conditionalFormatting sqref="G5">
    <cfRule type="expression" dxfId="319" priority="92" stopIfTrue="1">
      <formula>AND(G5="Yes",B4&lt;100)</formula>
    </cfRule>
    <cfRule type="expression" dxfId="318" priority="93">
      <formula>B4&lt;100</formula>
    </cfRule>
  </conditionalFormatting>
  <conditionalFormatting sqref="G6">
    <cfRule type="expression" dxfId="317" priority="57">
      <formula>$U$8=0</formula>
    </cfRule>
  </conditionalFormatting>
  <conditionalFormatting sqref="G6:G9">
    <cfRule type="expression" dxfId="316" priority="544">
      <formula>$G$5="No"</formula>
    </cfRule>
  </conditionalFormatting>
  <conditionalFormatting sqref="G7">
    <cfRule type="expression" dxfId="315" priority="56">
      <formula>$U$8&lt;2</formula>
    </cfRule>
  </conditionalFormatting>
  <conditionalFormatting sqref="G8">
    <cfRule type="expression" dxfId="314" priority="55">
      <formula>$U$8&lt;3</formula>
    </cfRule>
  </conditionalFormatting>
  <conditionalFormatting sqref="G9">
    <cfRule type="expression" dxfId="313" priority="54">
      <formula>$U$8&lt;4</formula>
    </cfRule>
  </conditionalFormatting>
  <conditionalFormatting sqref="G46 G50 G53">
    <cfRule type="cellIs" dxfId="312" priority="43" operator="equal">
      <formula>$V$71</formula>
    </cfRule>
  </conditionalFormatting>
  <conditionalFormatting sqref="G46">
    <cfRule type="cellIs" dxfId="311" priority="50" operator="notEqual">
      <formula>$V$63</formula>
    </cfRule>
  </conditionalFormatting>
  <conditionalFormatting sqref="G50">
    <cfRule type="cellIs" dxfId="310" priority="48" operator="notEqual">
      <formula>$V$63</formula>
    </cfRule>
  </conditionalFormatting>
  <conditionalFormatting sqref="G53">
    <cfRule type="cellIs" dxfId="309" priority="46" operator="notEqual">
      <formula>$V$63</formula>
    </cfRule>
  </conditionalFormatting>
  <conditionalFormatting sqref="G55">
    <cfRule type="expression" dxfId="308" priority="42">
      <formula>$W$71&gt;0</formula>
    </cfRule>
  </conditionalFormatting>
  <conditionalFormatting sqref="G40:O40 F46 H46:L46">
    <cfRule type="cellIs" dxfId="307" priority="51" operator="greaterThan">
      <formula>0</formula>
    </cfRule>
  </conditionalFormatting>
  <conditionalFormatting sqref="H12:H31 H36">
    <cfRule type="cellIs" dxfId="306" priority="72" operator="greaterThan">
      <formula>3</formula>
    </cfRule>
  </conditionalFormatting>
  <conditionalFormatting sqref="I12:I31">
    <cfRule type="expression" dxfId="305" priority="14">
      <formula>Q12=0</formula>
    </cfRule>
  </conditionalFormatting>
  <conditionalFormatting sqref="I5:J8">
    <cfRule type="expression" dxfId="304" priority="52">
      <formula>$J$8&gt;$J$6</formula>
    </cfRule>
  </conditionalFormatting>
  <conditionalFormatting sqref="I12:J36">
    <cfRule type="cellIs" dxfId="303" priority="9" stopIfTrue="1" operator="equal">
      <formula>"Yes"</formula>
    </cfRule>
  </conditionalFormatting>
  <conditionalFormatting sqref="I36:J36">
    <cfRule type="expression" dxfId="302" priority="35">
      <formula>$D$36=0</formula>
    </cfRule>
  </conditionalFormatting>
  <conditionalFormatting sqref="J12">
    <cfRule type="expression" dxfId="301" priority="44">
      <formula>$N$12=0</formula>
    </cfRule>
  </conditionalFormatting>
  <conditionalFormatting sqref="J13">
    <cfRule type="expression" dxfId="300" priority="34">
      <formula>$N$13=0</formula>
    </cfRule>
  </conditionalFormatting>
  <conditionalFormatting sqref="J14">
    <cfRule type="expression" dxfId="299" priority="33">
      <formula>$N$14=0</formula>
    </cfRule>
  </conditionalFormatting>
  <conditionalFormatting sqref="J15">
    <cfRule type="expression" dxfId="298" priority="32">
      <formula>$N$15=0</formula>
    </cfRule>
  </conditionalFormatting>
  <conditionalFormatting sqref="J16">
    <cfRule type="expression" dxfId="297" priority="31">
      <formula>$N$16=0</formula>
    </cfRule>
  </conditionalFormatting>
  <conditionalFormatting sqref="J17">
    <cfRule type="expression" dxfId="296" priority="30">
      <formula>$N$17=0</formula>
    </cfRule>
  </conditionalFormatting>
  <conditionalFormatting sqref="J18">
    <cfRule type="expression" dxfId="295" priority="29">
      <formula>$N$18=0</formula>
    </cfRule>
  </conditionalFormatting>
  <conditionalFormatting sqref="J19">
    <cfRule type="expression" dxfId="294" priority="28">
      <formula>$N$19=0</formula>
    </cfRule>
  </conditionalFormatting>
  <conditionalFormatting sqref="J20">
    <cfRule type="expression" dxfId="293" priority="27">
      <formula>$N$20=0</formula>
    </cfRule>
  </conditionalFormatting>
  <conditionalFormatting sqref="J21">
    <cfRule type="expression" dxfId="292" priority="26">
      <formula>$N$21=0</formula>
    </cfRule>
  </conditionalFormatting>
  <conditionalFormatting sqref="J22">
    <cfRule type="expression" dxfId="291" priority="25">
      <formula>$N$22=0</formula>
    </cfRule>
  </conditionalFormatting>
  <conditionalFormatting sqref="J23">
    <cfRule type="expression" dxfId="290" priority="24">
      <formula>$N$23=0</formula>
    </cfRule>
  </conditionalFormatting>
  <conditionalFormatting sqref="J24">
    <cfRule type="expression" dxfId="289" priority="23">
      <formula>$N$24=0</formula>
    </cfRule>
  </conditionalFormatting>
  <conditionalFormatting sqref="J25">
    <cfRule type="expression" dxfId="288" priority="22">
      <formula>$N$25=0</formula>
    </cfRule>
  </conditionalFormatting>
  <conditionalFormatting sqref="J26">
    <cfRule type="expression" dxfId="287" priority="21">
      <formula>$N$26=0</formula>
    </cfRule>
  </conditionalFormatting>
  <conditionalFormatting sqref="J27">
    <cfRule type="expression" dxfId="286" priority="20">
      <formula>$N$27=0</formula>
    </cfRule>
  </conditionalFormatting>
  <conditionalFormatting sqref="J28">
    <cfRule type="expression" dxfId="285" priority="19">
      <formula>$N$28=0</formula>
    </cfRule>
  </conditionalFormatting>
  <conditionalFormatting sqref="J29">
    <cfRule type="expression" dxfId="284" priority="18">
      <formula>$N$29=0</formula>
    </cfRule>
  </conditionalFormatting>
  <conditionalFormatting sqref="J30">
    <cfRule type="expression" dxfId="283" priority="17">
      <formula>$N$30=0</formula>
    </cfRule>
  </conditionalFormatting>
  <conditionalFormatting sqref="J31">
    <cfRule type="expression" dxfId="282" priority="16">
      <formula>$N$31=0</formula>
    </cfRule>
  </conditionalFormatting>
  <conditionalFormatting sqref="J33">
    <cfRule type="expression" dxfId="281" priority="36">
      <formula>OR($D$33=0,$B$4&lt;50)</formula>
    </cfRule>
  </conditionalFormatting>
  <conditionalFormatting sqref="J33:J34">
    <cfRule type="cellIs" dxfId="280" priority="13" stopIfTrue="1" operator="equal">
      <formula>"Yes"</formula>
    </cfRule>
  </conditionalFormatting>
  <conditionalFormatting sqref="J34">
    <cfRule type="expression" dxfId="279" priority="15">
      <formula>OR($D$34=0,$B$4&lt;50)</formula>
    </cfRule>
  </conditionalFormatting>
  <conditionalFormatting sqref="K12:K31 K36">
    <cfRule type="cellIs" dxfId="278" priority="73" operator="greaterThan">
      <formula>TL</formula>
    </cfRule>
  </conditionalFormatting>
  <conditionalFormatting sqref="N6">
    <cfRule type="expression" dxfId="277" priority="104">
      <formula>$N$6&lt;0</formula>
    </cfRule>
  </conditionalFormatting>
  <conditionalFormatting sqref="Q6">
    <cfRule type="expression" dxfId="276"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E19" sqref="E19"/>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f>'Ship Info'!B1</f>
        <v>0</v>
      </c>
      <c r="F1" s="1" t="s">
        <v>1</v>
      </c>
      <c r="S1" t="s">
        <v>99</v>
      </c>
      <c r="T1">
        <v>1</v>
      </c>
    </row>
    <row r="2" spans="1:27">
      <c r="A2" s="3" t="s">
        <v>432</v>
      </c>
      <c r="B2" t="str">
        <f>'Ship Info'!B2</f>
        <v>Expeditionary Base Ship</v>
      </c>
      <c r="C2" s="3" t="s">
        <v>0</v>
      </c>
      <c r="D2" s="2">
        <f>'Ship Info'!F2</f>
        <v>14</v>
      </c>
      <c r="F2" s="10">
        <f>'Ship Info'!G2</f>
        <v>9839492100.0000038</v>
      </c>
      <c r="S2" t="s">
        <v>100</v>
      </c>
      <c r="T2">
        <v>1.5</v>
      </c>
    </row>
    <row r="3" spans="1:27">
      <c r="F3" s="10"/>
      <c r="G3" s="79"/>
      <c r="H3" s="505">
        <f>S40</f>
        <v>75</v>
      </c>
      <c r="I3" s="86"/>
      <c r="J3" s="79"/>
      <c r="K3" s="518">
        <f>S43</f>
        <v>125</v>
      </c>
      <c r="S3" t="s">
        <v>411</v>
      </c>
      <c r="T3">
        <v>15</v>
      </c>
      <c r="U3">
        <v>50</v>
      </c>
      <c r="V3">
        <v>30</v>
      </c>
      <c r="W3">
        <v>100000000</v>
      </c>
      <c r="X3">
        <f>50*(E40+'2-Drives'!H25+'2-Drives'!H28)</f>
        <v>50250</v>
      </c>
    </row>
    <row r="4" spans="1:27">
      <c r="F4" s="508" t="s">
        <v>45</v>
      </c>
      <c r="H4" s="787" t="s">
        <v>46</v>
      </c>
      <c r="I4" s="787"/>
      <c r="K4" s="787" t="s">
        <v>47</v>
      </c>
      <c r="L4" s="787"/>
      <c r="S4" t="s">
        <v>663</v>
      </c>
      <c r="T4">
        <v>20</v>
      </c>
      <c r="U4">
        <v>50</v>
      </c>
      <c r="V4">
        <v>100</v>
      </c>
      <c r="W4">
        <v>1000000000</v>
      </c>
    </row>
    <row r="5" spans="1:27">
      <c r="F5" s="506">
        <f>SUM(F8:F40)</f>
        <v>100000000</v>
      </c>
      <c r="H5" s="1" t="s">
        <v>403</v>
      </c>
      <c r="I5" s="1" t="s">
        <v>27</v>
      </c>
      <c r="K5" s="1" t="s">
        <v>403</v>
      </c>
      <c r="L5" s="1" t="s">
        <v>27</v>
      </c>
      <c r="S5">
        <f>B45</f>
        <v>0</v>
      </c>
      <c r="T5">
        <f>D45</f>
        <v>0</v>
      </c>
      <c r="U5">
        <f>H45</f>
        <v>0</v>
      </c>
      <c r="V5">
        <f>K45</f>
        <v>0</v>
      </c>
      <c r="W5" s="4">
        <f>F45</f>
        <v>0</v>
      </c>
    </row>
    <row r="6" spans="1:27">
      <c r="F6" s="4"/>
      <c r="H6" s="10">
        <f>'Ship Info'!I3</f>
        <v>42.25</v>
      </c>
      <c r="I6" s="270">
        <f>'1-Hull'!B4</f>
        <v>10000</v>
      </c>
      <c r="J6" s="2"/>
      <c r="K6" s="270">
        <f>'Ship Info'!L3</f>
        <v>-23</v>
      </c>
      <c r="L6" s="270">
        <f>'3-Pwr Plant'!L6</f>
        <v>7500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409</v>
      </c>
      <c r="C9" s="198" t="s">
        <v>1285</v>
      </c>
      <c r="D9" s="2">
        <f>INDEX($S$9:$W$13,MATCH(B9,$S$9:$S$13,0),2)+INDEX($S$15:$X$37,MATCH(C9,$S$15:$S$37,0),2)+INDEX($S$15:$X$37,MATCH(C10,$S$15:$S$37,0),2)+INDEX($S$15:$X$37,MATCH(C11,$S$15:$S$37,0),2)</f>
        <v>13</v>
      </c>
      <c r="E9" s="198">
        <v>5</v>
      </c>
      <c r="F9" s="4">
        <f>E9*INDEX($S$9:$W$13,MATCH(B9,$S$9:$S$13,0),5)*(1+IF(Z39=0,INDEX($V$39:$W$42,MATCH(B11,$V$39:$V$42,0),2),Z39))*INDEX($S$1:$T$2,MATCH(A9,$S$1:$S$2,0),2)+E9*(IF(A11="No",0,200000*0.1*H9/1.1))</f>
        <v>37500000</v>
      </c>
      <c r="H9" s="263">
        <f>E9*INDEX($S$9:$W$13,MATCH(B9,$S$9:$S$13,0),3)*(1+INDEX($S$15:$X$37,MATCH(C9,$S$15:$S$37,0),3)+INDEX($S$15:$X$37,MATCH(C10,$S$15:$S$37,0),3)+INDEX($S$15:$X$37,MATCH(C11,$S$15:$S$37,0),3))*IF(A11="No",1,1.1)</f>
        <v>25</v>
      </c>
      <c r="K9" s="263">
        <f>E9*INDEX($S$9:$W$13,MATCH(B9,$S$9:$S$13,0),4)*(1+INDEX($S$15:$X$37,MATCH(C9,$S$15:$S$37,0),4)+INDEX($S$15:$X$37,MATCH(C10,$S$15:$S$37,0),4)+INDEX($S$15:$X$37,MATCH(C11,$S$15:$S$37,0),4))</f>
        <v>50</v>
      </c>
      <c r="M9" t="str">
        <f>VLOOKUP(C9,$S$15:$X$37,6)</f>
        <v>Crit Severity -1</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99</v>
      </c>
      <c r="B11" s="2">
        <f>VLOOKUP(C9,$S$15:$Z$33,8)+VLOOKUP(C10,$S$15:$Z$33,8)+VLOOKUP(C11,$S$15:$Z$33,8)</f>
        <v>3</v>
      </c>
      <c r="C11" s="198" t="s">
        <v>1244</v>
      </c>
      <c r="M11" t="str">
        <f>VLOOKUP(C11,$S$15:$X$37,6)</f>
        <v>1's count as 2's</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413</v>
      </c>
      <c r="C14" s="198" t="s">
        <v>414</v>
      </c>
      <c r="D14" s="2">
        <f>INDEX($S$9:$W$13,MATCH(B14,$S$9:$S$13,0),2)+INDEX($S$15:$X$37,MATCH(C14,$S$15:$S$37,0),2)+INDEX($S$15:$X$37,MATCH(C15,$S$15:$S$37,0),2)+INDEX($S$15:$X$37,MATCH(C16,$S$15:$S$37,0),2)</f>
        <v>14</v>
      </c>
      <c r="E14" s="198">
        <v>5</v>
      </c>
      <c r="F14" s="4">
        <f>E14*INDEX($S$9:$W$13,MATCH(B14,$S$9:$S$13,0),5)*(1+IF(Z40=0,INDEX($V$39:$W$42,MATCH(B16,$V$39:$V$42,0),2),Z40))*INDEX($S$1:$T$2,MATCH(A14,$S$1:$S$2,0),2)+E14*(IF(A16="No",0,200000*0.1*H14/1.1))</f>
        <v>62500000</v>
      </c>
      <c r="H14" s="263">
        <f>E14*INDEX($S$9:$W$13,MATCH(B14,$S$9:$S$13,0),3)*(1+INDEX($S$15:$X$37,MATCH(C14,$S$15:$S$37,0),3)+INDEX($S$15:$X$37,MATCH(C15,$S$15:$S$37,0),3)+INDEX($S$15:$X$37,MATCH(C16,$S$15:$S$37,0),3))*IF(A16="No",1,1.1)</f>
        <v>50</v>
      </c>
      <c r="K14" s="263">
        <f>E14*INDEX($S$9:$W$13,MATCH(B14,$S$9:$S$13,0),4)*(1+INDEX($S$15:$X$37,MATCH(C14,$S$15:$S$37,0),4)+INDEX($S$15:$X$37,MATCH(C15,$S$15:$S$37,0),4)+INDEX($S$15:$X$37,MATCH(C16,$S$15:$S$37,0),4))</f>
        <v>75</v>
      </c>
      <c r="M14" t="str">
        <f>VLOOKUP(C14,$S$15:$X$37,6)</f>
        <v>DM +1 to Repair</v>
      </c>
      <c r="T14" t="s">
        <v>26</v>
      </c>
      <c r="U14" t="s">
        <v>117</v>
      </c>
      <c r="V14" t="s">
        <v>322</v>
      </c>
      <c r="W14" t="s">
        <v>1</v>
      </c>
      <c r="X14" t="s">
        <v>171</v>
      </c>
      <c r="Y14" t="s">
        <v>701</v>
      </c>
      <c r="Z14" t="s">
        <v>1166</v>
      </c>
      <c r="AA14" t="s">
        <v>1265</v>
      </c>
    </row>
    <row r="15" spans="1:27" ht="16" thickBot="1">
      <c r="A15" s="3" t="s">
        <v>1075</v>
      </c>
      <c r="B15" s="234" t="s">
        <v>1166</v>
      </c>
      <c r="C15" s="198" t="s">
        <v>417</v>
      </c>
      <c r="M15" t="str">
        <f>VLOOKUP(C15,$S$15:$X$37,6)</f>
        <v>Power -25%</v>
      </c>
      <c r="S15" t="s">
        <v>395</v>
      </c>
      <c r="T15">
        <v>0</v>
      </c>
      <c r="U15">
        <v>0</v>
      </c>
      <c r="V15">
        <v>0</v>
      </c>
      <c r="W15">
        <v>0</v>
      </c>
      <c r="X15" t="s">
        <v>33</v>
      </c>
      <c r="Y15" t="str">
        <f>""</f>
        <v/>
      </c>
      <c r="Z15">
        <v>0</v>
      </c>
      <c r="AA15" t="s">
        <v>19</v>
      </c>
    </row>
    <row r="16" spans="1:27" ht="16" thickBot="1">
      <c r="A16" s="198" t="s">
        <v>99</v>
      </c>
      <c r="B16" s="2">
        <f>VLOOKUP(C14,$S$15:$Z$33,8)+VLOOKUP(C15,$S$15:$Z$33,8)+VLOOKUP(C16,$S$15:$Z$33,8)</f>
        <v>2</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75</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125</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50</v>
      </c>
      <c r="V45">
        <v>2</v>
      </c>
      <c r="W45">
        <f>U45*1000000</f>
        <v>50000000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Resilient</v>
      </c>
      <c r="U54" t="str">
        <f>IF(T54="","",IF(AND(T55=T54,T56=T54),T54&amp;" x3",IF(OR(T55=T54,T56=T54),T54&amp;" x2",T54)))</f>
        <v>Resilient</v>
      </c>
      <c r="V54" t="str">
        <f>IF(VLOOKUP(C14,$S$15:$AA$34,9)=$AA$15,"",VLOOKUP(C14,$S$15:$AA$34,9))</f>
        <v>Easy to Repair</v>
      </c>
      <c r="W54" t="str">
        <f>IF(V54="","",IF(AND(V55=V54,V56=V54),V54&amp;" x3",IF(OR(V55=V54,V56=V54),V54&amp;" x2",V54)))</f>
        <v>Easy to Repair</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Energy Efficient</v>
      </c>
      <c r="W55" t="str">
        <f>IF(OR(V55="",V55=V54),"",IF(V54="","",", ")&amp;IF(V55=V56,V55&amp;" x2",V55))</f>
        <v>, Energy Efficient</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High Strength</v>
      </c>
      <c r="U56" t="str">
        <f>IF(OR(T56="",T56=T54,T56=T55),"",IF(AND(T54="",T55=""),"",", ")&amp;T56)</f>
        <v>, High Strength</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Resilient, Easy to Repair, High Strength</v>
      </c>
      <c r="V58" s="232" t="str">
        <f>W54&amp;W55&amp;W56</f>
        <v>Easy to Repair, Energy Efficient</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CS -1  1s to 2</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5" priority="1387">
      <formula>$B$9=$S$9</formula>
    </cfRule>
  </conditionalFormatting>
  <conditionalFormatting sqref="A14 E14 C14:C16 A16">
    <cfRule type="expression" dxfId="274" priority="1391">
      <formula>$B$14=$S$9</formula>
    </cfRule>
  </conditionalFormatting>
  <conditionalFormatting sqref="A19 E19 C19:C21 A21">
    <cfRule type="expression" dxfId="273" priority="1395">
      <formula>$B$19=$S$9</formula>
    </cfRule>
  </conditionalFormatting>
  <conditionalFormatting sqref="A24 E24 C24:C26 A26">
    <cfRule type="expression" dxfId="272" priority="1405">
      <formula>$B$24=$S$9</formula>
    </cfRule>
  </conditionalFormatting>
  <conditionalFormatting sqref="A29 C29:C31 A31">
    <cfRule type="expression" dxfId="271" priority="16">
      <formula>$E$29=0</formula>
    </cfRule>
  </conditionalFormatting>
  <conditionalFormatting sqref="A34 C34:C36 A36">
    <cfRule type="expression" dxfId="270" priority="3">
      <formula>$D$34&lt;10</formula>
    </cfRule>
  </conditionalFormatting>
  <conditionalFormatting sqref="A39 E40 A41">
    <cfRule type="expression" dxfId="269" priority="1399">
      <formula>$C$39=$S$6</formula>
    </cfRule>
  </conditionalFormatting>
  <conditionalFormatting sqref="B11 B16 B21 B26 B31">
    <cfRule type="cellIs" dxfId="268" priority="10" operator="greaterThan">
      <formula>3</formula>
    </cfRule>
  </conditionalFormatting>
  <conditionalFormatting sqref="B36">
    <cfRule type="cellIs" dxfId="267" priority="2" operator="greaterThan">
      <formula>3</formula>
    </cfRule>
  </conditionalFormatting>
  <conditionalFormatting sqref="D9 D14 D19 D24 D29 D39">
    <cfRule type="cellIs" dxfId="266" priority="4" operator="greaterThan">
      <formula>$D$2</formula>
    </cfRule>
  </conditionalFormatting>
  <conditionalFormatting sqref="D34">
    <cfRule type="cellIs" dxfId="265" priority="1" operator="greaterThan">
      <formula>$D$2</formula>
    </cfRule>
  </conditionalFormatting>
  <conditionalFormatting sqref="E9">
    <cfRule type="expression" dxfId="264" priority="1402">
      <formula>AND(B9&lt;&gt;S9,E9=0)</formula>
    </cfRule>
  </conditionalFormatting>
  <conditionalFormatting sqref="E14">
    <cfRule type="expression" dxfId="263" priority="1403">
      <formula>AND(B14&lt;&gt;S9,E14=0)</formula>
    </cfRule>
  </conditionalFormatting>
  <conditionalFormatting sqref="E19">
    <cfRule type="expression" dxfId="262" priority="1404">
      <formula>AND(B19&lt;&gt;S9,E19=0)</formula>
    </cfRule>
  </conditionalFormatting>
  <conditionalFormatting sqref="E24">
    <cfRule type="expression" dxfId="261" priority="1409">
      <formula>AND($B$24&lt;&gt;$S$9,$E$24=0)</formula>
    </cfRule>
  </conditionalFormatting>
  <conditionalFormatting sqref="H6">
    <cfRule type="expression" dxfId="260" priority="26">
      <formula>$H$6&lt;0</formula>
    </cfRule>
  </conditionalFormatting>
  <conditionalFormatting sqref="K6">
    <cfRule type="expression" dxfId="259"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opLeftCell="A29" zoomScaleNormal="100" workbookViewId="0">
      <selection activeCell="B35" sqref="B35"/>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f>'Ship Info'!B1</f>
        <v>0</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Expeditionary Base Ship</v>
      </c>
      <c r="D2" s="3" t="s">
        <v>0</v>
      </c>
      <c r="E2" s="2">
        <f>'Ship Info'!F2</f>
        <v>14</v>
      </c>
      <c r="F2" s="10">
        <f>'Ship Info'!G2</f>
        <v>9839492100.0000038</v>
      </c>
      <c r="S2" t="s">
        <v>113</v>
      </c>
      <c r="T2" t="s">
        <v>99</v>
      </c>
      <c r="U2" t="s">
        <v>99</v>
      </c>
      <c r="Y2">
        <v>1</v>
      </c>
      <c r="AA2" t="str">
        <f>""</f>
        <v/>
      </c>
      <c r="AB2" s="4">
        <v>0</v>
      </c>
      <c r="AC2">
        <v>0</v>
      </c>
      <c r="AW2" s="202">
        <v>1</v>
      </c>
      <c r="AX2" s="202" t="str">
        <f>INDEX($Y$2:$AA$328,MATCH(AW2,$Y$2:$Y$328,0),3)</f>
        <v/>
      </c>
      <c r="AY2">
        <v>1</v>
      </c>
      <c r="AZ2" t="str">
        <f>IF(OR(M27="",P27=0),"",M27&amp;" x"&amp;P27&amp;" ("&amp;P27*O27&amp;" tons)")</f>
        <v>Zhodoni Ninz-Class Scout  x3 (300 tons)</v>
      </c>
      <c r="BA2" s="4">
        <f>Q27</f>
        <v>149385000</v>
      </c>
    </row>
    <row r="3" spans="1:53">
      <c r="F3" s="10"/>
      <c r="G3" s="79"/>
      <c r="H3" s="506">
        <f>S29</f>
        <v>1370</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Zhodani Brechatsnech Belt Survey Vessel x1 (60 tons)</v>
      </c>
      <c r="BA3" s="4">
        <f t="shared" ref="BA3:BA31" si="4">Q28</f>
        <v>37070000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Zhodani Drabr Chtor Terrestrial Survey Vessel x1 (80 tons)</v>
      </c>
      <c r="BA4" s="4">
        <f t="shared" si="4"/>
        <v>48995000</v>
      </c>
    </row>
    <row r="5" spans="1:53" ht="16">
      <c r="F5" s="506">
        <f>SUM(F10:F66)+IF(N58="No",0,SUM(Q27:Q46))</f>
        <v>651000000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Zhodani Neishetsienz Gas Giant Survey Vessel x1 (60 tons)</v>
      </c>
      <c r="BA5" s="4">
        <f t="shared" si="4"/>
        <v>65550000</v>
      </c>
    </row>
    <row r="6" spans="1:53" ht="16">
      <c r="G6" s="2"/>
      <c r="H6" s="10">
        <f>'Ship Info'!I3</f>
        <v>42.25</v>
      </c>
      <c r="I6" s="270">
        <f>'Ship Info'!J3</f>
        <v>10000</v>
      </c>
      <c r="J6" s="2"/>
      <c r="K6" s="270">
        <f>'Ship Info'!L3</f>
        <v>-23</v>
      </c>
      <c r="L6" s="270">
        <f>'Ship Info'!M3</f>
        <v>7500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113</v>
      </c>
      <c r="C10" s="235">
        <v>100</v>
      </c>
      <c r="D10" s="2" t="str">
        <f>IF(H10&gt;0,C10*5 &amp;" Probes","0 Probes ")</f>
        <v>500 Probes</v>
      </c>
      <c r="E10" s="2">
        <f>IF(B10="Installed",9,0)</f>
        <v>9</v>
      </c>
      <c r="F10" s="4">
        <f>H10*500000</f>
        <v>50000000</v>
      </c>
      <c r="H10" s="270">
        <f>IF(B10=S2,C10,0)</f>
        <v>100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100</v>
      </c>
      <c r="D11" s="2" t="str">
        <f>IF(H11&gt;0,C11*5 &amp;" Probes","0 Probes")</f>
        <v>500 Probes</v>
      </c>
      <c r="E11" s="2">
        <f>IF(B11="Installed",12,0)</f>
        <v>12</v>
      </c>
      <c r="F11" s="4">
        <f>H11*800000</f>
        <v>80000000</v>
      </c>
      <c r="H11" s="270">
        <f>IF(B11=S2,C11,0)</f>
        <v>100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113</v>
      </c>
      <c r="C12" s="235">
        <v>25</v>
      </c>
      <c r="D12" s="2" t="str">
        <f>IF(H12&gt;0,C12*5 &amp;"D Tons/Day","0 Tons/Day")</f>
        <v>125D Tons/Day</v>
      </c>
      <c r="E12" s="2">
        <f>IF(B12="Installed",8,0)</f>
        <v>8</v>
      </c>
      <c r="F12" s="4">
        <f>H12*100000</f>
        <v>25000000</v>
      </c>
      <c r="H12" s="270">
        <f>IF(B12=S2,C12*10,0)</f>
        <v>250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20000000</v>
      </c>
      <c r="H13" s="270">
        <f>IF(B13=S2,0.01*I6,0)</f>
        <v>100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1907</v>
      </c>
      <c r="N27" s="455">
        <f>INDEX($AA$2:$AC$482,MATCH(M27,$AA$2:$AA$482,0),2)</f>
        <v>49795000</v>
      </c>
      <c r="O27" s="456">
        <f>INDEX($AA$2:$AC$482,MATCH(M27,$AA$2:$AA$482,0),3)</f>
        <v>100</v>
      </c>
      <c r="P27" s="410">
        <v>3</v>
      </c>
      <c r="Q27" s="445">
        <f>P27*N27</f>
        <v>149385000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100</v>
      </c>
      <c r="D28" s="270">
        <v>2</v>
      </c>
      <c r="E28">
        <f>VLOOKUP(B28,S20:T25,2)</f>
        <v>0</v>
      </c>
      <c r="F28" s="4">
        <f>VLOOKUP(B28,S20:U25,3)*C28</f>
        <v>0</v>
      </c>
      <c r="H28" s="270">
        <v>0</v>
      </c>
      <c r="I28" s="844"/>
      <c r="J28" s="845"/>
      <c r="L28" s="451" t="s">
        <v>635</v>
      </c>
      <c r="M28" s="440" t="s">
        <v>2003</v>
      </c>
      <c r="N28" s="455">
        <f t="shared" ref="N28:N36" si="9">INDEX($AA$2:$AC$482,MATCH(M28,$AA$2:$AA$482,0),2)</f>
        <v>37070000</v>
      </c>
      <c r="O28" s="456">
        <f t="shared" ref="O28:O36" si="10">INDEX($AA$2:$AC$482,MATCH(M28,$AA$2:$AA$482,0),3)</f>
        <v>60</v>
      </c>
      <c r="P28" s="441">
        <v>1</v>
      </c>
      <c r="Q28" s="442">
        <f t="shared" ref="Q28:Q45" si="11">P28*N28</f>
        <v>37070000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2005</v>
      </c>
      <c r="N29" s="455">
        <f t="shared" si="9"/>
        <v>48995000</v>
      </c>
      <c r="O29" s="456">
        <f t="shared" si="10"/>
        <v>80</v>
      </c>
      <c r="P29" s="410">
        <v>1</v>
      </c>
      <c r="Q29" s="445">
        <f t="shared" si="11"/>
        <v>48995000</v>
      </c>
      <c r="S29">
        <f>SUM(H10:H64)</f>
        <v>1370</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2004</v>
      </c>
      <c r="N30" s="455">
        <f t="shared" si="9"/>
        <v>65550000</v>
      </c>
      <c r="O30" s="456">
        <f t="shared" si="10"/>
        <v>60</v>
      </c>
      <c r="P30" s="441">
        <v>1</v>
      </c>
      <c r="Q30" s="442">
        <f t="shared" si="11"/>
        <v>65550000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100</v>
      </c>
      <c r="U33">
        <f>IF('1-Hull'!B4&lt;100,0,ROUNDUP('1-Hull'!B4/100,0))</f>
        <v>100</v>
      </c>
      <c r="V33">
        <f>IF('1-Hull'!B4&lt;100,0,ROUNDUP('1-Hull'!B4/500,0))</f>
        <v>20</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100x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3</v>
      </c>
      <c r="D35" s="235">
        <v>100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113</v>
      </c>
      <c r="C36" s="235">
        <v>1</v>
      </c>
      <c r="D36" s="235">
        <v>80</v>
      </c>
      <c r="F36" s="4">
        <f t="shared" ref="F36:F40" si="12">IF(H36&gt;0,H36*250000,0)*IF(A36=$S$55,1,2)</f>
        <v>22000000</v>
      </c>
      <c r="H36" s="270">
        <f>IF(B36=S21,ROUNDUP(C36*D36*1.1,0),0)</f>
        <v>88</v>
      </c>
      <c r="L36" s="452"/>
      <c r="M36" s="443" t="s">
        <v>1103</v>
      </c>
      <c r="N36" s="455">
        <f t="shared" si="9"/>
        <v>0</v>
      </c>
      <c r="O36" s="456">
        <f t="shared" si="10"/>
        <v>0</v>
      </c>
      <c r="P36" s="444">
        <v>0</v>
      </c>
      <c r="Q36" s="442">
        <f t="shared" si="11"/>
        <v>0</v>
      </c>
      <c r="S36" t="str">
        <f>IF(B10=S3,"",", "&amp;A10&amp;": "&amp;D10)&amp;""&amp;IF(B11=S3,"",", "&amp;A11&amp;": "&amp;D11)&amp;""&amp;IF(B12=S3,"",", "&amp;A12&amp;": "&amp;D12)&amp;""&amp;IF(B13=S3,"",", "&amp;A13)</f>
        <v>, Probe Drones: 500 Probes, Advanced Probe Drones: 500 Probes, Mining Drones: 125D Tons/Day,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113</v>
      </c>
      <c r="C37" s="235">
        <v>2</v>
      </c>
      <c r="D37" s="235">
        <v>60</v>
      </c>
      <c r="F37" s="4">
        <f t="shared" si="12"/>
        <v>33000000</v>
      </c>
      <c r="H37" s="270">
        <f>IF(B37=S21,ROUNDUP(C37*D37*1.1,0),0)</f>
        <v>132</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200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80 ton Internal Docking Space, 2x 60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300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1x 300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1</v>
      </c>
      <c r="D48" s="235">
        <v>300</v>
      </c>
      <c r="F48" s="4">
        <f>IF(H48&gt;0,H48*200000,0)*IF(A48=$S$57,1,2)</f>
        <v>120000000</v>
      </c>
      <c r="H48" s="270">
        <f>IF(B48="Installed",C48*D48*2,0)</f>
        <v>600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500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58" priority="6">
      <formula>$B35=$S$53</formula>
    </cfRule>
  </conditionalFormatting>
  <conditionalFormatting sqref="A48:A52">
    <cfRule type="expression" dxfId="257" priority="5">
      <formula>$B48=$S$53</formula>
    </cfRule>
  </conditionalFormatting>
  <conditionalFormatting sqref="A10:B10">
    <cfRule type="expression" dxfId="256" priority="70">
      <formula>$E$10&gt;$E$2</formula>
    </cfRule>
  </conditionalFormatting>
  <conditionalFormatting sqref="A11:B11">
    <cfRule type="expression" dxfId="255" priority="69">
      <formula>12&gt;$E$2</formula>
    </cfRule>
  </conditionalFormatting>
  <conditionalFormatting sqref="A12:B12">
    <cfRule type="expression" dxfId="254" priority="68">
      <formula>$E$12&gt;$E$2</formula>
    </cfRule>
  </conditionalFormatting>
  <conditionalFormatting sqref="A13:B13">
    <cfRule type="expression" dxfId="253" priority="67">
      <formula>$E$13&gt;$E$2</formula>
    </cfRule>
  </conditionalFormatting>
  <conditionalFormatting sqref="A24:C24">
    <cfRule type="expression" dxfId="252" priority="1">
      <formula>$U$66=0</formula>
    </cfRule>
  </conditionalFormatting>
  <conditionalFormatting sqref="B17:B18 B10:B13 B20:B23 B28:B33 B35:B40 B42:B46 B48:B52 B54:B58 B60:B64">
    <cfRule type="cellIs" dxfId="251" priority="14" operator="equal">
      <formula>"Not Installed"</formula>
    </cfRule>
  </conditionalFormatting>
  <conditionalFormatting sqref="B18 B28:B33 B35:B40 B42:B46 B48:B52 B54:B58 B60:B64">
    <cfRule type="cellIs" dxfId="250" priority="13" operator="equal">
      <formula>" Not Installed"</formula>
    </cfRule>
  </conditionalFormatting>
  <conditionalFormatting sqref="B18">
    <cfRule type="cellIs" dxfId="249" priority="12" operator="equal">
      <formula>$S$14</formula>
    </cfRule>
  </conditionalFormatting>
  <conditionalFormatting sqref="B24">
    <cfRule type="expression" dxfId="248" priority="2">
      <formula>AND($B$24&lt;&gt;"",$U$66=0)</formula>
    </cfRule>
    <cfRule type="expression" dxfId="247" priority="4">
      <formula>$B$24="GP Mass Driver Added Capacity"</formula>
    </cfRule>
  </conditionalFormatting>
  <conditionalFormatting sqref="C10">
    <cfRule type="expression" dxfId="246" priority="75">
      <formula>$B$10=$S$3</formula>
    </cfRule>
  </conditionalFormatting>
  <conditionalFormatting sqref="C11">
    <cfRule type="expression" dxfId="245" priority="74">
      <formula>$B$11=$S$3</formula>
    </cfRule>
  </conditionalFormatting>
  <conditionalFormatting sqref="C12">
    <cfRule type="expression" dxfId="244" priority="73">
      <formula>$B$12=$S$3</formula>
    </cfRule>
  </conditionalFormatting>
  <conditionalFormatting sqref="C17">
    <cfRule type="expression" dxfId="243" priority="66">
      <formula>$B$17=$S$3</formula>
    </cfRule>
  </conditionalFormatting>
  <conditionalFormatting sqref="C18:C19">
    <cfRule type="expression" dxfId="242" priority="21">
      <formula>$B$18=$S$14</formula>
    </cfRule>
  </conditionalFormatting>
  <conditionalFormatting sqref="C20">
    <cfRule type="expression" dxfId="241" priority="63">
      <formula>$B$20=$S$3</formula>
    </cfRule>
  </conditionalFormatting>
  <conditionalFormatting sqref="C21">
    <cfRule type="expression" dxfId="240" priority="62">
      <formula>$B$21=$S$3</formula>
    </cfRule>
  </conditionalFormatting>
  <conditionalFormatting sqref="C22">
    <cfRule type="expression" dxfId="239" priority="61">
      <formula>$B$22=$S$3</formula>
    </cfRule>
  </conditionalFormatting>
  <conditionalFormatting sqref="C23">
    <cfRule type="expression" dxfId="238" priority="60">
      <formula>$B$23=$S$3</formula>
    </cfRule>
  </conditionalFormatting>
  <conditionalFormatting sqref="C24">
    <cfRule type="expression" dxfId="237" priority="3">
      <formula>$B$24=""</formula>
    </cfRule>
  </conditionalFormatting>
  <conditionalFormatting sqref="C42">
    <cfRule type="expression" dxfId="234" priority="28">
      <formula>$B$42=$S$20</formula>
    </cfRule>
  </conditionalFormatting>
  <conditionalFormatting sqref="C43">
    <cfRule type="expression" dxfId="233" priority="27">
      <formula>$B$43=$S$20</formula>
    </cfRule>
  </conditionalFormatting>
  <conditionalFormatting sqref="C44">
    <cfRule type="expression" dxfId="232" priority="26">
      <formula>$B$44=$S$20</formula>
    </cfRule>
  </conditionalFormatting>
  <conditionalFormatting sqref="C45">
    <cfRule type="expression" dxfId="231" priority="25">
      <formula>$B$45=$S$20</formula>
    </cfRule>
  </conditionalFormatting>
  <conditionalFormatting sqref="C46">
    <cfRule type="expression" dxfId="230" priority="24">
      <formula>$B$46=$S$20</formula>
    </cfRule>
  </conditionalFormatting>
  <conditionalFormatting sqref="C66">
    <cfRule type="expression" dxfId="229" priority="58">
      <formula>$S$60=0</formula>
    </cfRule>
  </conditionalFormatting>
  <conditionalFormatting sqref="C29:D29">
    <cfRule type="expression" dxfId="228" priority="57">
      <formula>$B$29=$S$20</formula>
    </cfRule>
  </conditionalFormatting>
  <conditionalFormatting sqref="C30:D30">
    <cfRule type="expression" dxfId="227" priority="56">
      <formula>$B$30=$S$20</formula>
    </cfRule>
  </conditionalFormatting>
  <conditionalFormatting sqref="C31:D31">
    <cfRule type="expression" dxfId="226" priority="55">
      <formula>$B$31=$S$20</formula>
    </cfRule>
  </conditionalFormatting>
  <conditionalFormatting sqref="C32:D32">
    <cfRule type="expression" dxfId="225" priority="54">
      <formula>$B$32=$S$20</formula>
    </cfRule>
  </conditionalFormatting>
  <conditionalFormatting sqref="C33:D33">
    <cfRule type="expression" dxfId="224" priority="53">
      <formula>$B$33=$S$20</formula>
    </cfRule>
  </conditionalFormatting>
  <conditionalFormatting sqref="C35:D35">
    <cfRule type="expression" dxfId="223" priority="52">
      <formula>$B$35=$S$20</formula>
    </cfRule>
  </conditionalFormatting>
  <conditionalFormatting sqref="C36:D36">
    <cfRule type="expression" dxfId="222" priority="51">
      <formula>$B$36=$S$20</formula>
    </cfRule>
  </conditionalFormatting>
  <conditionalFormatting sqref="C37:D37">
    <cfRule type="expression" dxfId="221" priority="50">
      <formula>$B$37=$S$20</formula>
    </cfRule>
  </conditionalFormatting>
  <conditionalFormatting sqref="C38:D38">
    <cfRule type="expression" dxfId="220" priority="49">
      <formula>$B$38=$S$20</formula>
    </cfRule>
  </conditionalFormatting>
  <conditionalFormatting sqref="C39:D39">
    <cfRule type="expression" dxfId="219" priority="48">
      <formula>$B$39=$S$20</formula>
    </cfRule>
  </conditionalFormatting>
  <conditionalFormatting sqref="C40:D40">
    <cfRule type="expression" dxfId="218" priority="47">
      <formula>$B$40=$S$20</formula>
    </cfRule>
  </conditionalFormatting>
  <conditionalFormatting sqref="C48:D48">
    <cfRule type="expression" dxfId="217" priority="46">
      <formula>$B$48=$S$20</formula>
    </cfRule>
  </conditionalFormatting>
  <conditionalFormatting sqref="C49:D49">
    <cfRule type="expression" dxfId="216" priority="45">
      <formula>$B$49=$S$20</formula>
    </cfRule>
  </conditionalFormatting>
  <conditionalFormatting sqref="C50:D50">
    <cfRule type="expression" dxfId="215" priority="44">
      <formula>$B$50=$S$20</formula>
    </cfRule>
  </conditionalFormatting>
  <conditionalFormatting sqref="C51:D51">
    <cfRule type="expression" dxfId="214" priority="43">
      <formula>$B$51=$S$20</formula>
    </cfRule>
  </conditionalFormatting>
  <conditionalFormatting sqref="C52:D52">
    <cfRule type="expression" dxfId="213" priority="42">
      <formula>$B$52=$S$20</formula>
    </cfRule>
  </conditionalFormatting>
  <conditionalFormatting sqref="C54:D54">
    <cfRule type="expression" dxfId="212" priority="40">
      <formula>$B$54=$S$20</formula>
    </cfRule>
  </conditionalFormatting>
  <conditionalFormatting sqref="C55:D55">
    <cfRule type="expression" dxfId="211" priority="39">
      <formula>$B$55=$S$20</formula>
    </cfRule>
  </conditionalFormatting>
  <conditionalFormatting sqref="C56:D56">
    <cfRule type="expression" dxfId="210" priority="38">
      <formula>$B$56=$S$20</formula>
    </cfRule>
  </conditionalFormatting>
  <conditionalFormatting sqref="C57:D57">
    <cfRule type="expression" dxfId="209" priority="37">
      <formula>$B$57=$S$20</formula>
    </cfRule>
  </conditionalFormatting>
  <conditionalFormatting sqref="C58:D58">
    <cfRule type="expression" dxfId="208" priority="36">
      <formula>$B$58=$S$20</formula>
    </cfRule>
  </conditionalFormatting>
  <conditionalFormatting sqref="C60:D60">
    <cfRule type="expression" dxfId="207" priority="35">
      <formula>$B$60=$S$20</formula>
    </cfRule>
  </conditionalFormatting>
  <conditionalFormatting sqref="C61:D61">
    <cfRule type="expression" dxfId="206" priority="34">
      <formula>$B$61=$S$20</formula>
    </cfRule>
  </conditionalFormatting>
  <conditionalFormatting sqref="C62:D62">
    <cfRule type="expression" dxfId="205" priority="33">
      <formula>$B$62=$S$20</formula>
    </cfRule>
  </conditionalFormatting>
  <conditionalFormatting sqref="C63:D63">
    <cfRule type="expression" dxfId="204" priority="32">
      <formula>$B$63=$S$20</formula>
    </cfRule>
  </conditionalFormatting>
  <conditionalFormatting sqref="C64:D64">
    <cfRule type="expression" dxfId="203" priority="31">
      <formula>$B$64=$S$20</formula>
    </cfRule>
  </conditionalFormatting>
  <conditionalFormatting sqref="E11">
    <cfRule type="expression" dxfId="202" priority="18">
      <formula>AND($B$11=$S$2,$E$11&gt;$E$2)</formula>
    </cfRule>
  </conditionalFormatting>
  <conditionalFormatting sqref="E12:E13">
    <cfRule type="expression" dxfId="201" priority="17">
      <formula>AND($B$12=$S$2,$E$12&gt;$E$2)</formula>
    </cfRule>
  </conditionalFormatting>
  <conditionalFormatting sqref="E18">
    <cfRule type="expression" dxfId="200" priority="20">
      <formula>$E$18&gt;$E$2</formula>
    </cfRule>
  </conditionalFormatting>
  <conditionalFormatting sqref="E18:E19">
    <cfRule type="expression" dxfId="199" priority="23">
      <formula>$E$19&gt;$E$2</formula>
    </cfRule>
  </conditionalFormatting>
  <conditionalFormatting sqref="E28:E33">
    <cfRule type="expression" dxfId="198" priority="19">
      <formula>MAX($E$28:$E$33)&gt;$E$2</formula>
    </cfRule>
  </conditionalFormatting>
  <conditionalFormatting sqref="H6">
    <cfRule type="expression" dxfId="197" priority="30">
      <formula>$H$6&lt;0</formula>
    </cfRule>
  </conditionalFormatting>
  <conditionalFormatting sqref="K6">
    <cfRule type="expression" dxfId="196" priority="29">
      <formula>$K$6&lt;0</formula>
    </cfRule>
  </conditionalFormatting>
  <conditionalFormatting sqref="N58 N61:N65">
    <cfRule type="expression" dxfId="195" priority="11">
      <formula>$N58="Yes"</formula>
    </cfRule>
  </conditionalFormatting>
  <conditionalFormatting sqref="N67:N79">
    <cfRule type="expression" dxfId="194"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topLeftCell="A14" workbookViewId="0">
      <selection activeCell="C91" sqref="C91"/>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f>'Ship Info'!B1</f>
        <v>0</v>
      </c>
      <c r="F1" s="1" t="s">
        <v>1</v>
      </c>
    </row>
    <row r="2" spans="1:19">
      <c r="A2" s="3" t="s">
        <v>432</v>
      </c>
      <c r="B2" t="str">
        <f>'Ship Info'!B2</f>
        <v>Expeditionary Base Ship</v>
      </c>
      <c r="D2" s="3" t="s">
        <v>0</v>
      </c>
      <c r="E2" s="2">
        <f>'Ship Info'!F2</f>
        <v>14</v>
      </c>
      <c r="F2" s="10">
        <f>'Ship Info'!G2</f>
        <v>9839492100.0000038</v>
      </c>
    </row>
    <row r="3" spans="1:19">
      <c r="F3" s="10"/>
      <c r="G3" s="79"/>
      <c r="H3" s="506">
        <f>S10</f>
        <v>342</v>
      </c>
      <c r="I3" s="28"/>
      <c r="J3" s="79"/>
      <c r="K3" s="507">
        <f>S13</f>
        <v>19</v>
      </c>
      <c r="S3" t="s">
        <v>375</v>
      </c>
    </row>
    <row r="4" spans="1:19">
      <c r="F4" s="508" t="s">
        <v>45</v>
      </c>
      <c r="H4" s="787" t="s">
        <v>46</v>
      </c>
      <c r="I4" s="787"/>
      <c r="K4" s="787" t="s">
        <v>47</v>
      </c>
      <c r="L4" s="787"/>
      <c r="S4" t="s">
        <v>113</v>
      </c>
    </row>
    <row r="5" spans="1:19">
      <c r="F5" s="506">
        <f>SUM(F10:F119)</f>
        <v>267750000.00000301</v>
      </c>
      <c r="H5" s="1" t="s">
        <v>403</v>
      </c>
      <c r="I5" s="1" t="s">
        <v>27</v>
      </c>
      <c r="K5" s="1" t="s">
        <v>403</v>
      </c>
      <c r="L5" s="1" t="s">
        <v>27</v>
      </c>
    </row>
    <row r="6" spans="1:19">
      <c r="G6" s="2"/>
      <c r="H6" s="10">
        <f>'Ship Info'!I3</f>
        <v>42.25</v>
      </c>
      <c r="I6" s="270">
        <f>'Ship Info'!J3</f>
        <v>10000</v>
      </c>
      <c r="J6" s="2"/>
      <c r="K6" s="270">
        <f>'Ship Info'!L3</f>
        <v>-23</v>
      </c>
      <c r="L6" s="270">
        <f>'Ship Info'!M3</f>
        <v>7500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342</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19</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0</v>
      </c>
      <c r="D18" s="16" t="str">
        <f>IF(H18&gt;0,25*H18&amp;" Crew/"&amp;5*H18&amp;" Marines"," ")</f>
        <v xml:space="preserve"> </v>
      </c>
      <c r="F18" s="4">
        <f>250000*H18</f>
        <v>0</v>
      </c>
      <c r="H18" s="263">
        <f>C18</f>
        <v>0</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3x Briefing Room, 18x Laboratory, 3x Library, 12x Medical Bay, 12x Training Facility, 1x Chart Room (Astographic Plotting and Analysis Chamber), 1x Advanced Small Observatory. 1x 48 Dton Scientific Operations Suite For 16 Scientists</v>
      </c>
    </row>
    <row r="20" spans="1:23" ht="16" thickBot="1">
      <c r="B20" t="s">
        <v>485</v>
      </c>
      <c r="C20" s="235">
        <v>3</v>
      </c>
      <c r="D20" s="2" t="str">
        <f>IF(H20&gt;0,"DM+1 Tactics for Plans"," ")</f>
        <v>DM+1 Tactics for Plans</v>
      </c>
      <c r="F20" s="4">
        <f>IF(H20&gt;0,500000*C20,0)</f>
        <v>1500000</v>
      </c>
      <c r="H20" s="263">
        <f>C20*4</f>
        <v>12</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18</v>
      </c>
      <c r="D23" s="16" t="s">
        <v>502</v>
      </c>
      <c r="F23" s="4">
        <f>250000*H23</f>
        <v>18000000</v>
      </c>
      <c r="H23" s="263">
        <f>4*C23</f>
        <v>72</v>
      </c>
      <c r="S23" t="s">
        <v>579</v>
      </c>
      <c r="T23">
        <v>0</v>
      </c>
    </row>
    <row r="24" spans="1:23" ht="16" thickBot="1">
      <c r="B24" t="s">
        <v>218</v>
      </c>
      <c r="C24" s="235">
        <v>3</v>
      </c>
      <c r="D24" s="2" t="str">
        <f>IF(H24&gt;0,"DM+1 EDU for training"," ")</f>
        <v>DM+1 EDU for training</v>
      </c>
      <c r="E24" s="2">
        <f>IF(H24&gt;0,8,0)</f>
        <v>8</v>
      </c>
      <c r="F24" s="4">
        <f>1000000*H24</f>
        <v>12000000</v>
      </c>
      <c r="H24" s="263">
        <f>4*C24</f>
        <v>12</v>
      </c>
    </row>
    <row r="25" spans="1:23" ht="16" thickBot="1">
      <c r="B25" t="s">
        <v>490</v>
      </c>
      <c r="C25" s="235">
        <v>12</v>
      </c>
      <c r="D25" s="16" t="str">
        <f>IF(H25&gt;0,"Cap: "&amp;C25*3&amp;"; DM+1 Medic"," ")</f>
        <v>Cap: 36; DM+1 Medic</v>
      </c>
      <c r="F25" s="4">
        <f>500000*H25</f>
        <v>24000000</v>
      </c>
      <c r="H25" s="263">
        <f>4*C25</f>
        <v>48</v>
      </c>
      <c r="K25" s="263">
        <f>IF(H25&gt;0,C25,0)</f>
        <v>12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12</v>
      </c>
      <c r="D27" s="2" t="str">
        <f>IF(H27&gt;0,"person capacity"," ")</f>
        <v>person capacity</v>
      </c>
      <c r="E27" s="2">
        <f>IF(H27&gt;0,10,0)</f>
        <v>10</v>
      </c>
      <c r="F27" s="4">
        <f>200000*H27</f>
        <v>4800000</v>
      </c>
      <c r="H27" s="263">
        <f>2*C27</f>
        <v>24</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113</v>
      </c>
      <c r="D31" s="235">
        <v>0</v>
      </c>
      <c r="E31" s="2">
        <f>IF(C31=S3,0,INDEX(S31:T32,MATCH(B31,S31:S32,0),2))</f>
        <v>12</v>
      </c>
      <c r="F31" s="4">
        <f>IF(C31=S4,INDEX(S31:W32,MATCH(B31,S31:S32,0),4)+D31*INDEX(S31:W32,MATCH(B31,S31:S32,0),5),0)</f>
        <v>2000000</v>
      </c>
      <c r="H31" s="263">
        <f>IF(C31=S4,INDEX(S31:W32,MATCH(B31,S31:S32,0),3)+D31,0)</f>
        <v>4</v>
      </c>
      <c r="S31" t="s">
        <v>2306</v>
      </c>
      <c r="T31">
        <v>12</v>
      </c>
      <c r="U31">
        <v>4</v>
      </c>
      <c r="V31">
        <v>2000000</v>
      </c>
      <c r="W31">
        <v>100000</v>
      </c>
    </row>
    <row r="32" spans="1:23" ht="16" thickBot="1">
      <c r="B32" s="469" t="s">
        <v>2310</v>
      </c>
      <c r="C32" s="235">
        <v>6</v>
      </c>
      <c r="D32" s="2" t="str">
        <f>IF(C31=S3,"",MIN(2+D31,C32)*INDEX(S33:U34,MATCH(B32,S33:S34,0),3)&amp;" Heat Cap")</f>
        <v>40 Heat Cap</v>
      </c>
      <c r="E32" s="2">
        <f>IF(C32=0,0,INDEX(S33:T34,MATCH(B32,S33:S34,0),2))</f>
        <v>12</v>
      </c>
      <c r="F32" s="4">
        <f>C32*INDEX(S33:V34,MATCH(B32,S33:S34,0),4)</f>
        <v>300000</v>
      </c>
      <c r="H32" s="263">
        <f>C32</f>
        <v>6</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1655</v>
      </c>
      <c r="C37" s="198">
        <v>100</v>
      </c>
      <c r="D37" s="235">
        <v>3</v>
      </c>
      <c r="E37" s="88">
        <f>IF(B37="Basic",8,IF(B37="Improved",10,IF(B37="Enhanced",13,IF(B37="Advanced",17,IF(B37="Superior",19,0)))))</f>
        <v>13</v>
      </c>
      <c r="F37" s="4">
        <f>IF(B37="Basic",C37*2000*D37*0.9,IF(B37="Improved",C37*10000*D37*0.9,IF(B37="Enhanced",C37*50000*D37*0.9,IF(B37="Advanced",C37*200000*D37*0.9,IF(B37="Superior",C37*500000*D37*0.9,0)))))</f>
        <v>13500000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1655</v>
      </c>
      <c r="C47" s="198">
        <v>150</v>
      </c>
      <c r="D47" s="235">
        <v>3</v>
      </c>
      <c r="E47" s="88">
        <f>IF(B47="Basic",8,IF(B47="Improved",10,IF(B47="Enhanced",13,IF(B47="Advanced",17,IF(B47="Superior",19,0)))))</f>
        <v>13</v>
      </c>
      <c r="F47" s="4">
        <f>IF(AND(B47="Enhanced",C47&gt;0),(1000000+C47*53333.33333334)*D47,0)</f>
        <v>27000000.000003003</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1</v>
      </c>
      <c r="D73" t="str">
        <f>IF(C73=0,"","DM+2 Astrogation")</f>
        <v>DM+2 Astrogation</v>
      </c>
      <c r="F73" s="4">
        <f>C73*1250000</f>
        <v>1250000</v>
      </c>
      <c r="H73" s="263">
        <f>C73*16</f>
        <v>16</v>
      </c>
      <c r="K73" s="263">
        <f>2*C73</f>
        <v>2</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595</v>
      </c>
      <c r="C82" s="235">
        <v>1</v>
      </c>
      <c r="E82" s="2">
        <f>IF(B82="None",0,IF(B82="Basic",7,IF(B82="Standard",9,IF(B82="Advanced",13))))</f>
        <v>13</v>
      </c>
      <c r="F82" s="4">
        <f>C82*IF(E82=0,0,IF(E82=7,25000000,IF(E82=9,50000000,125000000)))</f>
        <v>125000000</v>
      </c>
      <c r="H82" s="263">
        <f>IF(E82=0,0,C82*100)</f>
        <v>100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16 Scientists</v>
      </c>
      <c r="C85" s="235">
        <v>1</v>
      </c>
      <c r="D85" s="235">
        <v>48</v>
      </c>
      <c r="F85" s="4">
        <f>H85*800000</f>
        <v>38400000</v>
      </c>
      <c r="H85" s="263">
        <f>IF(D85&lt;48,0,C85*D85)</f>
        <v>48</v>
      </c>
      <c r="K85" s="263">
        <f>ROUNDUP(H85/10,0)</f>
        <v>5</v>
      </c>
    </row>
    <row r="86" spans="1:20">
      <c r="B86" s="286" t="str">
        <f>"Scientists Required"&amp;IF(C74&gt;0," *","")</f>
        <v>Scientists Required</v>
      </c>
    </row>
    <row r="87" spans="1:20">
      <c r="B87" s="320">
        <f>IF($D$85&lt;48,0,IF($C$85=0,0,C85*ROUNDDOWN(16+(($D$85-48)/3),0)))+2*C82+8*C83+20*C84+IF(C68=0,0,C68*(4+D68))+IF(C69=0,0,C69*(4+D69))+IF(C70=0,0,C70*(4+D70))</f>
        <v>18</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216</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2" priority="60">
      <formula>$C$97&gt;0</formula>
    </cfRule>
  </conditionalFormatting>
  <conditionalFormatting sqref="A35:D63">
    <cfRule type="expression" dxfId="191" priority="8">
      <formula>$T$22=1</formula>
    </cfRule>
  </conditionalFormatting>
  <conditionalFormatting sqref="B10:B13 B66:B76 T74:T75 A75:A85">
    <cfRule type="expression" dxfId="190" priority="67">
      <formula>$C10&gt;0</formula>
    </cfRule>
  </conditionalFormatting>
  <conditionalFormatting sqref="B18 B20 B22:B30 A73 B85:B86 B91:B95 B101:B105 B108:B109 B111:B112">
    <cfRule type="expression" dxfId="189" priority="90">
      <formula>$C18&gt;0</formula>
    </cfRule>
  </conditionalFormatting>
  <conditionalFormatting sqref="B19 B21">
    <cfRule type="expression" dxfId="188" priority="66">
      <formula>$C19*$D19&gt;0</formula>
    </cfRule>
  </conditionalFormatting>
  <conditionalFormatting sqref="B31:B32">
    <cfRule type="expression" dxfId="187" priority="3">
      <formula>$E31&gt;0</formula>
    </cfRule>
  </conditionalFormatting>
  <conditionalFormatting sqref="B82:B84">
    <cfRule type="expression" dxfId="186" priority="961">
      <formula>AND($C82&gt;0,$B82="None")</formula>
    </cfRule>
  </conditionalFormatting>
  <conditionalFormatting sqref="B117:B118 B123:B126">
    <cfRule type="expression" dxfId="185" priority="68">
      <formula>$C117*$D117&gt;0</formula>
    </cfRule>
  </conditionalFormatting>
  <conditionalFormatting sqref="C10:C13">
    <cfRule type="expression" dxfId="184" priority="937">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2">
      <formula>AND($D$31&gt;0,$C$31=$S$3)</formula>
    </cfRule>
    <cfRule type="expression" dxfId="156" priority="4">
      <formula>$T$22=1</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H11" sqref="H11"/>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f>'Ship Info'!B1</f>
        <v>0</v>
      </c>
      <c r="G1" s="1" t="s">
        <v>1</v>
      </c>
      <c r="V1" t="s">
        <v>1381</v>
      </c>
    </row>
    <row r="2" spans="1:24">
      <c r="A2" s="3" t="s">
        <v>432</v>
      </c>
      <c r="B2" t="str">
        <f>'Ship Info'!B2</f>
        <v>Expeditionary Base Ship</v>
      </c>
      <c r="D2" s="3" t="s">
        <v>0</v>
      </c>
      <c r="E2" s="2">
        <f>'Ship Info'!F2</f>
        <v>14</v>
      </c>
      <c r="F2" s="2"/>
      <c r="G2" s="10">
        <f>'Ship Info'!G2</f>
        <v>9839492100.0000038</v>
      </c>
      <c r="V2" s="77" t="b">
        <f>IF(B7=V5,TRUE,FALSE)</f>
        <v>1</v>
      </c>
    </row>
    <row r="3" spans="1:24">
      <c r="B3" s="309" t="str">
        <f>'Ship Info'!G22&amp;": Crew x "&amp;'Ship Info'!H31</f>
        <v>High Automation: Crew x 0.6</v>
      </c>
      <c r="G3" s="10"/>
    </row>
    <row r="4" spans="1:24" ht="16" thickBot="1">
      <c r="B4" s="3" t="s">
        <v>1216</v>
      </c>
      <c r="E4" s="1" t="s">
        <v>525</v>
      </c>
      <c r="F4" s="1"/>
      <c r="G4" s="1"/>
      <c r="I4" s="787" t="s">
        <v>46</v>
      </c>
      <c r="J4" s="787"/>
      <c r="K4" s="6"/>
      <c r="L4" s="6"/>
      <c r="M4" s="6"/>
      <c r="O4" s="787" t="s">
        <v>47</v>
      </c>
      <c r="P4" s="787"/>
      <c r="V4" t="s">
        <v>99</v>
      </c>
    </row>
    <row r="5" spans="1:24" ht="16" thickBot="1">
      <c r="B5" s="197" t="s">
        <v>1215</v>
      </c>
      <c r="E5" s="270">
        <f>SUM(F10:F19,F21:F28)</f>
        <v>99</v>
      </c>
      <c r="F5" s="2"/>
      <c r="I5" s="1" t="s">
        <v>403</v>
      </c>
      <c r="J5" s="1" t="s">
        <v>27</v>
      </c>
      <c r="K5" s="1"/>
      <c r="L5" s="1"/>
      <c r="M5" s="1"/>
      <c r="O5" s="1" t="s">
        <v>403</v>
      </c>
      <c r="P5" s="1" t="s">
        <v>27</v>
      </c>
      <c r="V5" t="s">
        <v>100</v>
      </c>
    </row>
    <row r="6" spans="1:24" ht="16" thickBot="1">
      <c r="E6" s="1" t="s">
        <v>526</v>
      </c>
      <c r="F6" s="1"/>
      <c r="H6" s="2"/>
      <c r="I6" s="10">
        <f>'Ship Info'!I3</f>
        <v>42.25</v>
      </c>
      <c r="J6" s="270">
        <f>'Ship Info'!J3</f>
        <v>10000</v>
      </c>
      <c r="K6" s="270"/>
      <c r="L6" s="270"/>
      <c r="M6" s="270"/>
      <c r="N6" s="2"/>
      <c r="O6" s="270">
        <f>'Ship Info'!L3</f>
        <v>-23</v>
      </c>
      <c r="P6" s="270">
        <f>'Ship Info'!M3</f>
        <v>7500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14</v>
      </c>
    </row>
    <row r="8" spans="1:24" ht="15" customHeight="1">
      <c r="C8" s="800" t="s">
        <v>1563</v>
      </c>
      <c r="D8" s="800"/>
      <c r="K8" s="1" t="s">
        <v>2155</v>
      </c>
      <c r="N8" s="1" t="s">
        <v>1513</v>
      </c>
      <c r="P8" s="886" t="s">
        <v>1705</v>
      </c>
      <c r="Q8" s="887"/>
      <c r="R8" s="888"/>
      <c r="W8">
        <f>'6-Comp'!Y19</f>
        <v>7</v>
      </c>
      <c r="X8" s="106">
        <f>IF(X7&lt;W8,X7,W8)*-1</f>
        <v>-7</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1</v>
      </c>
      <c r="F10" s="354">
        <f>HLOOKUP(B5,V9:X28,2)</f>
        <v>1</v>
      </c>
      <c r="G10" s="23">
        <f>F10*10000+IF(N10=0,0,(N10-1)*F10*10000/2)</f>
        <v>10000</v>
      </c>
      <c r="H10" s="22"/>
      <c r="I10" s="22"/>
      <c r="J10" s="22"/>
      <c r="K10" s="22"/>
      <c r="L10" s="22"/>
      <c r="M10" s="22"/>
      <c r="N10" s="206">
        <v>1</v>
      </c>
      <c r="P10" s="78"/>
      <c r="R10" s="891" t="s">
        <v>1707</v>
      </c>
      <c r="V10">
        <f t="shared" ref="V10:V26" si="0">C10</f>
        <v>0</v>
      </c>
      <c r="W10">
        <f t="shared" ref="W10:W26" si="1">E10</f>
        <v>1</v>
      </c>
      <c r="X10">
        <f t="shared" ref="X10:X26" si="2">D10</f>
        <v>1</v>
      </c>
    </row>
    <row r="11" spans="1:24" ht="16" thickBot="1">
      <c r="A11" t="s">
        <v>564</v>
      </c>
      <c r="B11" s="2" t="s">
        <v>503</v>
      </c>
      <c r="C11" s="270">
        <f>IF('Ship Info'!F7,0,1)+H11</f>
        <v>7</v>
      </c>
      <c r="D11" s="270">
        <f>IF('Ship Info'!F7,0,IF('1-Hull'!B4&lt;100,1,3))+H11</f>
        <v>9</v>
      </c>
      <c r="E11" s="235">
        <v>7</v>
      </c>
      <c r="F11" s="355">
        <f>HLOOKUP(B5,V9:X26,3)+K11</f>
        <v>13</v>
      </c>
      <c r="G11" s="4">
        <f>F11*6000+IF(N11=0,0,(N11-1)*F11*6000/2)</f>
        <v>78000</v>
      </c>
      <c r="H11" s="289">
        <v>6</v>
      </c>
      <c r="I11" t="s">
        <v>1516</v>
      </c>
      <c r="K11" s="235">
        <v>6</v>
      </c>
      <c r="L11" t="s">
        <v>2145</v>
      </c>
      <c r="N11" s="197">
        <v>1</v>
      </c>
      <c r="P11" s="472" t="s">
        <v>1706</v>
      </c>
      <c r="R11" s="892"/>
      <c r="V11">
        <f t="shared" si="0"/>
        <v>7</v>
      </c>
      <c r="W11">
        <f t="shared" si="1"/>
        <v>7</v>
      </c>
      <c r="X11">
        <f t="shared" si="2"/>
        <v>9</v>
      </c>
    </row>
    <row r="12" spans="1:24" ht="16" thickBot="1">
      <c r="A12" s="22" t="s">
        <v>565</v>
      </c>
      <c r="B12" s="27" t="s">
        <v>511</v>
      </c>
      <c r="C12" s="324">
        <f>IF('2-Drives'!H25&gt;0,1,0)</f>
        <v>1</v>
      </c>
      <c r="D12" s="324">
        <f>IF('2-Drives'!H25&gt;0,1,0)</f>
        <v>1</v>
      </c>
      <c r="E12" s="340">
        <v>1</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1</v>
      </c>
      <c r="X12">
        <f t="shared" si="2"/>
        <v>1</v>
      </c>
    </row>
    <row r="13" spans="1:24" ht="16" thickBot="1">
      <c r="A13" t="s">
        <v>566</v>
      </c>
      <c r="B13" s="2" t="s">
        <v>504</v>
      </c>
      <c r="C13" s="270">
        <f>IF('1-Hull'!B4&lt;100,0,ROUNDUP(R13*'Ship Info'!H31*SUM(H13,'3-Pwr Plant'!H11,'3-Pwr Plant'!H12,'2-Drives'!H11,'2-Drives'!H15,'2-Drives'!H25,'2-Drives'!H28,'2-Drives'!H33,'2-Drives'!H40)/35,0))</f>
        <v>20</v>
      </c>
      <c r="D13" s="270">
        <f>IF('1-Hull'!B4&lt;100,0,ROUNDUP(R13*'Ship Info'!H31*SUM(H13,'3-Pwr Plant'!H11,'3-Pwr Plant'!H12,'2-Drives'!H11,'2-Drives'!H15,'2-Drives'!H25,'2-Drives'!H28,'2-Drives'!H33,'2-Drives'!H40)/35,0))</f>
        <v>20</v>
      </c>
      <c r="E13" s="235">
        <v>20</v>
      </c>
      <c r="F13" s="355">
        <f>HLOOKUP(B5,V9:X26,5)+K13</f>
        <v>24</v>
      </c>
      <c r="G13" s="4">
        <f>F13*4000+IF(N13=0,0,(N13-1)*F13*4000/2)</f>
        <v>96000</v>
      </c>
      <c r="H13" s="289">
        <v>3</v>
      </c>
      <c r="I13" t="s">
        <v>1517</v>
      </c>
      <c r="K13" s="235">
        <v>4</v>
      </c>
      <c r="L13" t="s">
        <v>2146</v>
      </c>
      <c r="N13" s="197">
        <v>1</v>
      </c>
      <c r="P13" s="197" t="s">
        <v>99</v>
      </c>
      <c r="Q13" s="473"/>
      <c r="R13" s="88">
        <f>IF(P13=$V$5,1,$W$33)</f>
        <v>0.75</v>
      </c>
      <c r="V13">
        <f t="shared" si="0"/>
        <v>20</v>
      </c>
      <c r="W13">
        <f t="shared" si="1"/>
        <v>20</v>
      </c>
      <c r="X13">
        <f t="shared" si="2"/>
        <v>20</v>
      </c>
    </row>
    <row r="14" spans="1:24" ht="16" thickBot="1">
      <c r="A14" s="22" t="s">
        <v>567</v>
      </c>
      <c r="B14" s="27" t="s">
        <v>512</v>
      </c>
      <c r="C14" s="324">
        <f>IF('1-Hull'!B4&lt;100,0,ROUNDUP(R14*'Ship Info'!H31*SUM('9a-Optional'!T39,'9a-Optional'!T41,J6)/1000,0))</f>
        <v>5</v>
      </c>
      <c r="D14" s="324">
        <f>IF('1-Hull'!B4&lt;100,0,ROUNDUP(R14*'Ship Info'!H31*SUM('9a-Optional'!T39,'9a-Optional'!T41,J6)/500,0))</f>
        <v>10</v>
      </c>
      <c r="E14" s="340">
        <v>10</v>
      </c>
      <c r="F14" s="354">
        <f>HLOOKUP(B5,V9:X26,6)+K14</f>
        <v>10</v>
      </c>
      <c r="G14" s="23">
        <f>F14*1000+IF(N14=0,0,(N14-1)*F14*1000/2)</f>
        <v>10000</v>
      </c>
      <c r="H14" s="22"/>
      <c r="I14" s="22"/>
      <c r="J14" s="22"/>
      <c r="K14" s="340">
        <v>0</v>
      </c>
      <c r="L14" s="22" t="s">
        <v>2148</v>
      </c>
      <c r="M14" s="22"/>
      <c r="N14" s="206">
        <v>1</v>
      </c>
      <c r="O14" s="22"/>
      <c r="P14" s="206" t="s">
        <v>99</v>
      </c>
      <c r="Q14" s="22"/>
      <c r="R14" s="474">
        <f>IF(P14=$V$5,1,$W$33)</f>
        <v>0.75</v>
      </c>
      <c r="V14">
        <f t="shared" si="0"/>
        <v>5</v>
      </c>
      <c r="W14">
        <f t="shared" si="1"/>
        <v>10</v>
      </c>
      <c r="X14">
        <f t="shared" si="2"/>
        <v>10</v>
      </c>
    </row>
    <row r="15" spans="1:24" ht="16" thickBot="1">
      <c r="A15" t="s">
        <v>568</v>
      </c>
      <c r="B15" s="2" t="s">
        <v>505</v>
      </c>
      <c r="C15" s="270">
        <f>IF('1-Hull'!B4&lt;100,0,ROUNDUP(SUM('9b-Optional'!C91:C94,C10:C14,C16:C28,C37:C40)/120,0))</f>
        <v>1</v>
      </c>
      <c r="D15" s="270">
        <f>IF('1-Hull'!B4&lt;100,0,ROUNDUP(SUM('9b-Optional'!C91:C94,D10:D14,D16:D28,C37:C40)/120,0))</f>
        <v>1</v>
      </c>
      <c r="E15" s="235">
        <v>1</v>
      </c>
      <c r="F15" s="355">
        <f>HLOOKUP(B5,V9:X26,7)+K15</f>
        <v>1</v>
      </c>
      <c r="G15" s="4">
        <f>F15*4000+IF(N15=0,0,(N15-1)*F15*4000/2)</f>
        <v>4000</v>
      </c>
      <c r="K15" s="235">
        <v>0</v>
      </c>
      <c r="L15" t="s">
        <v>2149</v>
      </c>
      <c r="N15" s="197">
        <v>1</v>
      </c>
      <c r="P15" s="78"/>
      <c r="R15" s="88"/>
      <c r="V15">
        <f t="shared" si="0"/>
        <v>1</v>
      </c>
      <c r="W15">
        <f t="shared" si="1"/>
        <v>1</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11</v>
      </c>
      <c r="D16" s="324">
        <f>IF('1-Hull'!B4&lt;100,0,ROUNDUP(R16*'Ship Info'!H31*SUM('8a-Weapons'!AH15,'8a-Weapons'!D37,'8a-Weapons'!V75,'8b-Screens'!E9:E39,'8b-Screens'!E9:E39,X8),0))</f>
        <v>24</v>
      </c>
      <c r="E16" s="340">
        <v>11</v>
      </c>
      <c r="F16" s="354">
        <f>HLOOKUP(B5,V9:X26,8)+K16</f>
        <v>17</v>
      </c>
      <c r="G16" s="23">
        <f>F16*2000+IF(N16=0,0,(N16-1)*F16*2000/2)</f>
        <v>34000</v>
      </c>
      <c r="H16" s="22"/>
      <c r="I16" s="22"/>
      <c r="J16" s="22"/>
      <c r="K16" s="340">
        <v>6</v>
      </c>
      <c r="L16" s="22" t="s">
        <v>2150</v>
      </c>
      <c r="M16" s="22"/>
      <c r="N16" s="206">
        <v>1</v>
      </c>
      <c r="O16" s="22"/>
      <c r="P16" s="206" t="s">
        <v>99</v>
      </c>
      <c r="Q16" s="22"/>
      <c r="R16" s="474">
        <f t="shared" ref="R16:R17" si="3">IF(P16=$V$5,1,$W$33)</f>
        <v>0.75</v>
      </c>
      <c r="V16">
        <f t="shared" si="0"/>
        <v>11</v>
      </c>
      <c r="W16">
        <f t="shared" si="1"/>
        <v>11</v>
      </c>
      <c r="X16">
        <f t="shared" si="2"/>
        <v>24</v>
      </c>
    </row>
    <row r="17" spans="1:24" ht="16" thickBot="1">
      <c r="A17" t="s">
        <v>1375</v>
      </c>
      <c r="B17" s="2" t="s">
        <v>1376</v>
      </c>
      <c r="C17" s="350">
        <f>IF(SUM('7-Sensors'!C8,'7-Sensors'!C11:C12,'7-Sensors'!B16:B31)=0,0,IF(V2,IF(Tonnage&lt;100,0,MAX(ROUNDUP('7-Sensors'!C12+R17*'Ship Info'!H31*ROUNDUP(Tonnage/7500,0),0),'7-Sensors'!C12+1+'5-Bridge'!C13+'5-Bridge'!C17)),0))</f>
        <v>1</v>
      </c>
      <c r="D17" s="356">
        <f>3*C17</f>
        <v>3</v>
      </c>
      <c r="E17" s="353">
        <v>3</v>
      </c>
      <c r="F17" s="355">
        <f>HLOOKUP(B5,V9:X26,9)+K17</f>
        <v>9</v>
      </c>
      <c r="G17" s="248">
        <f>F17*4000+IF(N17=0,0,(N17-1)*F17*4000/2)</f>
        <v>36000</v>
      </c>
      <c r="K17" s="235">
        <v>6</v>
      </c>
      <c r="L17" t="s">
        <v>2151</v>
      </c>
      <c r="N17" s="197">
        <v>1</v>
      </c>
      <c r="P17" s="197" t="s">
        <v>99</v>
      </c>
      <c r="R17" s="88">
        <f t="shared" si="3"/>
        <v>0.75</v>
      </c>
      <c r="V17">
        <f t="shared" si="0"/>
        <v>1</v>
      </c>
      <c r="W17">
        <f t="shared" si="1"/>
        <v>3</v>
      </c>
      <c r="X17">
        <f t="shared" si="2"/>
        <v>3</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3</v>
      </c>
      <c r="D19" s="356">
        <f>ROUNDUP(R19*ROUNDDOWN(J6*'Ship Info'!H31/1000,0),0)</f>
        <v>5</v>
      </c>
      <c r="E19" s="488">
        <v>3</v>
      </c>
      <c r="F19" s="355">
        <f>HLOOKUP(B5,V9:X26,11)+K19</f>
        <v>3</v>
      </c>
      <c r="G19" s="248">
        <f>F19*1500+IF(N19=0,0,(N19-1)*F19*1500/2)</f>
        <v>4500</v>
      </c>
      <c r="K19" s="235">
        <v>0</v>
      </c>
      <c r="L19" t="s">
        <v>2152</v>
      </c>
      <c r="N19" s="197">
        <v>1</v>
      </c>
      <c r="P19" s="475" t="s">
        <v>99</v>
      </c>
      <c r="R19" s="88">
        <f>IF(P19=$V$5,1,$W$33)</f>
        <v>0.75</v>
      </c>
      <c r="V19">
        <f t="shared" si="0"/>
        <v>3</v>
      </c>
      <c r="W19">
        <f t="shared" si="1"/>
        <v>3</v>
      </c>
      <c r="X19">
        <f t="shared" si="2"/>
        <v>5</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2</v>
      </c>
      <c r="D26" s="324">
        <f>IF('1-Hull'!B4&lt;100,0,ROUNDDOWN((SUM(D11:D14,D16:D21)+SUM(D10:D14,D16:D21)/120)/10,0))</f>
        <v>7</v>
      </c>
      <c r="E26" s="489">
        <v>2</v>
      </c>
      <c r="F26" s="354">
        <f>HLOOKUP(B5,V9:X28,18)+K26</f>
        <v>2</v>
      </c>
      <c r="G26" s="23">
        <f>F26*5000+IF(N26=0,0,(N26-1)*F26*5000/2)</f>
        <v>10000</v>
      </c>
      <c r="H26" s="22"/>
      <c r="I26" s="22"/>
      <c r="J26" s="22"/>
      <c r="K26" s="340">
        <v>0</v>
      </c>
      <c r="L26" s="22" t="s">
        <v>2153</v>
      </c>
      <c r="M26" s="22"/>
      <c r="N26" s="206">
        <v>1</v>
      </c>
      <c r="P26" s="78"/>
      <c r="Q26" s="46"/>
      <c r="V26">
        <f t="shared" si="0"/>
        <v>2</v>
      </c>
      <c r="W26">
        <f t="shared" si="1"/>
        <v>2</v>
      </c>
      <c r="X26">
        <f t="shared" si="2"/>
        <v>7</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18</v>
      </c>
      <c r="D28" s="324">
        <f>C28</f>
        <v>18</v>
      </c>
      <c r="E28" s="340">
        <v>18</v>
      </c>
      <c r="F28" s="354">
        <f>HLOOKUP(B5,V9:X28,20)</f>
        <v>18</v>
      </c>
      <c r="G28" s="23">
        <f>F28*IF(H28=0,4000,H28)+IF(N28=0,0,(N28-1)*F28*IF(H28=0,4000,H28)/2)</f>
        <v>72000</v>
      </c>
      <c r="H28" s="386">
        <v>0</v>
      </c>
      <c r="I28" s="22" t="s">
        <v>1518</v>
      </c>
      <c r="J28" s="22"/>
      <c r="K28" s="340">
        <v>0</v>
      </c>
      <c r="L28" s="22" t="s">
        <v>1519</v>
      </c>
      <c r="M28" s="22"/>
      <c r="N28" s="206">
        <v>1</v>
      </c>
      <c r="V28" s="263">
        <f t="shared" ref="V28" si="11">C28</f>
        <v>18</v>
      </c>
      <c r="W28" s="263">
        <f>E28</f>
        <v>18</v>
      </c>
      <c r="X28" s="263">
        <f>V28</f>
        <v>18</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CAPTAIN, PILOT x13, ASTROGATOR x1, ENGINEER x24, MAINTENANCE x10, MEDIC x1, GUNNER x17, SENSOP x9, ADMINISTRATOR x3, OFFICERS x2, SCIENTISTS x18</v>
      </c>
    </row>
    <row r="32" spans="1:24">
      <c r="A32" t="s">
        <v>516</v>
      </c>
      <c r="G32" s="26">
        <f>SUM(G10:G30)</f>
        <v>359500</v>
      </c>
    </row>
    <row r="33" spans="1:23">
      <c r="A33" t="s">
        <v>524</v>
      </c>
      <c r="W33" s="3">
        <f>IF(B6=V5,1,IF('Ship Info'!F5,IF(Tonnage&lt;V34,W34,IF(Tonnage&lt;V35,W35,IF(Tonnage&lt;V36,W36,IF(Tonnage&lt;V37,W37,W38)))),1))</f>
        <v>0.75</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opLeftCell="A45" workbookViewId="0">
      <selection activeCell="C23" sqref="C23"/>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f>'Ship Info'!B1</f>
        <v>0</v>
      </c>
      <c r="F1" s="1" t="s">
        <v>1</v>
      </c>
    </row>
    <row r="2" spans="1:25" ht="16" thickBot="1">
      <c r="A2" s="3" t="s">
        <v>432</v>
      </c>
      <c r="B2" t="str">
        <f>'Ship Info'!B2</f>
        <v>Expeditionary Base Ship</v>
      </c>
      <c r="D2" s="3" t="s">
        <v>0</v>
      </c>
      <c r="E2" s="2">
        <f>'Ship Info'!F2</f>
        <v>14</v>
      </c>
      <c r="F2" s="10">
        <f>'Ship Info'!G2</f>
        <v>9839492100.0000038</v>
      </c>
      <c r="S2" t="s">
        <v>99</v>
      </c>
    </row>
    <row r="3" spans="1:25" ht="16" thickBot="1">
      <c r="B3" s="9" t="s">
        <v>2415</v>
      </c>
      <c r="C3" s="198" t="s">
        <v>99</v>
      </c>
      <c r="F3" s="10"/>
      <c r="G3" s="79"/>
      <c r="H3" s="506">
        <f>S26</f>
        <v>284</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36486000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99</v>
      </c>
      <c r="C6" s="520">
        <f>IF(C4=S2,SUM(D21:D29),SUM('9b-Optional'!C91:C94,D21:D29))+IF(C3="No",0,SUM(D21:D29,C7,C10))</f>
        <v>102</v>
      </c>
      <c r="G6" s="2"/>
      <c r="H6" s="10">
        <f>'Ship Info'!I3</f>
        <v>42.25</v>
      </c>
      <c r="I6" s="270">
        <f>'Ship Info'!J3</f>
        <v>10000</v>
      </c>
      <c r="J6" s="2"/>
      <c r="K6" s="270">
        <f>'Ship Info'!L3</f>
        <v>-23</v>
      </c>
      <c r="L6" s="270">
        <f>'Ship Info'!M3</f>
        <v>7500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156000</v>
      </c>
      <c r="S7" t="s">
        <v>532</v>
      </c>
      <c r="T7">
        <v>1</v>
      </c>
      <c r="U7">
        <v>50000</v>
      </c>
      <c r="V7">
        <v>1.5</v>
      </c>
      <c r="X7">
        <v>250</v>
      </c>
      <c r="Y7">
        <f t="shared" si="0"/>
        <v>0</v>
      </c>
    </row>
    <row r="8" spans="1:25">
      <c r="A8" t="s">
        <v>527</v>
      </c>
      <c r="B8" s="270">
        <f>'10-Crew'!C37</f>
        <v>0</v>
      </c>
      <c r="C8" s="270">
        <f>D18</f>
        <v>0</v>
      </c>
      <c r="D8" s="56" t="s">
        <v>560</v>
      </c>
      <c r="E8" s="57"/>
      <c r="F8" s="58">
        <f>SUM(Y5:Y7,Y9,Y11:Y23)</f>
        <v>54000</v>
      </c>
      <c r="S8" t="s">
        <v>533</v>
      </c>
      <c r="T8">
        <v>1</v>
      </c>
      <c r="U8">
        <v>50000</v>
      </c>
      <c r="V8">
        <v>0.5</v>
      </c>
      <c r="W8">
        <v>0.1</v>
      </c>
      <c r="X8">
        <v>100</v>
      </c>
      <c r="Y8">
        <f t="shared" si="0"/>
        <v>0</v>
      </c>
    </row>
    <row r="9" spans="1:25">
      <c r="B9" s="2"/>
      <c r="C9" s="2"/>
      <c r="D9" s="56" t="s">
        <v>559</v>
      </c>
      <c r="E9" s="57"/>
      <c r="F9" s="58">
        <f>Y28*1000+Y8:Y9</f>
        <v>102000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6000</v>
      </c>
    </row>
    <row r="17" spans="1:25" ht="16" thickBot="1">
      <c r="A17" t="s">
        <v>532</v>
      </c>
      <c r="B17" s="2" t="s">
        <v>552</v>
      </c>
      <c r="C17" s="235">
        <v>0</v>
      </c>
      <c r="D17" s="270">
        <f>C17</f>
        <v>0</v>
      </c>
      <c r="F17" s="4">
        <f>H17*U7</f>
        <v>0</v>
      </c>
      <c r="H17" s="263">
        <f t="shared" si="1"/>
        <v>0</v>
      </c>
      <c r="S17" t="s">
        <v>535</v>
      </c>
      <c r="T17">
        <v>2</v>
      </c>
      <c r="U17">
        <v>500000</v>
      </c>
      <c r="V17">
        <v>4</v>
      </c>
      <c r="X17">
        <v>250</v>
      </c>
      <c r="Y17">
        <f>H23*X17</f>
        <v>48000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54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6</v>
      </c>
      <c r="D22" s="270">
        <f>C22</f>
        <v>6</v>
      </c>
      <c r="F22" s="4">
        <f t="shared" ref="F22:F27" si="3">C22*U16</f>
        <v>3000000</v>
      </c>
      <c r="H22" s="263">
        <f t="shared" ref="H22:H27" si="4">C22*V16</f>
        <v>24</v>
      </c>
      <c r="S22" t="s">
        <v>584</v>
      </c>
      <c r="T22">
        <v>20</v>
      </c>
      <c r="U22">
        <v>25000</v>
      </c>
      <c r="V22">
        <v>10</v>
      </c>
      <c r="X22">
        <v>250</v>
      </c>
      <c r="Y22">
        <f>H33*X22</f>
        <v>0</v>
      </c>
    </row>
    <row r="23" spans="1:25" ht="16" thickBot="1">
      <c r="A23" t="s">
        <v>535</v>
      </c>
      <c r="B23" s="2"/>
      <c r="C23" s="235">
        <v>48</v>
      </c>
      <c r="D23" s="270">
        <f>C23*2</f>
        <v>96</v>
      </c>
      <c r="F23" s="4">
        <f t="shared" si="3"/>
        <v>24000000</v>
      </c>
      <c r="H23" s="263">
        <f t="shared" si="4"/>
        <v>192</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284</v>
      </c>
      <c r="Y26">
        <f>SUM(D21:D28,B9:B11,C33*T22,C32*6,SUM('9b-Optional'!C91:C94))</f>
        <v>102</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102</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102</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102, 54x Standard Staterooms, Gourmet Kitchen, cap: 33, Hot Tub for 12, 12 dton Basic Theater, 8 dton Advanced Theater, 12 dtons Zero-G Room</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54</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1300</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99</v>
      </c>
      <c r="V39">
        <f>SUM(C6:C11)+IF(OR('2-Drives'!B25='2-Drives'!S5,B10&gt;0),C6,0)</f>
        <v>102</v>
      </c>
    </row>
    <row r="40" spans="1:22" ht="16" thickBot="1">
      <c r="A40" s="22" t="str">
        <f>"Available: "&amp;SUM(C22:C23)</f>
        <v>Available: 54</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1545</v>
      </c>
      <c r="B45" t="s">
        <v>2441</v>
      </c>
      <c r="C45" s="198">
        <v>0</v>
      </c>
      <c r="S45" t="s">
        <v>129</v>
      </c>
      <c r="T45">
        <v>3</v>
      </c>
    </row>
    <row r="46" spans="1:22" ht="16" thickBot="1">
      <c r="A46" s="22" t="str">
        <f t="shared" si="5"/>
        <v>Available: 60</v>
      </c>
      <c r="B46" s="22" t="s">
        <v>2442</v>
      </c>
      <c r="C46" s="205">
        <v>0</v>
      </c>
      <c r="S46" t="s">
        <v>84</v>
      </c>
      <c r="T46">
        <v>2</v>
      </c>
    </row>
    <row r="47" spans="1:22" ht="16" thickBot="1">
      <c r="A47" t="str">
        <f t="shared" si="5"/>
        <v>Available: 256</v>
      </c>
      <c r="B47" t="s">
        <v>2450</v>
      </c>
      <c r="C47" s="198">
        <v>0</v>
      </c>
      <c r="S47" t="s">
        <v>85</v>
      </c>
      <c r="T47">
        <v>2</v>
      </c>
    </row>
    <row r="48" spans="1:22" ht="16" thickBot="1">
      <c r="A48" s="22" t="str">
        <f t="shared" si="5"/>
        <v>Available: 119</v>
      </c>
      <c r="B48" s="22" t="s">
        <v>2443</v>
      </c>
      <c r="C48" s="205">
        <v>0</v>
      </c>
      <c r="S48" t="s">
        <v>79</v>
      </c>
      <c r="T48">
        <v>3</v>
      </c>
    </row>
    <row r="49" spans="1:21" ht="16" thickBot="1">
      <c r="A49" t="str">
        <f t="shared" si="5"/>
        <v>Available: 75</v>
      </c>
      <c r="B49" t="s">
        <v>2445</v>
      </c>
      <c r="C49" s="198">
        <v>0</v>
      </c>
    </row>
    <row r="50" spans="1:21" ht="16" thickBot="1">
      <c r="A50" s="22" t="str">
        <f t="shared" si="5"/>
        <v>Available: 1370</v>
      </c>
      <c r="B50" s="22" t="s">
        <v>2444</v>
      </c>
      <c r="C50" s="205">
        <v>0</v>
      </c>
      <c r="S50" t="s">
        <v>1223</v>
      </c>
      <c r="T50">
        <f>'10-Crew'!E5+'10-Crew'!E7-IF('1-Hull'!B4&lt;100,T42,0)</f>
        <v>99</v>
      </c>
    </row>
    <row r="51" spans="1:21" ht="16" thickBot="1">
      <c r="A51" t="str">
        <f t="shared" si="5"/>
        <v>Available: 342</v>
      </c>
      <c r="B51" t="s">
        <v>2449</v>
      </c>
      <c r="C51" s="198">
        <v>0</v>
      </c>
      <c r="S51" t="s">
        <v>1213</v>
      </c>
      <c r="T51" s="3">
        <f>IF(T50&lt;0,0,T50)</f>
        <v>99</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89</v>
      </c>
      <c r="D62" t="str">
        <f>"Attracts SOC: "&amp;INDEX(S54:U60,MATCH(C62,S54:S60,0),3)&amp;"*"</f>
        <v>Attracts SOC: 0*</v>
      </c>
      <c r="F62" s="4">
        <f>INDEX(S54:T60,MATCH(C62,S54:S60,0),2)</f>
        <v>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33</v>
      </c>
      <c r="D64" t="str">
        <f>C64&amp;" diner capacity"</f>
        <v>33 diner capacity</v>
      </c>
      <c r="F64" s="4">
        <f>H64*200000</f>
        <v>6600000</v>
      </c>
      <c r="H64" s="263">
        <f>C64</f>
        <v>33</v>
      </c>
      <c r="S64" t="s">
        <v>2068</v>
      </c>
      <c r="T64">
        <f>IF(OR(B6&gt;C6+C7,B8&gt;C8,B10&gt;(C10+C7+C6-B6)),1,0)</f>
        <v>0</v>
      </c>
    </row>
    <row r="65" spans="2:21" ht="16" thickBot="1">
      <c r="B65" s="2" t="s">
        <v>1404</v>
      </c>
      <c r="C65" s="235">
        <v>12</v>
      </c>
      <c r="D65" t="str">
        <f>"Seating for "&amp;C65</f>
        <v>Seating for 12</v>
      </c>
      <c r="F65" s="4">
        <f>H65*12000</f>
        <v>36000</v>
      </c>
      <c r="H65" s="263">
        <f>C65*0.25</f>
        <v>3</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12</v>
      </c>
      <c r="D68" t="s">
        <v>1408</v>
      </c>
      <c r="F68" s="4">
        <f>H68*100000</f>
        <v>1200000</v>
      </c>
      <c r="H68" s="263">
        <f>IF(AND(C68&gt;0,C68&lt;8),8,C68)</f>
        <v>12</v>
      </c>
      <c r="S68" t="s">
        <v>2439</v>
      </c>
      <c r="T68">
        <f>IF(C39&gt;C20,1,0)</f>
        <v>0</v>
      </c>
    </row>
    <row r="69" spans="2:21" ht="16" thickBot="1">
      <c r="B69" s="2" t="s">
        <v>1410</v>
      </c>
      <c r="C69" s="235">
        <v>8</v>
      </c>
      <c r="D69" t="s">
        <v>1408</v>
      </c>
      <c r="F69" s="4">
        <f>H69*200000</f>
        <v>1600000</v>
      </c>
      <c r="H69" s="263">
        <f>IF(AND(C69&gt;0,C69&lt;8),8,C69)</f>
        <v>8</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12</v>
      </c>
      <c r="D71" t="s">
        <v>1408</v>
      </c>
      <c r="F71" s="4">
        <f>IF(H71=0,0,50000)</f>
        <v>50000</v>
      </c>
      <c r="H71" s="263">
        <f>C71</f>
        <v>12</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1545</v>
      </c>
    </row>
    <row r="75" spans="2:21">
      <c r="S75" t="s">
        <v>78</v>
      </c>
      <c r="T75">
        <f t="shared" ref="T75:T80" si="6">IF(C46&gt;U75,1,0)</f>
        <v>0</v>
      </c>
      <c r="U75">
        <f>ROUNDUP('5-Bridge'!S17,0)</f>
        <v>60</v>
      </c>
    </row>
    <row r="76" spans="2:21">
      <c r="S76" t="s">
        <v>609</v>
      </c>
      <c r="T76">
        <f t="shared" si="6"/>
        <v>0</v>
      </c>
      <c r="U76">
        <f>ROUNDUP('7-Sensors'!S14,0)</f>
        <v>256</v>
      </c>
    </row>
    <row r="77" spans="2:21">
      <c r="S77" t="s">
        <v>307</v>
      </c>
      <c r="T77">
        <f t="shared" si="6"/>
        <v>0</v>
      </c>
      <c r="U77" s="4">
        <f>ROUNDUP('8a-Weapons'!N9,0)</f>
        <v>119</v>
      </c>
    </row>
    <row r="78" spans="2:21">
      <c r="S78" t="s">
        <v>408</v>
      </c>
      <c r="T78">
        <f t="shared" si="6"/>
        <v>0</v>
      </c>
      <c r="U78" s="263">
        <f>ROUNDUP('8b-Screens'!S40,0)</f>
        <v>75</v>
      </c>
    </row>
    <row r="79" spans="2:21">
      <c r="S79" t="s">
        <v>2448</v>
      </c>
      <c r="T79">
        <f t="shared" si="6"/>
        <v>0</v>
      </c>
      <c r="U79">
        <f>ROUNDUP('9a-Optional'!S29,0)</f>
        <v>1370</v>
      </c>
    </row>
    <row r="80" spans="2:21">
      <c r="S80" t="s">
        <v>2446</v>
      </c>
      <c r="T80">
        <f t="shared" si="6"/>
        <v>0</v>
      </c>
      <c r="U80">
        <f>ROUNDUP('9b-Optional'!S10,0)</f>
        <v>342</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topLeftCell="A2" workbookViewId="0">
      <selection activeCell="D26" sqref="D2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f>'Ship Info'!B1</f>
        <v>0</v>
      </c>
      <c r="F1" s="1" t="s">
        <v>1</v>
      </c>
    </row>
    <row r="2" spans="1:21">
      <c r="A2" s="3" t="s">
        <v>432</v>
      </c>
      <c r="B2" t="str">
        <f>'Ship Info'!B2</f>
        <v>Expeditionary Base Ship</v>
      </c>
      <c r="D2" s="3" t="s">
        <v>0</v>
      </c>
      <c r="E2" s="2">
        <f>'Ship Info'!F2</f>
        <v>14</v>
      </c>
      <c r="F2" s="10">
        <f>'Ship Info'!G2</f>
        <v>9839492100.0000038</v>
      </c>
    </row>
    <row r="3" spans="1:21">
      <c r="F3" s="10"/>
      <c r="G3" s="79"/>
      <c r="H3" s="506">
        <f>S19</f>
        <v>1424.75</v>
      </c>
      <c r="I3" s="28"/>
      <c r="J3" s="79"/>
      <c r="K3" s="507">
        <f>S22</f>
        <v>11</v>
      </c>
      <c r="S3" t="s">
        <v>113</v>
      </c>
      <c r="T3" t="s">
        <v>99</v>
      </c>
    </row>
    <row r="4" spans="1:21">
      <c r="F4" s="508" t="s">
        <v>45</v>
      </c>
      <c r="H4" s="787" t="s">
        <v>46</v>
      </c>
      <c r="I4" s="787"/>
      <c r="K4" s="787" t="s">
        <v>47</v>
      </c>
      <c r="L4" s="787"/>
      <c r="S4" t="s">
        <v>283</v>
      </c>
      <c r="T4" t="s">
        <v>100</v>
      </c>
    </row>
    <row r="5" spans="1:21">
      <c r="F5" s="506">
        <f>SUM(F9:F50)</f>
        <v>31983000</v>
      </c>
      <c r="H5" s="1" t="s">
        <v>403</v>
      </c>
      <c r="I5" s="1" t="s">
        <v>27</v>
      </c>
      <c r="K5" s="1" t="s">
        <v>403</v>
      </c>
      <c r="L5" s="1" t="s">
        <v>27</v>
      </c>
    </row>
    <row r="6" spans="1:21">
      <c r="C6" s="7" t="s">
        <v>598</v>
      </c>
      <c r="D6" s="270">
        <f>SUM(D15,D54)</f>
        <v>1300</v>
      </c>
      <c r="G6" s="2"/>
      <c r="H6" s="10">
        <f>'Ship Info'!I3</f>
        <v>42.25</v>
      </c>
      <c r="I6" s="270">
        <f>'Ship Info'!J3</f>
        <v>10000</v>
      </c>
      <c r="J6" s="2"/>
      <c r="K6" s="270">
        <f>'Ship Info'!L3</f>
        <v>-23</v>
      </c>
      <c r="L6" s="270">
        <f>'Ship Info'!M3</f>
        <v>7500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350</v>
      </c>
      <c r="T14" t="str">
        <f>IF(H18=0,"",IF(B19=S4," N/"," C/")&amp;IF(B20=S7,"N/",IF(B20=S8,"L/","AL/"))&amp;IF(B21=S4,"N","AB"))</f>
        <v xml:space="preserve"> C/L/AB</v>
      </c>
      <c r="U14" t="str">
        <f>IF(AND(S15="",S16=""),"",", ")</f>
        <v xml:space="preserve">, </v>
      </c>
    </row>
    <row r="15" spans="1:21">
      <c r="B15" s="2"/>
      <c r="C15" s="7" t="s">
        <v>589</v>
      </c>
      <c r="D15">
        <f>SUM(T11:T13)</f>
        <v>0</v>
      </c>
      <c r="F15" s="4"/>
      <c r="S15" t="str">
        <f>IF(H22=0,"",C22&amp;" @ "&amp;D22)</f>
        <v>1 @ 300</v>
      </c>
      <c r="T15" t="str">
        <f>IF(H22=0,"",IF(B23=S4," N/"," C/")&amp;IF(B24=S7,"N/",IF(B24=S8,"L/","AL/"))&amp;IF(B25=S4,"N","AB"))</f>
        <v xml:space="preserve"> C/L/AB</v>
      </c>
      <c r="U15" t="str">
        <f>IF(S15="","",IF(S16="","",", "))</f>
        <v xml:space="preserve">, </v>
      </c>
    </row>
    <row r="16" spans="1:21">
      <c r="A16" s="22"/>
      <c r="B16" s="27"/>
      <c r="C16" s="22"/>
      <c r="D16" s="22"/>
      <c r="E16" s="22"/>
      <c r="F16" s="23"/>
      <c r="G16" s="22"/>
      <c r="H16" s="22"/>
      <c r="I16" s="22"/>
      <c r="J16" s="22"/>
      <c r="K16" s="22"/>
      <c r="L16" s="22"/>
      <c r="S16" t="str">
        <f>IF(H26=0,"",C26&amp;" @ "&amp;D26)</f>
        <v>1 @ 350</v>
      </c>
      <c r="T16" t="str">
        <f>IF(H26=0,"",IF(B27=S4," N/"," C/")&amp;IF(B28=S7,"N/",IF(B28=S8,"L/","AL/"))&amp;IF(B29=S4,"N","AB"))</f>
        <v xml:space="preserve"> C/L/AB</v>
      </c>
      <c r="U16" t="str">
        <f>IF(SUM(D18:D26)=0,"",")")</f>
        <v>)</v>
      </c>
    </row>
    <row r="17" spans="1:21" ht="16" thickBot="1">
      <c r="A17" s="3" t="s">
        <v>590</v>
      </c>
      <c r="B17" s="2"/>
      <c r="C17" s="1" t="s">
        <v>308</v>
      </c>
      <c r="D17" s="7" t="s">
        <v>588</v>
      </c>
      <c r="F17" s="4"/>
    </row>
    <row r="18" spans="1:21" ht="16" thickBot="1">
      <c r="A18" s="251" t="s">
        <v>591</v>
      </c>
      <c r="B18" s="525" t="s">
        <v>2456</v>
      </c>
      <c r="C18" s="235">
        <v>1</v>
      </c>
      <c r="D18" s="221">
        <v>350</v>
      </c>
      <c r="F18" s="4"/>
      <c r="H18" s="4">
        <f>D18*C18</f>
        <v>350</v>
      </c>
      <c r="S18" t="s">
        <v>603</v>
      </c>
    </row>
    <row r="19" spans="1:21" ht="16" thickBot="1">
      <c r="A19" s="257" t="s">
        <v>592</v>
      </c>
      <c r="B19" s="198" t="s">
        <v>113</v>
      </c>
      <c r="C19" s="2"/>
      <c r="F19" s="4">
        <f>1000000*H19</f>
        <v>4000000</v>
      </c>
      <c r="H19" s="4">
        <f>IF(B19="Installed",(2.5+0.5*ROUNDUP((D18/150),0))*C18,0)</f>
        <v>4</v>
      </c>
      <c r="S19">
        <f>SUM(H9:H48,H50)</f>
        <v>1424.75</v>
      </c>
    </row>
    <row r="20" spans="1:21" ht="16" thickBot="1">
      <c r="A20" s="257" t="s">
        <v>593</v>
      </c>
      <c r="B20" s="198" t="s">
        <v>596</v>
      </c>
      <c r="C20" s="235">
        <v>5</v>
      </c>
      <c r="D20" t="s">
        <v>33</v>
      </c>
      <c r="E20">
        <f>VLOOKUP(B20,S7:T9,2)</f>
        <v>7</v>
      </c>
      <c r="F20" s="4">
        <f>VLOOKUP(B20,S7:U9,3)*C18*C20</f>
        <v>15000</v>
      </c>
      <c r="H20" s="4">
        <f>IF(B20=S7,0,C18)*C20</f>
        <v>5</v>
      </c>
      <c r="K20" s="263">
        <f>IF(H20&gt;0,H20,0)</f>
        <v>5</v>
      </c>
    </row>
    <row r="21" spans="1:21" ht="16" thickBot="1">
      <c r="A21" s="9" t="s">
        <v>431</v>
      </c>
      <c r="B21" s="523" t="s">
        <v>113</v>
      </c>
      <c r="C21" s="2"/>
      <c r="F21" s="4">
        <f>200000*H21</f>
        <v>7180000</v>
      </c>
      <c r="H21" s="4">
        <f>IF(B21=$S$3,0.1*SUM(H18:H20),0)</f>
        <v>35.9</v>
      </c>
      <c r="S21" t="s">
        <v>400</v>
      </c>
    </row>
    <row r="22" spans="1:21" ht="16" thickBot="1">
      <c r="A22" s="251" t="s">
        <v>591</v>
      </c>
      <c r="B22" s="525" t="s">
        <v>2457</v>
      </c>
      <c r="C22" s="340">
        <v>1</v>
      </c>
      <c r="D22" s="386">
        <v>300</v>
      </c>
      <c r="E22" s="22"/>
      <c r="F22" s="23"/>
      <c r="G22" s="22"/>
      <c r="H22" s="23">
        <f>D22*C22</f>
        <v>300</v>
      </c>
      <c r="I22" s="22"/>
      <c r="J22" s="22"/>
      <c r="K22" s="22"/>
      <c r="S22">
        <f>SUM(K20:K28)</f>
        <v>11</v>
      </c>
    </row>
    <row r="23" spans="1:21" ht="16" thickBot="1">
      <c r="A23" s="257" t="s">
        <v>592</v>
      </c>
      <c r="B23" s="205" t="s">
        <v>113</v>
      </c>
      <c r="C23" s="27"/>
      <c r="D23" s="22"/>
      <c r="E23" s="22"/>
      <c r="F23" s="23">
        <f>1000000*H23</f>
        <v>3500000</v>
      </c>
      <c r="G23" s="22"/>
      <c r="H23" s="23">
        <f>IF(B23="Installed",(2.5+0.5*ROUNDUP((D22/150),0))*C22,0)</f>
        <v>3.5</v>
      </c>
      <c r="I23" s="22"/>
      <c r="J23" s="22"/>
      <c r="K23" s="22"/>
    </row>
    <row r="24" spans="1:21" ht="16" thickBot="1">
      <c r="A24" s="257" t="s">
        <v>593</v>
      </c>
      <c r="B24" s="205" t="s">
        <v>596</v>
      </c>
      <c r="C24" s="340">
        <v>1</v>
      </c>
      <c r="D24" s="22"/>
      <c r="E24" s="22">
        <f>VLOOKUP(B24,S7:T9,2)</f>
        <v>7</v>
      </c>
      <c r="F24" s="23">
        <f>VLOOKUP(B24,S7:U9,3)*C22*C24</f>
        <v>3000</v>
      </c>
      <c r="G24" s="22"/>
      <c r="H24" s="23">
        <f>IF(B24=S7,0,C22)*C24</f>
        <v>1</v>
      </c>
      <c r="I24" s="22"/>
      <c r="J24" s="22"/>
      <c r="K24" s="335">
        <f>IF(H24&gt;0,H24,0)</f>
        <v>1</v>
      </c>
    </row>
    <row r="25" spans="1:21" ht="16" thickBot="1">
      <c r="A25" s="9" t="s">
        <v>431</v>
      </c>
      <c r="B25" s="524" t="s">
        <v>113</v>
      </c>
      <c r="C25" s="27"/>
      <c r="D25" s="22"/>
      <c r="E25" s="22"/>
      <c r="F25" s="23">
        <f>200000*H25</f>
        <v>6090000.0000000009</v>
      </c>
      <c r="G25" s="22"/>
      <c r="H25" s="23">
        <f>IF(B25=$S$3,0.1*SUM(H22:H24),0)</f>
        <v>30.450000000000003</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1300 tons, Bay(s): 1000 tons, Cargo Crane, Loading Belt, Armored Bulkhead (1 @ 350 C/L/AB, 1 @ 300 C/L/AB, 1 @ 350 C/L/AB)</v>
      </c>
    </row>
    <row r="26" spans="1:21" ht="16" thickBot="1">
      <c r="A26" s="251" t="s">
        <v>591</v>
      </c>
      <c r="B26" s="525" t="s">
        <v>2458</v>
      </c>
      <c r="C26" s="235">
        <v>1</v>
      </c>
      <c r="D26" s="221">
        <v>350</v>
      </c>
      <c r="F26" s="4"/>
      <c r="H26" s="4">
        <f>D26*C26</f>
        <v>350</v>
      </c>
    </row>
    <row r="27" spans="1:21" ht="16" thickBot="1">
      <c r="A27" s="257" t="s">
        <v>592</v>
      </c>
      <c r="B27" s="198" t="s">
        <v>113</v>
      </c>
      <c r="C27" s="2"/>
      <c r="F27" s="4">
        <f>1000000*H27</f>
        <v>4000000</v>
      </c>
      <c r="H27" s="4">
        <f>IF(B27="Installed",(2.5+0.5*ROUNDUP((D26/150),0))*C26,0)</f>
        <v>4</v>
      </c>
      <c r="S27" t="s">
        <v>611</v>
      </c>
      <c r="T27">
        <f>IF(B19=S3,1,IF(B23=S3,1,IF(B27=S3,1,0)))</f>
        <v>1</v>
      </c>
    </row>
    <row r="28" spans="1:21" ht="16" thickBot="1">
      <c r="A28" s="257" t="s">
        <v>593</v>
      </c>
      <c r="B28" s="198" t="s">
        <v>596</v>
      </c>
      <c r="C28" s="235">
        <v>5</v>
      </c>
      <c r="E28">
        <f>VLOOKUP(B28,S7:T9,2)</f>
        <v>7</v>
      </c>
      <c r="F28" s="4">
        <f>VLOOKUP(B28,S7:U9,3)*C26*C28</f>
        <v>15000</v>
      </c>
      <c r="H28" s="4">
        <f>IF(B28=S7,0,C26)*C28</f>
        <v>5</v>
      </c>
      <c r="K28" s="263">
        <f>IF(H28&gt;0,H28,0)</f>
        <v>5</v>
      </c>
      <c r="S28" t="s">
        <v>612</v>
      </c>
      <c r="T28">
        <f>IF(E20=7,1,IF(E24=7,1,IF(E28=7,1,0)))</f>
        <v>1</v>
      </c>
      <c r="U28">
        <f>IF(E20=12,1,IF(E24=12,1,IF(E28=12,1,0)))</f>
        <v>0</v>
      </c>
    </row>
    <row r="29" spans="1:21" ht="16" thickBot="1">
      <c r="A29" s="9" t="s">
        <v>431</v>
      </c>
      <c r="B29" s="198" t="s">
        <v>113</v>
      </c>
      <c r="C29" s="2"/>
      <c r="F29" s="4">
        <f>200000*H29</f>
        <v>7180000</v>
      </c>
      <c r="H29" s="4">
        <f>IF(B29=$S$3,0.1*SUM(H26:H28),0)</f>
        <v>35.9</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300</v>
      </c>
      <c r="E34" t="str">
        <f>"  ("&amp;ROUND(D34*100/(Tonnage/100),2)&amp;" Days)"</f>
        <v xml:space="preserve">  (300 Days)</v>
      </c>
      <c r="H34" s="360">
        <f>D34</f>
        <v>300</v>
      </c>
      <c r="S34">
        <f>Tonnage/100</f>
        <v>100</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100</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1300</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Expeditionary Base Ship</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2</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1</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4000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Cone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99</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Expeditionary Base Ship</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2</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591" t="str">
        <f>"TL: "&amp;Tech_Level</f>
        <v>TL: 14</v>
      </c>
      <c r="CA96" s="591"/>
      <c r="CB96" s="591"/>
      <c r="CC96" s="591"/>
      <c r="CD96" s="591"/>
      <c r="CE96" s="591"/>
      <c r="CF96" s="591"/>
      <c r="CG96" s="591"/>
      <c r="CH96" s="591"/>
      <c r="CI96" s="19"/>
      <c r="CJ96" s="19"/>
      <c r="CK96" s="19"/>
      <c r="CL96" s="590" t="str">
        <f>"Thrust: "&amp;'2-Drives'!$D$11&amp;IF('2-Drives'!$B$11='2-Drives'!$S$4,", "&amp;'4-Fuel'!$D$8&amp;" Thrust Points","")</f>
        <v>Thrust: 1</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4000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10000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Cone</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99</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10x Single Turret: Burst Laser</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Medium</v>
      </c>
      <c r="AW100" s="953"/>
      <c r="AX100" s="953"/>
      <c r="AY100" s="953"/>
      <c r="AZ100" s="953"/>
      <c r="BA100" s="953"/>
      <c r="BB100" s="953"/>
      <c r="BC100" s="953"/>
      <c r="BD100" s="953"/>
      <c r="BE100" s="953"/>
      <c r="BF100" s="953"/>
      <c r="BG100" s="953"/>
      <c r="BH100" s="962" t="str">
        <f>'8a-Weapons'!AR28</f>
        <v>1D</v>
      </c>
      <c r="BI100" s="962"/>
      <c r="BJ100" s="962"/>
      <c r="BK100" s="962"/>
      <c r="BL100" s="962"/>
      <c r="BM100" s="962"/>
      <c r="BN100" s="962"/>
      <c r="BO100" s="962"/>
      <c r="BP100" s="962"/>
      <c r="BQ100" s="962"/>
      <c r="BR100" s="962"/>
      <c r="BS100" s="961" t="str">
        <f>'8a-Weapons'!AU113</f>
        <v>, Repair +1</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10x Single Turret: Particle Beam</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str">
        <f>'8a-Weapons'!AQ29</f>
        <v>Very Long</v>
      </c>
      <c r="AW101" s="940"/>
      <c r="AX101" s="940"/>
      <c r="AY101" s="940"/>
      <c r="AZ101" s="940"/>
      <c r="BA101" s="940"/>
      <c r="BB101" s="940"/>
      <c r="BC101" s="940"/>
      <c r="BD101" s="940"/>
      <c r="BE101" s="940"/>
      <c r="BF101" s="940"/>
      <c r="BG101" s="940"/>
      <c r="BH101" s="963" t="str">
        <f>'8a-Weapons'!AR29</f>
        <v>3D</v>
      </c>
      <c r="BI101" s="964"/>
      <c r="BJ101" s="964"/>
      <c r="BK101" s="964"/>
      <c r="BL101" s="964"/>
      <c r="BM101" s="964"/>
      <c r="BN101" s="964"/>
      <c r="BO101" s="964"/>
      <c r="BP101" s="964"/>
      <c r="BQ101" s="964"/>
      <c r="BR101" s="965"/>
      <c r="BS101" s="948" t="str">
        <f>'8a-Weapons'!AU114</f>
        <v>, Repair +1</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5x Point Defense Btty: Type I -L</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Special</v>
      </c>
      <c r="AW103" s="940"/>
      <c r="AX103" s="940"/>
      <c r="AY103" s="940"/>
      <c r="AZ103" s="940"/>
      <c r="BA103" s="940"/>
      <c r="BB103" s="940"/>
      <c r="BC103" s="940"/>
      <c r="BD103" s="940"/>
      <c r="BE103" s="940"/>
      <c r="BF103" s="940"/>
      <c r="BG103" s="940"/>
      <c r="BH103" s="949" t="str">
        <f>'8a-Weapons'!AR31</f>
        <v xml:space="preserve"> +2D/PDB</v>
      </c>
      <c r="BI103" s="949"/>
      <c r="BJ103" s="949"/>
      <c r="BK103" s="949"/>
      <c r="BL103" s="949"/>
      <c r="BM103" s="949"/>
      <c r="BN103" s="949"/>
      <c r="BO103" s="949"/>
      <c r="BP103" s="949"/>
      <c r="BQ103" s="949"/>
      <c r="BR103" s="949"/>
      <c r="BS103" s="948" t="str">
        <f>'8a-Weapons'!AU116</f>
        <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
      </c>
      <c r="AW104" s="939"/>
      <c r="AX104" s="939"/>
      <c r="AY104" s="939"/>
      <c r="AZ104" s="939"/>
      <c r="BA104" s="939"/>
      <c r="BB104" s="939"/>
      <c r="BC104" s="939"/>
      <c r="BD104" s="939"/>
      <c r="BE104" s="939"/>
      <c r="BF104" s="939"/>
      <c r="BG104" s="939"/>
      <c r="BH104" s="954" t="str">
        <f>'8a-Weapons'!AR32</f>
        <v/>
      </c>
      <c r="BI104" s="954"/>
      <c r="BJ104" s="954"/>
      <c r="BK104" s="954"/>
      <c r="BL104" s="954"/>
      <c r="BM104" s="954"/>
      <c r="BN104" s="954"/>
      <c r="BO104" s="954"/>
      <c r="BP104" s="954"/>
      <c r="BQ104" s="954"/>
      <c r="BR104" s="954"/>
      <c r="BS104" s="947" t="str">
        <f>'8a-Weapons'!AU117</f>
        <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
      </c>
      <c r="AW105" s="940"/>
      <c r="AX105" s="940"/>
      <c r="AY105" s="940"/>
      <c r="AZ105" s="940"/>
      <c r="BA105" s="940"/>
      <c r="BB105" s="940"/>
      <c r="BC105" s="940"/>
      <c r="BD105" s="940"/>
      <c r="BE105" s="940"/>
      <c r="BF105" s="940"/>
      <c r="BG105" s="940"/>
      <c r="BH105" s="949" t="str">
        <f>'8a-Weapons'!AR33</f>
        <v/>
      </c>
      <c r="BI105" s="949"/>
      <c r="BJ105" s="949"/>
      <c r="BK105" s="949"/>
      <c r="BL105" s="949"/>
      <c r="BM105" s="949"/>
      <c r="BN105" s="949"/>
      <c r="BO105" s="949"/>
      <c r="BP105" s="949"/>
      <c r="BQ105" s="949"/>
      <c r="BR105" s="949"/>
      <c r="BS105" s="948" t="str">
        <f>'8a-Weapons'!AU118</f>
        <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Expeditionary Base Ship</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2</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14</v>
      </c>
      <c r="CA123" s="591"/>
      <c r="CB123" s="591"/>
      <c r="CC123" s="591"/>
      <c r="CD123" s="591"/>
      <c r="CE123" s="591"/>
      <c r="CF123" s="591"/>
      <c r="CG123" s="591"/>
      <c r="CH123" s="591"/>
      <c r="CI123" s="19"/>
      <c r="CJ123" s="19"/>
      <c r="CK123" s="19"/>
      <c r="CL123" s="590" t="str">
        <f>"Thrust: "&amp;'2-Drives'!$D$11&amp;IF('2-Drives'!$B$11='2-Drives'!$S$4,", "&amp;'4-Fuel'!$D$8&amp;" Thrust Points","")</f>
        <v>Thrust: 1</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4000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10000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Cone</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99</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(x2)</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Deflector Screens</v>
      </c>
      <c r="B126" s="745"/>
      <c r="C126" s="745"/>
      <c r="D126" s="745"/>
      <c r="E126" s="745"/>
      <c r="F126" s="745"/>
      <c r="G126" s="745"/>
      <c r="H126" s="745"/>
      <c r="I126" s="745"/>
      <c r="J126" s="745"/>
      <c r="K126" s="745"/>
      <c r="L126" s="745"/>
      <c r="M126" s="745"/>
      <c r="N126" s="745"/>
      <c r="O126" s="745">
        <f>'8b-Screens'!E9</f>
        <v>5</v>
      </c>
      <c r="P126" s="745"/>
      <c r="Q126" s="745"/>
      <c r="R126" s="745"/>
      <c r="S126" s="745" t="str">
        <f>'8b-Screens'!T60</f>
        <v>CS -1  1s to 2</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N/A</v>
      </c>
      <c r="AO126" s="738"/>
      <c r="AP126" s="738"/>
      <c r="AQ126" s="739"/>
      <c r="AR126" s="764" t="s">
        <v>709</v>
      </c>
      <c r="AS126" s="765"/>
      <c r="AT126" s="765"/>
      <c r="AU126" s="765"/>
      <c r="AV126" s="765"/>
      <c r="AW126" s="765"/>
      <c r="AX126" s="738" t="str">
        <f>'7-Sensors'!T24</f>
        <v>+1</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Nuclear Damper</v>
      </c>
      <c r="B127" s="731"/>
      <c r="C127" s="731"/>
      <c r="D127" s="731"/>
      <c r="E127" s="731"/>
      <c r="F127" s="731"/>
      <c r="G127" s="731"/>
      <c r="H127" s="731"/>
      <c r="I127" s="731"/>
      <c r="J127" s="731"/>
      <c r="K127" s="731"/>
      <c r="L127" s="731"/>
      <c r="M127" s="731"/>
      <c r="N127" s="731"/>
      <c r="O127" s="731">
        <f>'8b-Screens'!E14</f>
        <v>5</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N/A</v>
      </c>
      <c r="AO127" s="731"/>
      <c r="AP127" s="731"/>
      <c r="AQ127" s="735"/>
      <c r="AR127" s="610" t="s">
        <v>710</v>
      </c>
      <c r="AS127" s="611"/>
      <c r="AT127" s="611"/>
      <c r="AU127" s="611"/>
      <c r="AV127" s="611"/>
      <c r="AW127" s="611"/>
      <c r="AX127" s="731" t="str">
        <f>'7-Sensors'!T25</f>
        <v>0</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N/A</v>
      </c>
      <c r="AO128" s="731"/>
      <c r="AP128" s="731"/>
      <c r="AQ128" s="735"/>
      <c r="AR128" s="610" t="s">
        <v>711</v>
      </c>
      <c r="AS128" s="611"/>
      <c r="AT128" s="611"/>
      <c r="AU128" s="611"/>
      <c r="AV128" s="611"/>
      <c r="AW128" s="611"/>
      <c r="AX128" s="731" t="str">
        <f>'7-Sensors'!T26</f>
        <v>+4</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N/A</v>
      </c>
      <c r="AO129" s="731"/>
      <c r="AP129" s="731"/>
      <c r="AQ129" s="735"/>
      <c r="AR129" s="740" t="s">
        <v>712</v>
      </c>
      <c r="AS129" s="741"/>
      <c r="AT129" s="741"/>
      <c r="AU129" s="741"/>
      <c r="AV129" s="741"/>
      <c r="AW129" s="741"/>
      <c r="AX129" s="736" t="str">
        <f>'7-Sensors'!T27</f>
        <v>+Rng</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N/A</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High Automation: DM+2 on all shipboard tasks</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X</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view="pageLayout" zoomScaleNormal="100" workbookViewId="0">
      <selection activeCell="J1" sqref="E1:J1048576"/>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 xml:space="preserve">Class: </v>
      </c>
      <c r="B1" s="529"/>
      <c r="C1" s="407">
        <f>Tonnage</f>
        <v>10000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Cone Streamlined, Standard Hull: 4000</v>
      </c>
      <c r="I2" s="237" t="str">
        <f>""</f>
        <v/>
      </c>
      <c r="J2" s="387">
        <f>'1-Hull'!F6</f>
        <v>1200000000</v>
      </c>
    </row>
    <row r="3" spans="1:10" ht="16">
      <c r="A3" s="400" t="s">
        <v>574</v>
      </c>
      <c r="B3" s="463" t="str">
        <f>H2</f>
        <v>Cone Streamlined, Standard Hull: 4000</v>
      </c>
      <c r="D3" s="4">
        <f>J2</f>
        <v>1200000000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Heat Shielding</v>
      </c>
      <c r="C4" s="4">
        <f>INDEX(F:J,MATCH(2,F:F,0),4)</f>
        <v>0</v>
      </c>
      <c r="D4" s="4">
        <f>INDEX(F:J,MATCH(2,F:F,0),5)</f>
        <v>2000000000</v>
      </c>
      <c r="E4" s="73">
        <f t="shared" ref="E4" si="2">IF(H4="",E3,E3+1)</f>
        <v>1</v>
      </c>
      <c r="F4" s="73" t="str">
        <f t="shared" ref="F4" si="3">IF(E4=E3,"",E4)</f>
        <v/>
      </c>
      <c r="G4" s="397"/>
      <c r="H4" s="12" t="str">
        <f>IF('1-Hull'!A$13='1-Hull'!S$24,"",'1-Hull'!S$25)</f>
        <v/>
      </c>
      <c r="I4" s="4">
        <f>'1-Hull'!H$13</f>
        <v>0</v>
      </c>
      <c r="J4" s="265">
        <f>'1-Hull'!F$13</f>
        <v>0</v>
      </c>
    </row>
    <row r="5" spans="1:10" ht="15" customHeight="1">
      <c r="A5" s="400" t="str">
        <f>IF(INDEX(F:J,MATCH(3,F:F,0),2)=0,"",INDEX(F:J,MATCH(3,F:F,0),2))</f>
        <v/>
      </c>
      <c r="B5" s="463" t="str">
        <f>INDEX(F:J,MATCH(3,F:F,0),3)</f>
        <v>Radiation Shielding: Reduce Rads by 1000</v>
      </c>
      <c r="C5" s="4">
        <f>INDEX(F:J,MATCH(3,F:F,0),4)</f>
        <v>0</v>
      </c>
      <c r="D5" s="4">
        <f>INDEX(F:J,MATCH(3,F:F,0),5)</f>
        <v>500000000</v>
      </c>
      <c r="E5" s="73">
        <f t="shared" ref="E5:E68" si="4">IF(H5="",E4,E4+1)</f>
        <v>1</v>
      </c>
      <c r="F5" s="73" t="str">
        <f t="shared" ref="F5:F68" si="5">IF(E5=E4,"",E5)</f>
        <v/>
      </c>
      <c r="G5" s="397"/>
      <c r="H5" s="12" t="str">
        <f>IF('1-Hull'!A$14='1-Hull'!S$26,"",'1-Hull'!S$27)</f>
        <v/>
      </c>
      <c r="I5" s="4">
        <f>'1-Hull'!H$14</f>
        <v>0</v>
      </c>
      <c r="J5" s="265">
        <f>'1-Hull'!F$14</f>
        <v>0</v>
      </c>
    </row>
    <row r="6" spans="1:10" ht="16">
      <c r="A6" s="400" t="str">
        <f>IF(MAX(F:F)&lt;4,"",IF(INDEX(F:J,MATCH(4,F:F,0),2)=0,"",INDEX(F:J,MATCH(4,F:F,0),2)))</f>
        <v>Armor</v>
      </c>
      <c r="B6" s="463" t="str">
        <f>IF(MAX(F:F)&lt;4,"",INDEX(F:J,MATCH(4,F:F,0),3))</f>
        <v>Bonded Superdense Armor: 2</v>
      </c>
      <c r="C6" s="4">
        <f>IF(MAX(F:F)&lt;4,"",INDEX(F:J,MATCH(4,F:F,0),4))</f>
        <v>192</v>
      </c>
      <c r="D6" s="4">
        <f>IF(MAX(F:F)&lt;4,"",INDEX(F:J,MATCH(4,F:F,0),5))</f>
        <v>192000000</v>
      </c>
      <c r="E6" s="73">
        <f t="shared" si="4"/>
        <v>2</v>
      </c>
      <c r="F6" s="73">
        <f t="shared" si="5"/>
        <v>2</v>
      </c>
      <c r="G6" s="397"/>
      <c r="H6" s="12" t="str">
        <f>IF('1-Hull'!A$15='1-Hull'!S$28,"",'1-Hull'!S$29)</f>
        <v>Heat Shielding</v>
      </c>
      <c r="I6" s="4">
        <f>'1-Hull'!H$15</f>
        <v>0</v>
      </c>
      <c r="J6" s="265">
        <f>'1-Hull'!F$15</f>
        <v>2000000000</v>
      </c>
    </row>
    <row r="7" spans="1:10" ht="16">
      <c r="A7" s="400" t="str">
        <f>IF(MAX(F:F)&lt;5,"",IF(INDEX(F:J,MATCH(5,F:F,0),2)=0,"",INDEX(F:J,MATCH(5,F:F,0),2)))</f>
        <v>M-Drive</v>
      </c>
      <c r="B7" s="463" t="str">
        <f>IF(MAX(F:F)&lt;5,"",INDEX(F:J,MATCH(5,F:F,0),3))</f>
        <v>M-Drive: 1 Efficient, Small, Easy to Repair</v>
      </c>
      <c r="C7" s="4">
        <f>IF(MAX(F:F)&lt;5,"",INDEX(F:J,MATCH(5,F:F,0),4))</f>
        <v>90</v>
      </c>
      <c r="D7" s="4">
        <f>IF(MAX(F:F)&lt;5,"",INDEX(F:J,MATCH(5,F:F,0),5))</f>
        <v>600000000</v>
      </c>
      <c r="E7" s="73">
        <f t="shared" si="4"/>
        <v>2</v>
      </c>
      <c r="F7" s="73" t="str">
        <f t="shared" si="5"/>
        <v/>
      </c>
      <c r="G7" s="397"/>
      <c r="H7" s="12" t="str">
        <f>IF('1-Hull'!$A$16='1-Hull'!$S$30,"",'1-Hull'!$S$48)</f>
        <v/>
      </c>
      <c r="I7" s="4">
        <f>'1-Hull'!H$16</f>
        <v>0</v>
      </c>
      <c r="J7" s="265">
        <f>'1-Hull'!F$16</f>
        <v>0</v>
      </c>
    </row>
    <row r="8" spans="1:10" ht="16">
      <c r="A8" s="400" t="str">
        <f>IF(MAX(F:F)&lt;6,"",IF(INDEX(F:J,MATCH(6,F:F,0),2)=0,"",INDEX(F:J,MATCH(6,F:F,0),2)))</f>
        <v>FTL</v>
      </c>
      <c r="B8" s="463" t="str">
        <f>IF(MAX(F:F)&lt;6,"",INDEX(F:J,MATCH(6,F:F,0),3))</f>
        <v>Jump Drive: 4 Easy to Repair</v>
      </c>
      <c r="C8" s="4">
        <f>IF(MAX(F:F)&lt;6,"",INDEX(F:J,MATCH(6,F:F,0),4))</f>
        <v>1005</v>
      </c>
      <c r="D8" s="4">
        <f>IF(MAX(F:F)&lt;6,"",INDEX(F:J,MATCH(6,F:F,0),5))</f>
        <v>3316500000</v>
      </c>
      <c r="E8" s="73">
        <f t="shared" si="4"/>
        <v>2</v>
      </c>
      <c r="F8" s="73" t="str">
        <f t="shared" si="5"/>
        <v/>
      </c>
      <c r="G8" s="397"/>
      <c r="H8" s="12" t="str">
        <f>IF('1-Hull'!$A$17='1-Hull'!$S$30,"",'1-Hull'!$A$17)</f>
        <v/>
      </c>
      <c r="I8" s="4">
        <f>'1-Hull'!H$17</f>
        <v>0</v>
      </c>
      <c r="J8" s="265">
        <f>'1-Hull'!F$17</f>
        <v>0</v>
      </c>
    </row>
    <row r="9" spans="1:10" ht="16">
      <c r="A9" s="400" t="str">
        <f>IF(MAX(F:F)&lt;7,"",IF(INDEX(F:J,MATCH(7,F:F,0),2)=0,"",INDEX(F:J,MATCH(7,F:F,0),2)))</f>
        <v>Power Plant</v>
      </c>
      <c r="B9" s="463" t="str">
        <f>IF(MAX(F:F)&lt;7,"",INDEX(F:J,MATCH(7,F:F,0),3))</f>
        <v>Fusion TL 12 Output:7500 Small, Easy to repair</v>
      </c>
      <c r="C9" s="4">
        <f>IF(MAX(F:F)&lt;7,"",INDEX(F:J,MATCH(7,F:F,0),4))</f>
        <v>450</v>
      </c>
      <c r="D9" s="4">
        <f>IF(MAX(F:F)&lt;7,"",INDEX(F:J,MATCH(7,F:F,0),5))</f>
        <v>1250000000</v>
      </c>
      <c r="E9" s="73">
        <f t="shared" si="4"/>
        <v>2</v>
      </c>
      <c r="F9" s="73" t="str">
        <f t="shared" si="5"/>
        <v/>
      </c>
      <c r="G9" s="397"/>
      <c r="H9" s="12" t="str">
        <f>IF('1-Hull'!$A$18='1-Hull'!$S$32,"",'1-Hull'!$A$18)</f>
        <v/>
      </c>
      <c r="I9" s="4">
        <f>'1-Hull'!H$19</f>
        <v>0</v>
      </c>
      <c r="J9" s="265">
        <f>'1-Hull'!F$18</f>
        <v>0</v>
      </c>
    </row>
    <row r="10" spans="1:10" ht="16">
      <c r="A10" s="400" t="str">
        <f>IF(MAX(F:F)&lt;8,"",IF(INDEX(F:J,MATCH(8,F:F,0),2)=0,"",INDEX(F:J,MATCH(8,F:F,0),2)))</f>
        <v>Fuel</v>
      </c>
      <c r="B10" s="463" t="str">
        <f>IF(MAX(F:F)&lt;8,"",INDEX(F:J,MATCH(8,F:F,0),3))</f>
        <v>4 Jumps Available x 1 pc, 8 Weeks of Operation</v>
      </c>
      <c r="C10" s="4">
        <f>IF(MAX(F:F)&lt;8,"",INDEX(F:J,MATCH(8,F:F,0),4))</f>
        <v>4090</v>
      </c>
      <c r="D10" s="4" t="str">
        <f>IF(MAX(F:F)&lt;8,"",INDEX(F:J,MATCH(8,F:F,0),5))</f>
        <v/>
      </c>
      <c r="E10" s="73">
        <f t="shared" si="4"/>
        <v>2</v>
      </c>
      <c r="F10" s="73" t="str">
        <f t="shared" si="5"/>
        <v/>
      </c>
      <c r="G10" s="397"/>
      <c r="H10" s="12" t="str">
        <f>IF('1-Hull'!$A$19='1-Hull'!$S$37,"",'1-Hull'!$A$19)</f>
        <v/>
      </c>
      <c r="I10" s="4">
        <f>'1-Hull'!H$19</f>
        <v>0</v>
      </c>
      <c r="J10" s="265">
        <f>'1-Hull'!F$19</f>
        <v>0</v>
      </c>
    </row>
    <row r="11" spans="1:10" ht="16">
      <c r="A11" s="400" t="str">
        <f>IF(MAX(F:F)&lt;9,"",IF(INDEX(F:J,MATCH(9,F:F,0),2)=0,"",INDEX(F:J,MATCH(9,F:F,0),2)))</f>
        <v>Bridge</v>
      </c>
      <c r="B11" s="463" t="str">
        <f>IF(MAX(F:F)&lt;9,"",INDEX(F:J,MATCH(9,F:F,0),3))</f>
        <v>Standard Bridge</v>
      </c>
      <c r="C11" s="4">
        <f>IF(MAX(F:F)&lt;9,"",INDEX(F:J,MATCH(9,F:F,0),4))</f>
        <v>60</v>
      </c>
      <c r="D11" s="4">
        <f>IF(MAX(F:F)&lt;9,"",INDEX(F:J,MATCH(9,F:F,0),5))</f>
        <v>50000000</v>
      </c>
      <c r="E11" s="73">
        <f t="shared" si="4"/>
        <v>2</v>
      </c>
      <c r="F11" s="73" t="str">
        <f t="shared" si="5"/>
        <v/>
      </c>
      <c r="G11" s="397"/>
      <c r="H11" s="12" t="str">
        <f>IF('1-Hull'!$A$20='1-Hull'!$S$40,"",'1-Hull'!$A$20)</f>
        <v/>
      </c>
      <c r="I11" s="4">
        <f>'1-Hull'!H$20</f>
        <v>0</v>
      </c>
      <c r="J11" s="265">
        <f>'1-Hull'!F$20</f>
        <v>0</v>
      </c>
    </row>
    <row r="12" spans="1:10" ht="16">
      <c r="A12" s="400" t="str">
        <f>IF(MAX(F:F)&lt;10,"",IF(INDEX(F:J,MATCH(10,F:F,0),2)=0,"",INDEX(F:J,MATCH(10,F:F,0),2)))</f>
        <v/>
      </c>
      <c r="B12" s="463" t="str">
        <f>IF(MAX(F:F)&lt;10,"",INDEX(F:J,MATCH(10,F:F,0),3))</f>
        <v>Main Bridge Holographic Controls</v>
      </c>
      <c r="C12" s="4">
        <f>IF(MAX(F:F)&lt;10,"",INDEX(F:J,MATCH(10,F:F,0),4))</f>
        <v>0</v>
      </c>
      <c r="D12" s="4">
        <f>IF(MAX(F:F)&lt;10,"",INDEX(F:J,MATCH(10,F:F,0),5))</f>
        <v>12500000</v>
      </c>
      <c r="E12" s="73">
        <f t="shared" si="4"/>
        <v>3</v>
      </c>
      <c r="F12" s="73">
        <f t="shared" si="5"/>
        <v>3</v>
      </c>
      <c r="G12" s="397"/>
      <c r="H12" s="12" t="str">
        <f>IF('1-Hull'!$A$21='1-Hull'!$S$45,"",'1-Hull'!$A$21&amp;": "&amp;'1-Hull'!B21)</f>
        <v>Radiation Shielding: Reduce Rads by 1000</v>
      </c>
      <c r="I12" s="4">
        <f>'1-Hull'!H$21</f>
        <v>0</v>
      </c>
      <c r="J12" s="265">
        <f>'1-Hull'!F$21</f>
        <v>500000000</v>
      </c>
    </row>
    <row r="13" spans="1:10" ht="16">
      <c r="A13" s="400" t="str">
        <f>IF(MAX(F:F)&lt;11,"",IF(INDEX(F:J,MATCH(11,F:F,0),2)=0,"",INDEX(F:J,MATCH(11,F:F,0),2)))</f>
        <v>Computer</v>
      </c>
      <c r="B13" s="463" t="str">
        <f>IF(MAX(F:F)&lt;11,"",INDEX(F:J,MATCH(11,F:F,0),3))</f>
        <v>Core/ 90</v>
      </c>
      <c r="C13" s="4">
        <f>IF(MAX(F:F)&lt;11,"",INDEX(F:J,MATCH(11,F:F,0),4))</f>
        <v>0</v>
      </c>
      <c r="D13" s="4">
        <f>IF(MAX(F:F)&lt;11,"",INDEX(F:J,MATCH(11,F:F,0),5))</f>
        <v>120000000</v>
      </c>
      <c r="E13" s="73">
        <f t="shared" si="4"/>
        <v>3</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Software</v>
      </c>
      <c r="B14" s="463" t="str">
        <f>IF(MAX(F:F)&lt;12,"",INDEX(F:J,MATCH(12,F:F,0),3))</f>
        <v>Library</v>
      </c>
      <c r="C14" s="4">
        <f>IF(MAX(F:F)&lt;12,"",INDEX(F:J,MATCH(12,F:F,0),4))</f>
        <v>0</v>
      </c>
      <c r="D14" s="4">
        <f>IF(MAX(F:F)&lt;12,"",INDEX(F:J,MATCH(12,F:F,0),5))</f>
        <v>0</v>
      </c>
      <c r="E14" s="73">
        <f t="shared" si="4"/>
        <v>3</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Manoeuvre/0</v>
      </c>
      <c r="C15" s="4">
        <f>IF(MAX(F:F)&lt;13,"",INDEX(F:J,MATCH(13,F:F,0),4))</f>
        <v>0</v>
      </c>
      <c r="D15" s="4">
        <f>IF(MAX(F:F)&lt;13,"",INDEX(F:J,MATCH(13,F:F,0),5))</f>
        <v>0</v>
      </c>
      <c r="E15" s="73">
        <f t="shared" si="4"/>
        <v>3</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Intellect</v>
      </c>
      <c r="C16" s="4">
        <f>IF(MAX(F:F)&lt;14,"",INDEX(F:J,MATCH(14,F:F,0),4))</f>
        <v>0</v>
      </c>
      <c r="D16" s="4">
        <f>IF(MAX(F:F)&lt;14,"",INDEX(F:J,MATCH(14,F:F,0),5))</f>
        <v>0</v>
      </c>
      <c r="E16" s="73">
        <f t="shared" si="4"/>
        <v>3</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Auto-Repair/1</v>
      </c>
      <c r="C17" s="4">
        <f>IF(MAX(F:F)&lt;15,"",INDEX(F:J,MATCH(15,F:F,0),4))</f>
        <v>0</v>
      </c>
      <c r="D17" s="4">
        <f>IF(MAX(F:F)&lt;15,"",INDEX(F:J,MATCH(15,F:F,0),5))</f>
        <v>5000000</v>
      </c>
      <c r="E17" s="73">
        <f t="shared" si="4"/>
        <v>3</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Jump Control/4</v>
      </c>
      <c r="C18" s="4">
        <f>IF(MAX(F:F)&lt;16,"",INDEX(F:J,MATCH(16,F:F,0),4))</f>
        <v>0</v>
      </c>
      <c r="D18" s="4">
        <f>IF(MAX(F:F)&lt;16,"",INDEX(F:J,MATCH(16,F:F,0),5))</f>
        <v>0</v>
      </c>
      <c r="E18" s="73">
        <f t="shared" si="4"/>
        <v>4</v>
      </c>
      <c r="F18" s="73">
        <f t="shared" si="5"/>
        <v>4</v>
      </c>
      <c r="G18" s="399" t="str">
        <f>IF(J18=0,"","Armor")</f>
        <v>Armor</v>
      </c>
      <c r="H18" s="393" t="str">
        <f>IF('1-Hull'!$D$10=0,"",IF('1-Hull'!$B$9='1-Hull'!$S$18,"Intrinsic",'1-Hull'!$B$9)&amp;" Armor: "&amp;'1-Hull'!$D$10)</f>
        <v>Bonded Superdense Armor: 2</v>
      </c>
      <c r="I18" s="420">
        <f>'1-Hull'!$H$9</f>
        <v>192</v>
      </c>
      <c r="J18" s="388">
        <f>'1-Hull'!$F$9</f>
        <v>192000000</v>
      </c>
    </row>
    <row r="19" spans="1:10" ht="15" customHeight="1">
      <c r="A19" s="400" t="str">
        <f>IF(MAX(F:F)&lt;17,"",IF(INDEX(F:J,MATCH(17,F:F,0),2)=0,"",INDEX(F:J,MATCH(17,F:F,0),2)))</f>
        <v/>
      </c>
      <c r="B19" s="463" t="str">
        <f>IF(MAX(F:F)&lt;17,"",INDEX(F:J,MATCH(17,F:F,0),3))</f>
        <v>Virtual Gunner/0 Gunners: 7</v>
      </c>
      <c r="C19" s="4">
        <f>IF(MAX(F:F)&lt;17,"",INDEX(F:J,MATCH(17,F:F,0),4))</f>
        <v>0</v>
      </c>
      <c r="D19" s="4">
        <f>IF(MAX(F:F)&lt;17,"",INDEX(F:J,MATCH(17,F:F,0),5))</f>
        <v>1000000</v>
      </c>
      <c r="E19" s="73">
        <f t="shared" si="4"/>
        <v>5</v>
      </c>
      <c r="F19" s="73">
        <f t="shared" si="5"/>
        <v>5</v>
      </c>
      <c r="G19" s="401" t="str">
        <f>IF(H19="","","M-Drive")</f>
        <v>M-Drive</v>
      </c>
      <c r="H19" s="391" t="str">
        <f>IF('2-Drives'!$B$11='2-Drives'!$S$2,"",'2-Drives'!$S$91)</f>
        <v>M-Drive: 1 Efficient, Small, Easy to Repair</v>
      </c>
      <c r="I19" s="237">
        <f>SUM('2-Drives'!H11:H17)</f>
        <v>90</v>
      </c>
      <c r="J19" s="387">
        <f>SUM('2-Drives'!F11:F17)</f>
        <v>600000000</v>
      </c>
    </row>
    <row r="20" spans="1:10" ht="16">
      <c r="A20" s="400" t="str">
        <f>IF(MAX(F:F)&lt;18,"",IF(INDEX(F:J,MATCH(18,F:F,0),2)=0,"",INDEX(F:J,MATCH(18,F:F,0),2)))</f>
        <v/>
      </c>
      <c r="B20" s="463" t="str">
        <f>IF(MAX(F:F)&lt;18,"",INDEX(F:J,MATCH(18,F:F,0),3))</f>
        <v>Jump Filter</v>
      </c>
      <c r="C20" s="4">
        <f>IF(MAX(F:F)&lt;18,"",INDEX(F:J,MATCH(18,F:F,0),4))</f>
        <v>0</v>
      </c>
      <c r="D20" s="4">
        <f>IF(MAX(F:F)&lt;18,"",INDEX(F:J,MATCH(18,F:F,0),5))</f>
        <v>5000000</v>
      </c>
      <c r="E20" s="73">
        <f t="shared" si="4"/>
        <v>5</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Science (General)</v>
      </c>
      <c r="C21" s="4">
        <f>IF(MAX(F:F)&lt;19,"",INDEX(F:J,MATCH(19,F:F,0),4))</f>
        <v>0</v>
      </c>
      <c r="D21" s="4">
        <f>IF(MAX(F:F)&lt;19,"",INDEX(F:J,MATCH(19,F:F,0),5))</f>
        <v>25000000</v>
      </c>
      <c r="E21" s="73">
        <f t="shared" si="4"/>
        <v>5</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Science (Specific), 3 Iteration(s)</v>
      </c>
      <c r="C22" s="4">
        <f>IF(MAX(F:F)&lt;20,"",INDEX(F:J,MATCH(20,F:F,0),4))</f>
        <v>0</v>
      </c>
      <c r="D22" s="4">
        <f>IF(MAX(F:F)&lt;20,"",INDEX(F:J,MATCH(20,F:F,0),5))</f>
        <v>60000000</v>
      </c>
      <c r="E22" s="73">
        <f t="shared" si="4"/>
        <v>5</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Mentor/1, 3 Iteration(s)</v>
      </c>
      <c r="C23" s="4">
        <f>IF(MAX(F:F)&lt;21,"",INDEX(F:J,MATCH(21,F:F,0),4))</f>
        <v>0</v>
      </c>
      <c r="D23" s="4">
        <f>IF(MAX(F:F)&lt;21,"",INDEX(F:J,MATCH(21,F:F,0),5))</f>
        <v>6000000</v>
      </c>
      <c r="E23" s="73">
        <f t="shared" si="4"/>
        <v>5</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Research Assist/1, 3 Iteration(s)</v>
      </c>
      <c r="C24" s="4">
        <f>IF(MAX(F:F)&lt;22,"",INDEX(F:J,MATCH(22,F:F,0),4))</f>
        <v>0</v>
      </c>
      <c r="D24" s="4">
        <f>IF(MAX(F:F)&lt;22,"",INDEX(F:J,MATCH(22,F:F,0),5))</f>
        <v>6000000</v>
      </c>
      <c r="E24" s="73">
        <f t="shared" si="4"/>
        <v>6</v>
      </c>
      <c r="F24" s="73">
        <f t="shared" si="5"/>
        <v>6</v>
      </c>
      <c r="G24" s="401" t="str">
        <f>IF(H24="","","FTL")</f>
        <v>FTL</v>
      </c>
      <c r="H24" s="391" t="str">
        <f>IF('2-Drives'!$B$25='2-Drives'!$S$5,"",'2-Drives'!$S$101)</f>
        <v>Jump Drive: 4 Easy to Repair</v>
      </c>
      <c r="I24" s="237">
        <f>SUM('2-Drives'!H25:H30)</f>
        <v>1005</v>
      </c>
      <c r="J24" s="387">
        <f>SUM('2-Drives'!F25:F30)</f>
        <v>3316500000</v>
      </c>
    </row>
    <row r="25" spans="1:10" ht="16">
      <c r="A25" s="400" t="str">
        <f>IF(MAX(F:F)&lt;23,"",IF(INDEX(F:J,MATCH(23,F:F,0),2)=0,"",INDEX(F:J,MATCH(23,F:F,0),2)))</f>
        <v/>
      </c>
      <c r="B25" s="463" t="str">
        <f>IF(MAX(F:F)&lt;23,"",INDEX(F:J,MATCH(23,F:F,0),3))</f>
        <v>Planetology/1</v>
      </c>
      <c r="C25" s="4">
        <f>IF(MAX(F:F)&lt;23,"",INDEX(F:J,MATCH(23,F:F,0),4))</f>
        <v>0</v>
      </c>
      <c r="D25" s="4">
        <f>IF(MAX(F:F)&lt;23,"",INDEX(F:J,MATCH(23,F:F,0),5))</f>
        <v>1000000</v>
      </c>
      <c r="E25" s="73">
        <f t="shared" si="4"/>
        <v>6</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Sensors</v>
      </c>
      <c r="B26" s="463" t="str">
        <f>IF(MAX(F:F)&lt;24,"",INDEX(F:J,MATCH(24,F:F,0),3))</f>
        <v>Main Sensor Array: Class IV - Improved  x5</v>
      </c>
      <c r="C26" s="4">
        <f>IF(MAX(F:F)&lt;24,"",INDEX(F:J,MATCH(24,F:F,0),4))</f>
        <v>15</v>
      </c>
      <c r="D26" s="4">
        <f>IF(MAX(F:F)&lt;24,"",INDEX(F:J,MATCH(24,F:F,0),5))</f>
        <v>21500000</v>
      </c>
      <c r="E26" s="73">
        <f t="shared" si="4"/>
        <v>7</v>
      </c>
      <c r="F26" s="73">
        <f t="shared" si="5"/>
        <v>7</v>
      </c>
      <c r="G26" s="401" t="str">
        <f>IF(H26="","","Power Plant")</f>
        <v>Power Plant</v>
      </c>
      <c r="H26" s="391" t="str">
        <f>IF('3-Pwr Plant'!$D$11=0,"",'3-Pwr Plant'!$B$11&amp;" Output:"&amp;'3-Pwr Plant'!$D$11+'3-Pwr Plant'!$L$12&amp;" "&amp;'3-Pwr Plant'!$Z$12)</f>
        <v>Fusion TL 12 Output:7500 Small, Easy to repair</v>
      </c>
      <c r="I26" s="237">
        <f>SUM('3-Pwr Plant'!H11:H14)</f>
        <v>450</v>
      </c>
      <c r="J26" s="387">
        <f>SUM('3-Pwr Plant'!F11:F14)</f>
        <v>1250000000</v>
      </c>
    </row>
    <row r="27" spans="1:10" ht="16">
      <c r="A27" s="400" t="str">
        <f>IF(MAX(F:F)&lt;25,"",IF(INDEX(F:J,MATCH(25,F:F,0),2)=0,"",INDEX(F:J,MATCH(25,F:F,0),2)))</f>
        <v/>
      </c>
      <c r="B27" s="463" t="str">
        <f>IF(MAX(F:F)&lt;25,"",INDEX(F:J,MATCH(25,F:F,0),3))</f>
        <v>Aux Sensor Array: Class III - Military Grade x3</v>
      </c>
      <c r="C27" s="4">
        <f>IF(MAX(F:F)&lt;25,"",INDEX(F:J,MATCH(25,F:F,0),4))</f>
        <v>6</v>
      </c>
      <c r="D27" s="4">
        <f>IF(MAX(F:F)&lt;25,"",INDEX(F:J,MATCH(25,F:F,0),5))</f>
        <v>12300000</v>
      </c>
      <c r="E27" s="73">
        <f t="shared" si="4"/>
        <v>7</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5x Deep Penetration Scanners</v>
      </c>
      <c r="C28" s="4">
        <f>IF(MAX(F:F)&lt;26,"",INDEX(F:J,MATCH(26,F:F,0),4))</f>
        <v>5</v>
      </c>
      <c r="D28" s="4">
        <f>IF(MAX(F:F)&lt;26,"",INDEX(F:J,MATCH(26,F:F,0),5))</f>
        <v>5000000</v>
      </c>
      <c r="E28" s="73">
        <f t="shared" si="4"/>
        <v>7</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5x Enhanced Signal Processing</v>
      </c>
      <c r="C29" s="4">
        <f>IF(MAX(F:F)&lt;27,"",INDEX(F:J,MATCH(27,F:F,0),4))</f>
        <v>10</v>
      </c>
      <c r="D29" s="4">
        <f>IF(MAX(F:F)&lt;27,"",INDEX(F:J,MATCH(27,F:F,0),5))</f>
        <v>40000000</v>
      </c>
      <c r="E29" s="73">
        <f t="shared" si="4"/>
        <v>7</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5x Extended Arrays</v>
      </c>
      <c r="C30" s="4">
        <f>IF(MAX(F:F)&lt;28,"",INDEX(F:J,MATCH(28,F:F,0),4))</f>
        <v>150</v>
      </c>
      <c r="D30" s="4">
        <f>IF(MAX(F:F)&lt;28,"",INDEX(F:J,MATCH(28,F:F,0),5))</f>
        <v>215000000</v>
      </c>
      <c r="E30" s="73">
        <f t="shared" si="4"/>
        <v>7</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5x Improved Signal Processing</v>
      </c>
      <c r="C31" s="4">
        <f>IF(MAX(F:F)&lt;29,"",INDEX(F:J,MATCH(29,F:F,0),4))</f>
        <v>5</v>
      </c>
      <c r="D31" s="4">
        <f>IF(MAX(F:F)&lt;29,"",INDEX(F:J,MATCH(29,F:F,0),5))</f>
        <v>20000000</v>
      </c>
      <c r="E31" s="73">
        <f t="shared" si="4"/>
        <v>7</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5x Life Scanner</v>
      </c>
      <c r="C32" s="4">
        <f>IF(MAX(F:F)&lt;30,"",INDEX(F:J,MATCH(30,F:F,0),4))</f>
        <v>5</v>
      </c>
      <c r="D32" s="4">
        <f>IF(MAX(F:F)&lt;30,"",INDEX(F:J,MATCH(30,F:F,0),5))</f>
        <v>10000000</v>
      </c>
      <c r="E32" s="73">
        <f t="shared" si="4"/>
        <v>8</v>
      </c>
      <c r="F32" s="73">
        <f t="shared" si="5"/>
        <v>8</v>
      </c>
      <c r="G32" s="401" t="str">
        <f>IF(H32="","","Fuel")</f>
        <v>Fuel</v>
      </c>
      <c r="H32" s="391" t="str">
        <f>IF('4-Fuel'!$H$10=0,"",'4-Fuel'!$B$9&amp;" "&amp;'4-Fuel'!A9&amp;", "&amp;'4-Fuel'!$C$10&amp;" Weeks of Operation"&amp;IF('4-Fuel'!$B$8=0,"",", "&amp;"Reaction Hours: "&amp;'4-Fuel'!$B$8)&amp;IF('4-Fuel'!C26='4-Fuel'!T7,"",", F/C Bay"))</f>
        <v>4 Jumps Available x 1 pc, 8 Weeks of Operation</v>
      </c>
      <c r="I32" s="237">
        <f>SUM('4-Fuel'!H8:H10)</f>
        <v>4090</v>
      </c>
      <c r="J32" s="387" t="str">
        <f>""</f>
        <v/>
      </c>
    </row>
    <row r="33" spans="1:10" ht="16">
      <c r="A33" s="400" t="str">
        <f>IF(MAX(F:F)&lt;31,"",IF(INDEX(F:J,MATCH(31,F:F,0),2)=0,"",INDEX(F:J,MATCH(31,F:F,0),2)))</f>
        <v/>
      </c>
      <c r="B33" s="463" t="str">
        <f>IF(MAX(F:F)&lt;31,"",INDEX(F:J,MATCH(31,F:F,0),3))</f>
        <v>5x Life Scanner Analysis Suite</v>
      </c>
      <c r="C33" s="4">
        <f>IF(MAX(F:F)&lt;31,"",INDEX(F:J,MATCH(31,F:F,0),4))</f>
        <v>5</v>
      </c>
      <c r="D33" s="4">
        <f>IF(MAX(F:F)&lt;31,"",INDEX(F:J,MATCH(31,F:F,0),5))</f>
        <v>20000000</v>
      </c>
      <c r="E33" s="73">
        <f t="shared" si="4"/>
        <v>8</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5x Mineral Detection Suite</v>
      </c>
      <c r="C34" s="4">
        <f>IF(MAX(F:F)&lt;32,"",INDEX(F:J,MATCH(32,F:F,0),4))</f>
        <v>5</v>
      </c>
      <c r="D34" s="4">
        <f>IF(MAX(F:F)&lt;32,"",INDEX(F:J,MATCH(32,F:F,0),5))</f>
        <v>25000000</v>
      </c>
      <c r="E34" s="73">
        <f t="shared" si="4"/>
        <v>8</v>
      </c>
      <c r="F34" s="73" t="str">
        <f t="shared" si="5"/>
        <v/>
      </c>
      <c r="G34" s="397" t="str">
        <f>IF(AND(G32="",G33=""),IF(H34="","","Fuel"),"")</f>
        <v/>
      </c>
      <c r="H34" s="12" t="str">
        <f>IF('4-Fuel'!$A$19='4-Fuel'!$S$13,"",'4-Fuel'!$C$19&amp;" "&amp;"Tons"&amp;" "&amp;'4-Fuel'!$A$18)</f>
        <v/>
      </c>
      <c r="J34" s="265">
        <f>'4-Fuel'!F19</f>
        <v>0</v>
      </c>
    </row>
    <row r="35" spans="1:10" ht="32">
      <c r="A35" s="400" t="str">
        <f>IF(MAX(F:F)&lt;33,"",IF(INDEX(F:J,MATCH(33,F:F,0),2)=0,"",INDEX(F:J,MATCH(33,F:F,0),2)))</f>
        <v/>
      </c>
      <c r="B35" s="463" t="str">
        <f>IF(MAX(F:F)&lt;33,"",INDEX(F:J,MATCH(33,F:F,0),3))</f>
        <v>5x Shallow Penetration Suite</v>
      </c>
      <c r="C35" s="4">
        <f>IF(MAX(F:F)&lt;33,"",INDEX(F:J,MATCH(33,F:F,0),4))</f>
        <v>50</v>
      </c>
      <c r="D35" s="4">
        <f>IF(MAX(F:F)&lt;33,"",INDEX(F:J,MATCH(33,F:F,0),5))</f>
        <v>25000000</v>
      </c>
      <c r="E35" s="73">
        <f t="shared" si="4"/>
        <v>8</v>
      </c>
      <c r="F35" s="73" t="str">
        <f t="shared" si="5"/>
        <v/>
      </c>
      <c r="G35" s="397" t="str">
        <f>IF(AND(G32="",G33="",G34=""),IF(H35="","","Fuel"),"")</f>
        <v/>
      </c>
      <c r="H35" s="12" t="str">
        <f>IF('4-Fuel'!$A$22='4-Fuel'!$S$13,"",'4-Fuel'!$C$22&amp;" "&amp;'4-Fuel'!$C$21&amp;" "&amp;'4-Fuel'!$A$21)</f>
        <v/>
      </c>
      <c r="J35" s="265">
        <f>'4-Fuel'!F22</f>
        <v>0</v>
      </c>
    </row>
    <row r="36" spans="1:10" ht="32">
      <c r="A36" s="400" t="str">
        <f>IF(MAX(F:F)&lt;34,"",IF(INDEX(F:J,MATCH(34,F:F,0),2)=0,"",INDEX(F:J,MATCH(34,F:F,0),2)))</f>
        <v>Weapons</v>
      </c>
      <c r="B36" s="463" t="str">
        <f>IF(MAX(F:F)&lt;34,"",INDEX(F:J,MATCH(34,F:F,0),3))</f>
        <v>10x Single Turret: Burst Laser Adv - Easy Repair, Adv - Energy Efficient, Adv - Small</v>
      </c>
      <c r="C36" s="4">
        <f>IF(MAX(F:F)&lt;34,"",INDEX(F:J,MATCH(34,F:F,0),4))</f>
        <v>9</v>
      </c>
      <c r="D36" s="4">
        <f>IF(MAX(F:F)&lt;34,"",INDEX(F:J,MATCH(34,F:F,0),5))</f>
        <v>14250000</v>
      </c>
      <c r="E36" s="73">
        <f t="shared" si="4"/>
        <v>8</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10x Single Turret: Particle Beam Adv - Easy Repair, Adv - Energy Efficient</v>
      </c>
      <c r="C37" s="4">
        <f>IF(MAX(F:F)&lt;35,"",INDEX(F:J,MATCH(35,F:F,0),4))</f>
        <v>10</v>
      </c>
      <c r="D37" s="4">
        <f>IF(MAX(F:F)&lt;35,"",INDEX(F:J,MATCH(35,F:F,0),5))</f>
        <v>52500000</v>
      </c>
      <c r="E37" s="73">
        <f t="shared" si="4"/>
        <v>8</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 xml:space="preserve">5x Point Defense Btty: Type I -L </v>
      </c>
      <c r="C38" s="4">
        <f>IF(MAX(F:F)&lt;36,"",INDEX(F:J,MATCH(36,F:F,0),4))</f>
        <v>100</v>
      </c>
      <c r="D38" s="4">
        <f>IF(MAX(F:F)&lt;36,"",INDEX(F:J,MATCH(36,F:F,0),5))</f>
        <v>25000000</v>
      </c>
      <c r="E38" s="73">
        <f t="shared" si="4"/>
        <v>8</v>
      </c>
      <c r="F38" s="73" t="str">
        <f t="shared" si="5"/>
        <v/>
      </c>
      <c r="G38" s="397"/>
      <c r="H38" s="12" t="str">
        <f>IF('4-Fuel'!C28='4-Fuel'!$S$40,"",'4-Fuel'!A24&amp;" "&amp;'4-Fuel'!B28)</f>
        <v/>
      </c>
      <c r="I38" s="4">
        <f>'4-Fuel'!H28</f>
        <v>0</v>
      </c>
      <c r="J38" s="265">
        <f>'4-Fuel'!F28</f>
        <v>0</v>
      </c>
    </row>
    <row r="39" spans="1:10" ht="16">
      <c r="A39" s="400" t="str">
        <f>IF(MAX(F:F)&lt;37,"",IF(INDEX(F:J,MATCH(37,F:F,0),2)=0,"",INDEX(F:J,MATCH(37,F:F,0),2)))</f>
        <v>Screens</v>
      </c>
      <c r="B39" s="463" t="str">
        <f>IF(MAX(F:F)&lt;37,"",INDEX(F:J,MATCH(37,F:F,0),3))</f>
        <v>5x Deflector Screens Resilient, Easy to Repair, High Strength</v>
      </c>
      <c r="C39" s="4">
        <f>IF(MAX(F:F)&lt;37,"",INDEX(F:J,MATCH(37,F:F,0),4))</f>
        <v>25</v>
      </c>
      <c r="D39" s="4">
        <f>IF(MAX(F:F)&lt;37,"",INDEX(F:J,MATCH(37,F:F,0),5))</f>
        <v>37500000</v>
      </c>
      <c r="E39" s="73">
        <f t="shared" si="4"/>
        <v>8</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5x Nuclear Damper Easy to Repair, Energy Efficient</v>
      </c>
      <c r="C40" s="4">
        <f>IF(MAX(F:F)&lt;38,"",INDEX(F:J,MATCH(38,F:F,0),4))</f>
        <v>50</v>
      </c>
      <c r="D40" s="4">
        <f>IF(MAX(F:F)&lt;38,"",INDEX(F:J,MATCH(38,F:F,0),5))</f>
        <v>62500000</v>
      </c>
      <c r="E40" s="73">
        <f t="shared" si="4"/>
        <v>8</v>
      </c>
      <c r="F40" s="73" t="str">
        <f t="shared" si="5"/>
        <v/>
      </c>
      <c r="G40" s="397"/>
      <c r="H40" s="12" t="str">
        <f>IF('4-Fuel'!$H$36=0,"",'4-Fuel'!$B$36)</f>
        <v/>
      </c>
      <c r="I40" s="4">
        <f>'4-Fuel'!H36</f>
        <v>0</v>
      </c>
      <c r="J40" s="265">
        <f>'4-Fuel'!F36</f>
        <v>0</v>
      </c>
    </row>
    <row r="41" spans="1:10" ht="16">
      <c r="A41" s="400" t="str">
        <f>IF(MAX(F:F)&lt;39,"",IF(INDEX(F:J,MATCH(39,F:F,0),2)=0,"",INDEX(F:J,MATCH(39,F:F,0),2)))</f>
        <v>Craft</v>
      </c>
      <c r="B41" s="463" t="str">
        <f>IF(MAX(F:F)&lt;39,"",INDEX(F:J,MATCH(39,F:F,0),3))</f>
        <v>1x 80 ton Internal Docking Space</v>
      </c>
      <c r="C41" s="4">
        <f>IF(MAX(F:F)&lt;39,"",INDEX(F:J,MATCH(39,F:F,0),4))</f>
        <v>88</v>
      </c>
      <c r="D41" s="4">
        <f>IF(MAX(F:F)&lt;39,"",INDEX(F:J,MATCH(39,F:F,0),5))</f>
        <v>22000000</v>
      </c>
      <c r="E41" s="73">
        <f t="shared" si="4"/>
        <v>8</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
      </c>
      <c r="B42" s="463" t="str">
        <f>IF(MAX(F:F)&lt;40,"",INDEX(F:J,MATCH(40,F:F,0),3))</f>
        <v>2x 60 ton Internal Docking Space</v>
      </c>
      <c r="C42" s="4">
        <f>IF(MAX(F:F)&lt;40,"",INDEX(F:J,MATCH(40,F:F,0),4))</f>
        <v>132</v>
      </c>
      <c r="D42" s="4">
        <f>IF(MAX(F:F)&lt;40,"",INDEX(F:J,MATCH(40,F:F,0),5))</f>
        <v>33000000</v>
      </c>
      <c r="E42" s="73">
        <f t="shared" si="4"/>
        <v>9</v>
      </c>
      <c r="F42" s="73">
        <f t="shared" si="5"/>
        <v>9</v>
      </c>
      <c r="G42" s="401" t="s">
        <v>78</v>
      </c>
      <c r="H42" s="391" t="str">
        <f>'5-Bridge'!$A$9</f>
        <v>Standard Bridge</v>
      </c>
      <c r="I42" s="237">
        <f>'5-Bridge'!H9</f>
        <v>60</v>
      </c>
      <c r="J42" s="387">
        <f>'5-Bridge'!F9</f>
        <v>50000000</v>
      </c>
    </row>
    <row r="43" spans="1:10" ht="16">
      <c r="A43" s="400" t="str">
        <f>IF(MAX(F:F)&lt;41,"",IF(INDEX(F:J,MATCH(41,F:F,0),2)=0,"",INDEX(F:J,MATCH(41,F:F,0),2)))</f>
        <v/>
      </c>
      <c r="B43" s="463" t="str">
        <f>IF(MAX(F:F)&lt;41,"",INDEX(F:J,MATCH(41,F:F,0),3))</f>
        <v>1x 300 ton Full Hangar Bay</v>
      </c>
      <c r="C43" s="4">
        <f>IF(MAX(F:F)&lt;41,"",INDEX(F:J,MATCH(41,F:F,0),4))</f>
        <v>600</v>
      </c>
      <c r="D43" s="4">
        <f>IF(MAX(F:F)&lt;41,"",INDEX(F:J,MATCH(41,F:F,0),5))</f>
        <v>120000000</v>
      </c>
      <c r="E43" s="73">
        <f t="shared" si="4"/>
        <v>10</v>
      </c>
      <c r="F43" s="73">
        <f t="shared" si="5"/>
        <v>10</v>
      </c>
      <c r="G43" s="397"/>
      <c r="H43" s="12" t="str">
        <f>IF('5-Bridge'!$A$10='5-Bridge'!$S$13,'5-Bridge'!$A$8&amp;" "&amp;'5-Bridge'!$A$10,"")</f>
        <v>Main Bridge Holographic Controls</v>
      </c>
      <c r="J43" s="265">
        <f>'5-Bridge'!F10</f>
        <v>12500000</v>
      </c>
    </row>
    <row r="44" spans="1:10" ht="16">
      <c r="A44" s="400" t="str">
        <f>IF(MAX(F:F)&lt;42,"",IF(INDEX(F:J,MATCH(42,F:F,0),2)=0,"",INDEX(F:J,MATCH(42,F:F,0),2)))</f>
        <v/>
      </c>
      <c r="B44" s="463" t="str">
        <f>IF(MAX(F:F)&lt;42,"",INDEX(F:J,MATCH(42,F:F,0),3))</f>
        <v>Zhodoni Ninz-Class Scout  x3 (300 tons)</v>
      </c>
      <c r="C44" s="4">
        <f>IF(MAX(F:F)&lt;42,"",INDEX(F:J,MATCH(42,F:F,0),4))</f>
        <v>0</v>
      </c>
      <c r="D44" s="4">
        <f>IF(MAX(F:F)&lt;42,"",INDEX(F:J,MATCH(42,F:F,0),5))</f>
        <v>149385000</v>
      </c>
      <c r="E44" s="73">
        <f t="shared" si="4"/>
        <v>10</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Zhodani Brechatsnech Belt Survey Vessel x1 (60 tons)</v>
      </c>
      <c r="C45" s="4">
        <f>IF(MAX(F:F)&lt;43,"",INDEX(F:J,MATCH(43,F:F,0),4))</f>
        <v>0</v>
      </c>
      <c r="D45" s="4">
        <f>IF(MAX(F:F)&lt;43,"",INDEX(F:J,MATCH(43,F:F,0),5))</f>
        <v>37070000</v>
      </c>
      <c r="E45" s="73">
        <f t="shared" si="4"/>
        <v>10</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Zhodani Drabr Chtor Terrestrial Survey Vessel x1 (80 tons)</v>
      </c>
      <c r="C46" s="4">
        <f>IF(MAX(F:F)&lt;44,"",INDEX(F:J,MATCH(44,F:F,0),4))</f>
        <v>0</v>
      </c>
      <c r="D46" s="4">
        <f>IF(MAX(F:F)&lt;44,"",INDEX(F:J,MATCH(44,F:F,0),5))</f>
        <v>48995000</v>
      </c>
      <c r="E46" s="73">
        <f t="shared" si="4"/>
        <v>10</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Zhodani Neishetsienz Gas Giant Survey Vessel x1 (60 tons)</v>
      </c>
      <c r="C47" s="4">
        <f>IF(MAX(F:F)&lt;45,"",INDEX(F:J,MATCH(45,F:F,0),4))</f>
        <v>0</v>
      </c>
      <c r="D47" s="4">
        <f>IF(MAX(F:F)&lt;45,"",INDEX(F:J,MATCH(45,F:F,0),5))</f>
        <v>65550000</v>
      </c>
      <c r="E47" s="73">
        <f t="shared" si="4"/>
        <v>10</v>
      </c>
      <c r="F47" s="73" t="str">
        <f t="shared" si="5"/>
        <v/>
      </c>
      <c r="G47" s="397"/>
      <c r="H47" s="12" t="str">
        <f>IF('5-Bridge'!$A$18='5-Bridge'!$S$14,"","Command Bridge: "&amp;'5-Bridge'!$A$18)</f>
        <v/>
      </c>
      <c r="J47" s="265">
        <f>'5-Bridge'!F14</f>
        <v>0</v>
      </c>
    </row>
    <row r="48" spans="1:10" ht="16">
      <c r="A48" s="400" t="str">
        <f>IF(MAX(F:F)&lt;46,"",IF(INDEX(F:J,MATCH(46,F:F,0),2)=0,"",INDEX(F:J,MATCH(46,F:F,0),2)))</f>
        <v>Systems</v>
      </c>
      <c r="B48" s="463" t="str">
        <f>IF(MAX(F:F)&lt;46,"",INDEX(F:J,MATCH(46,F:F,0),3))</f>
        <v>Probe Drones: 500 Probes</v>
      </c>
      <c r="C48" s="4">
        <f>IF(MAX(F:F)&lt;46,"",INDEX(F:J,MATCH(46,F:F,0),4))</f>
        <v>100</v>
      </c>
      <c r="D48" s="4">
        <f>IF(MAX(F:F)&lt;46,"",INDEX(F:J,MATCH(46,F:F,0),5))</f>
        <v>50000000</v>
      </c>
      <c r="E48" s="73">
        <f t="shared" si="4"/>
        <v>10</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Advanced Probe Drones: 500 Probes</v>
      </c>
      <c r="C49" s="4">
        <f>IF(MAX(F:F)&lt;47,"",INDEX(F:J,MATCH(47,F:F,0),4))</f>
        <v>100</v>
      </c>
      <c r="D49" s="4">
        <f>IF(MAX(F:F)&lt;47,"",INDEX(F:J,MATCH(47,F:F,0),5))</f>
        <v>80000000</v>
      </c>
      <c r="E49" s="73">
        <f t="shared" si="4"/>
        <v>10</v>
      </c>
      <c r="F49" s="73" t="str">
        <f t="shared" si="5"/>
        <v/>
      </c>
      <c r="G49" s="397"/>
      <c r="H49" s="12" t="str">
        <f>'5-Bridge'!$S$58</f>
        <v/>
      </c>
      <c r="J49" s="265">
        <f>SUM('5-Bridge'!F27,'5-Bridge'!F30)</f>
        <v>0</v>
      </c>
    </row>
    <row r="50" spans="1:10" ht="16">
      <c r="A50" s="400" t="str">
        <f>IF(MAX(F:F)&lt;48,"",IF(INDEX(F:J,MATCH(48,F:F,0),2)=0,"",INDEX(F:J,MATCH(48,F:F,0),2)))</f>
        <v/>
      </c>
      <c r="B50" s="463" t="str">
        <f>IF(MAX(F:F)&lt;48,"",INDEX(F:J,MATCH(48,F:F,0),3))</f>
        <v>Mining Drones: 125D Tons/Day</v>
      </c>
      <c r="C50" s="4">
        <f>IF(MAX(F:F)&lt;48,"",INDEX(F:J,MATCH(48,F:F,0),4))</f>
        <v>250</v>
      </c>
      <c r="D50" s="4">
        <f>IF(MAX(F:F)&lt;48,"",INDEX(F:J,MATCH(48,F:F,0),5))</f>
        <v>25000000</v>
      </c>
      <c r="E50" s="73">
        <f t="shared" si="4"/>
        <v>10</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Repair Drones</v>
      </c>
      <c r="C51" s="4">
        <f>IF(MAX(F:F)&lt;49,"",INDEX(F:J,MATCH(49,F:F,0),4))</f>
        <v>100</v>
      </c>
      <c r="D51" s="4">
        <f>IF(MAX(F:F)&lt;49,"",INDEX(F:J,MATCH(49,F:F,0),5))</f>
        <v>20000000</v>
      </c>
      <c r="E51" s="73">
        <f t="shared" si="4"/>
        <v>10</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
      </c>
      <c r="B52" s="463" t="str">
        <f>IF(MAX(F:F)&lt;50,"",INDEX(F:J,MATCH(50,F:F,0),3))</f>
        <v>Fuel Scoop Included Free w/ Streamlining</v>
      </c>
      <c r="C52" s="4">
        <f>IF(MAX(F:F)&lt;50,"",INDEX(F:J,MATCH(50,F:F,0),4))</f>
        <v>0</v>
      </c>
      <c r="D52" s="4">
        <f>IF(MAX(F:F)&lt;50,"",INDEX(F:J,MATCH(50,F:F,0),5))</f>
        <v>0</v>
      </c>
      <c r="E52" s="73">
        <f t="shared" si="4"/>
        <v>11</v>
      </c>
      <c r="F52" s="73">
        <f t="shared" si="5"/>
        <v>11</v>
      </c>
      <c r="G52" s="401" t="str">
        <f>IF(H52="","","Computer")</f>
        <v>Computer</v>
      </c>
      <c r="H52" s="391" t="str">
        <f>'6-Comp'!$B$9&amp;IF('6-Comp'!$B$10='6-Comp'!$S$21,""," /bis")&amp;IF('6-Comp'!$B$11='6-Comp'!$S$21,"","/fib")</f>
        <v>Core/ 90</v>
      </c>
      <c r="I52" s="237"/>
      <c r="J52" s="387">
        <f>SUM('6-Comp'!F9:F11)</f>
        <v>120000000</v>
      </c>
    </row>
    <row r="53" spans="1:10" ht="16">
      <c r="A53" s="400" t="str">
        <f>IF(MAX(F:F)&lt;51,"",IF(INDEX(F:J,MATCH(51,F:F,0),2)=0,"",INDEX(F:J,MATCH(51,F:F,0),2)))</f>
        <v/>
      </c>
      <c r="B53" s="463" t="str">
        <f>IF(MAX(F:F)&lt;51,"",INDEX(F:J,MATCH(51,F:F,0),3))</f>
        <v>Fuel Processor 4000 Tons Per Day</v>
      </c>
      <c r="C53" s="4">
        <f>IF(MAX(F:F)&lt;51,"",INDEX(F:J,MATCH(51,F:F,0),4))</f>
        <v>200</v>
      </c>
      <c r="D53" s="4">
        <f>IF(MAX(F:F)&lt;51,"",INDEX(F:J,MATCH(51,F:F,0),5))</f>
        <v>10000000</v>
      </c>
      <c r="E53" s="73">
        <f t="shared" si="4"/>
        <v>11</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
      </c>
      <c r="B54" s="463" t="str">
        <f>IF(MAX(F:F)&lt;52,"",INDEX(F:J,MATCH(52,F:F,0),3))</f>
        <v xml:space="preserve">100x 2 ton Airlock </v>
      </c>
      <c r="C54" s="4">
        <f>IF(MAX(F:F)&lt;52,"",INDEX(F:J,MATCH(52,F:F,0),4))</f>
        <v>0</v>
      </c>
      <c r="D54" s="4">
        <f>IF(MAX(F:F)&lt;52,"",INDEX(F:J,MATCH(52,F:F,0),5))</f>
        <v>0</v>
      </c>
      <c r="E54" s="73">
        <f t="shared" si="4"/>
        <v>12</v>
      </c>
      <c r="F54" s="73">
        <f t="shared" si="5"/>
        <v>12</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3x Briefing Room</v>
      </c>
      <c r="C55" s="4">
        <f>IF(MAX(F:F)&lt;53,"",INDEX(F:J,MATCH(53,F:F,0),4))</f>
        <v>12</v>
      </c>
      <c r="D55" s="4">
        <f>IF(MAX(F:F)&lt;53,"",INDEX(F:J,MATCH(53,F:F,0),5))</f>
        <v>1500000</v>
      </c>
      <c r="E55" s="73">
        <f t="shared" si="4"/>
        <v>13</v>
      </c>
      <c r="F55" s="73">
        <f t="shared" si="5"/>
        <v>13</v>
      </c>
      <c r="G55" s="397"/>
      <c r="H55" s="12" t="str">
        <f>'6-Comp'!B35</f>
        <v>Manoeuvre/0</v>
      </c>
      <c r="J55" s="265"/>
    </row>
    <row r="56" spans="1:10" ht="16">
      <c r="A56" s="400" t="str">
        <f>IF(MAX(F:F)&lt;54,"",IF(INDEX(F:J,MATCH(54,F:F,0),2)=0,"",INDEX(F:J,MATCH(54,F:F,0),2)))</f>
        <v/>
      </c>
      <c r="B56" s="463" t="str">
        <f>IF(MAX(F:F)&lt;54,"",INDEX(F:J,MATCH(54,F:F,0),3))</f>
        <v>Laboratory for 18 Scientists</v>
      </c>
      <c r="C56" s="4">
        <f>IF(MAX(F:F)&lt;54,"",INDEX(F:J,MATCH(54,F:F,0),4))</f>
        <v>72</v>
      </c>
      <c r="D56" s="4">
        <f>IF(MAX(F:F)&lt;54,"",INDEX(F:J,MATCH(54,F:F,0),5))</f>
        <v>18000000</v>
      </c>
      <c r="E56" s="73">
        <f t="shared" si="4"/>
        <v>14</v>
      </c>
      <c r="F56" s="73">
        <f t="shared" si="5"/>
        <v>14</v>
      </c>
      <c r="G56" s="397"/>
      <c r="H56" s="12" t="str">
        <f>'6-Comp'!B31</f>
        <v>Intellect</v>
      </c>
      <c r="J56" s="265"/>
    </row>
    <row r="57" spans="1:10" ht="16">
      <c r="A57" s="400" t="str">
        <f>IF(MAX(F:F)&lt;55,"",IF(INDEX(F:J,MATCH(55,F:F,0),2)=0,"",INDEX(F:J,MATCH(55,F:F,0),2)))</f>
        <v/>
      </c>
      <c r="B57" s="463" t="str">
        <f>IF(MAX(F:F)&lt;55,"",INDEX(F:J,MATCH(55,F:F,0),3))</f>
        <v>3x Library</v>
      </c>
      <c r="C57" s="4">
        <f>IF(MAX(F:F)&lt;55,"",INDEX(F:J,MATCH(55,F:F,0),4))</f>
        <v>12</v>
      </c>
      <c r="D57" s="4">
        <f>IF(MAX(F:F)&lt;55,"",INDEX(F:J,MATCH(55,F:F,0),5))</f>
        <v>12000000</v>
      </c>
      <c r="E57" s="73">
        <f t="shared" si="4"/>
        <v>14</v>
      </c>
      <c r="F57" s="73" t="str">
        <f t="shared" si="5"/>
        <v/>
      </c>
      <c r="G57" s="397"/>
      <c r="H57" s="12" t="str">
        <f>'6-Comp'!B21</f>
        <v/>
      </c>
      <c r="J57" s="265">
        <f>'6-Comp'!F21</f>
        <v>0</v>
      </c>
    </row>
    <row r="58" spans="1:10" ht="16">
      <c r="A58" s="400" t="str">
        <f>IF(MAX(F:F)&lt;56,"",IF(INDEX(F:J,MATCH(56,F:F,0),2)=0,"",INDEX(F:J,MATCH(56,F:F,0),2)))</f>
        <v/>
      </c>
      <c r="B58" s="463" t="str">
        <f>IF(MAX(F:F)&lt;56,"",INDEX(F:J,MATCH(56,F:F,0),3))</f>
        <v>12x Medical Bay</v>
      </c>
      <c r="C58" s="4">
        <f>IF(MAX(F:F)&lt;56,"",INDEX(F:J,MATCH(56,F:F,0),4))</f>
        <v>48</v>
      </c>
      <c r="D58" s="4">
        <f>IF(MAX(F:F)&lt;56,"",INDEX(F:J,MATCH(56,F:F,0),5))</f>
        <v>24000000</v>
      </c>
      <c r="E58" s="73">
        <f t="shared" si="4"/>
        <v>14</v>
      </c>
      <c r="F58" s="73" t="str">
        <f t="shared" si="5"/>
        <v/>
      </c>
      <c r="G58" s="397"/>
      <c r="H58" s="12" t="str">
        <f>'6-Comp'!B22</f>
        <v/>
      </c>
      <c r="J58" s="265">
        <f>'6-Comp'!F22</f>
        <v>0</v>
      </c>
    </row>
    <row r="59" spans="1:10" ht="16">
      <c r="A59" s="400" t="str">
        <f>IF(MAX(F:F)&lt;57,"",IF(INDEX(F:J,MATCH(57,F:F,0),2)=0,"",INDEX(F:J,MATCH(57,F:F,0),2)))</f>
        <v/>
      </c>
      <c r="B59" s="463" t="str">
        <f>IF(MAX(F:F)&lt;57,"",INDEX(F:J,MATCH(57,F:F,0),3))</f>
        <v xml:space="preserve">Training Facility: 12 person capacity </v>
      </c>
      <c r="C59" s="4">
        <f>IF(MAX(F:F)&lt;57,"",INDEX(F:J,MATCH(57,F:F,0),4))</f>
        <v>24</v>
      </c>
      <c r="D59" s="4">
        <f>IF(MAX(F:F)&lt;57,"",INDEX(F:J,MATCH(57,F:F,0),5))</f>
        <v>4800000</v>
      </c>
      <c r="E59" s="73">
        <f t="shared" si="4"/>
        <v>15</v>
      </c>
      <c r="F59" s="73">
        <f t="shared" si="5"/>
        <v>15</v>
      </c>
      <c r="G59" s="397"/>
      <c r="H59" s="12" t="str">
        <f>'6-Comp'!B23</f>
        <v>Auto-Repair/1</v>
      </c>
      <c r="J59" s="265">
        <f>'6-Comp'!F23</f>
        <v>5000000</v>
      </c>
    </row>
    <row r="60" spans="1:10" ht="16">
      <c r="A60" s="400" t="str">
        <f>IF(MAX(F:F)&lt;58,"",IF(INDEX(F:J,MATCH(58,F:F,0),2)=0,"",INDEX(F:J,MATCH(58,F:F,0),2)))</f>
        <v/>
      </c>
      <c r="B60" s="463" t="str">
        <f>IF(MAX(F:F)&lt;58,"",INDEX(F:J,MATCH(58,F:F,0),3))</f>
        <v>Basic Gel HMS with 2 Gel Connections</v>
      </c>
      <c r="C60" s="4">
        <f>IF(MAX(F:F)&lt;58,"",INDEX(F:J,MATCH(58,F:F,0),4))</f>
        <v>4</v>
      </c>
      <c r="D60" s="4">
        <f>IF(MAX(F:F)&lt;58,"",INDEX(F:J,MATCH(58,F:F,0),5))</f>
        <v>2000000</v>
      </c>
      <c r="E60" s="73">
        <f t="shared" si="4"/>
        <v>15</v>
      </c>
      <c r="F60" s="73" t="str">
        <f t="shared" si="5"/>
        <v/>
      </c>
      <c r="G60" s="397"/>
      <c r="H60" s="12" t="str">
        <f>'6-Comp'!B24</f>
        <v/>
      </c>
      <c r="J60" s="265">
        <f>'6-Comp'!F24</f>
        <v>0</v>
      </c>
    </row>
    <row r="61" spans="1:10" ht="16">
      <c r="A61" s="400" t="str">
        <f>IF(MAX(F:F)&lt;59,"",IF(INDEX(F:J,MATCH(59,F:F,0),2)=0,"",INDEX(F:J,MATCH(59,F:F,0),2)))</f>
        <v/>
      </c>
      <c r="B61" s="463" t="str">
        <f>IF(MAX(F:F)&lt;59,"",INDEX(F:J,MATCH(59,F:F,0),3))</f>
        <v>Standard Heat Management Gel: 40 Heat Cap</v>
      </c>
      <c r="C61" s="4">
        <f>IF(MAX(F:F)&lt;59,"",INDEX(F:J,MATCH(59,F:F,0),4))</f>
        <v>6</v>
      </c>
      <c r="D61" s="4">
        <f>IF(MAX(F:F)&lt;59,"",INDEX(F:J,MATCH(59,F:F,0),5))</f>
        <v>300000</v>
      </c>
      <c r="E61" s="73">
        <f t="shared" si="4"/>
        <v>15</v>
      </c>
      <c r="F61" s="73" t="str">
        <f t="shared" si="5"/>
        <v/>
      </c>
      <c r="G61" s="397"/>
      <c r="H61" s="12" t="str">
        <f>'6-Comp'!B25</f>
        <v/>
      </c>
      <c r="J61" s="265">
        <f>'6-Comp'!F25</f>
        <v>0</v>
      </c>
    </row>
    <row r="62" spans="1:10" ht="16">
      <c r="A62" s="400" t="str">
        <f>IF(MAX(F:F)&lt;60,"",IF(INDEX(F:J,MATCH(60,F:F,0),2)=0,"",INDEX(F:J,MATCH(60,F:F,0),2)))</f>
        <v/>
      </c>
      <c r="B62" s="463" t="str">
        <f>IF(MAX(F:F)&lt;60,"",INDEX(F:J,MATCH(60,F:F,0),3))</f>
        <v>3x 100L Enhanced Fabricators</v>
      </c>
      <c r="C62" s="4">
        <f>IF(MAX(F:F)&lt;60,"",INDEX(F:J,MATCH(60,F:F,0),4))</f>
        <v>0</v>
      </c>
      <c r="D62" s="4">
        <f>IF(MAX(F:F)&lt;60,"",INDEX(F:J,MATCH(60,F:F,0),5))</f>
        <v>13500000</v>
      </c>
      <c r="E62" s="73">
        <f t="shared" si="4"/>
        <v>15</v>
      </c>
      <c r="F62" s="73" t="str">
        <f t="shared" si="5"/>
        <v/>
      </c>
      <c r="G62" s="397"/>
      <c r="H62" s="12" t="str">
        <f>'6-Comp'!B26</f>
        <v/>
      </c>
      <c r="J62" s="265">
        <f>'6-Comp'!F26</f>
        <v>0</v>
      </c>
    </row>
    <row r="63" spans="1:10" ht="16">
      <c r="A63" s="400" t="str">
        <f>IF(MAX(F:F)&lt;61,"",IF(INDEX(F:J,MATCH(61,F:F,0),2)=0,"",INDEX(F:J,MATCH(61,F:F,0),2)))</f>
        <v/>
      </c>
      <c r="B63" s="463" t="str">
        <f>IF(MAX(F:F)&lt;61,"",INDEX(F:J,MATCH(61,F:F,0),3))</f>
        <v>3x 150L Enhanced Deconstructors</v>
      </c>
      <c r="C63" s="4">
        <f>IF(MAX(F:F)&lt;61,"",INDEX(F:J,MATCH(61,F:F,0),4))</f>
        <v>0</v>
      </c>
      <c r="D63" s="4">
        <f>IF(MAX(F:F)&lt;61,"",INDEX(F:J,MATCH(61,F:F,0),5))</f>
        <v>27000000.000003003</v>
      </c>
      <c r="E63" s="73">
        <f t="shared" si="4"/>
        <v>15</v>
      </c>
      <c r="F63" s="73" t="str">
        <f t="shared" si="5"/>
        <v/>
      </c>
      <c r="G63" s="397"/>
      <c r="H63" s="12" t="str">
        <f>'6-Comp'!B27</f>
        <v/>
      </c>
      <c r="J63" s="265">
        <f>'6-Comp'!F27</f>
        <v>0</v>
      </c>
    </row>
    <row r="64" spans="1:10" ht="16">
      <c r="A64" s="400" t="str">
        <f>IF(MAX(F:F)&lt;62,"",IF(INDEX(F:J,MATCH(62,F:F,0),2)=0,"",INDEX(F:J,MATCH(62,F:F,0),2)))</f>
        <v>Research Facilities</v>
      </c>
      <c r="B64" s="463" t="str">
        <f>IF(MAX(F:F)&lt;62,"",INDEX(F:J,MATCH(62,F:F,0),3))</f>
        <v>1x Chart Room</v>
      </c>
      <c r="C64" s="4">
        <f>IF(MAX(F:F)&lt;62,"",INDEX(F:J,MATCH(62,F:F,0),4))</f>
        <v>16</v>
      </c>
      <c r="D64" s="4">
        <f>IF(MAX(F:F)&lt;62,"",INDEX(F:J,MATCH(62,F:F,0),5))</f>
        <v>1250000</v>
      </c>
      <c r="E64" s="73">
        <f t="shared" si="4"/>
        <v>15</v>
      </c>
      <c r="F64" s="73" t="str">
        <f t="shared" si="5"/>
        <v/>
      </c>
      <c r="G64" s="397"/>
      <c r="H64" s="12" t="str">
        <f>'6-Comp'!B28</f>
        <v/>
      </c>
      <c r="J64" s="265">
        <f>'6-Comp'!F28</f>
        <v>0</v>
      </c>
    </row>
    <row r="65" spans="1:10" ht="16">
      <c r="A65" s="400" t="str">
        <f>IF(MAX(F:F)&lt;63,"",IF(INDEX(F:J,MATCH(63,F:F,0),2)=0,"",INDEX(F:J,MATCH(63,F:F,0),2)))</f>
        <v/>
      </c>
      <c r="B65" s="463" t="str">
        <f>IF(MAX(F:F)&lt;63,"",INDEX(F:J,MATCH(63,F:F,0),3))</f>
        <v>1x Advanced Small Observatory</v>
      </c>
      <c r="C65" s="4">
        <f>IF(MAX(F:F)&lt;63,"",INDEX(F:J,MATCH(63,F:F,0),4))</f>
        <v>100</v>
      </c>
      <c r="D65" s="4">
        <f>IF(MAX(F:F)&lt;63,"",INDEX(F:J,MATCH(63,F:F,0),5))</f>
        <v>125000000</v>
      </c>
      <c r="E65" s="73">
        <f t="shared" si="4"/>
        <v>15</v>
      </c>
      <c r="F65" s="73" t="str">
        <f t="shared" si="5"/>
        <v/>
      </c>
      <c r="G65" s="397"/>
      <c r="H65" s="12" t="str">
        <f>'6-Comp'!B29</f>
        <v/>
      </c>
      <c r="J65" s="265">
        <f>'6-Comp'!F29</f>
        <v>0</v>
      </c>
    </row>
    <row r="66" spans="1:10" ht="16">
      <c r="A66" s="400" t="str">
        <f>IF(MAX(F:F)&lt;64,"",IF(INDEX(F:J,MATCH(64,F:F,0),2)=0,"",INDEX(F:J,MATCH(64,F:F,0),2)))</f>
        <v/>
      </c>
      <c r="B66" s="463" t="str">
        <f>IF(MAX(F:F)&lt;64,"",INDEX(F:J,MATCH(64,F:F,0),3))</f>
        <v>Scientific Operations Suite  For 16 Scientists</v>
      </c>
      <c r="C66" s="4">
        <f>IF(MAX(F:F)&lt;64,"",INDEX(F:J,MATCH(64,F:F,0),4))</f>
        <v>48</v>
      </c>
      <c r="D66" s="4">
        <f>IF(MAX(F:F)&lt;64,"",INDEX(F:J,MATCH(64,F:F,0),5))</f>
        <v>38400000</v>
      </c>
      <c r="E66" s="73">
        <f t="shared" si="4"/>
        <v>15</v>
      </c>
      <c r="F66" s="73" t="str">
        <f t="shared" si="5"/>
        <v/>
      </c>
      <c r="G66" s="397"/>
      <c r="H66" s="12" t="str">
        <f>'6-Comp'!B30</f>
        <v/>
      </c>
      <c r="J66" s="265">
        <f>'6-Comp'!F30</f>
        <v>0</v>
      </c>
    </row>
    <row r="67" spans="1:10" ht="16">
      <c r="A67" s="400" t="str">
        <f>IF(MAX(F:F)&lt;65,"",IF(INDEX(F:J,MATCH(65,F:F,0),2)=0,"",INDEX(F:J,MATCH(65,F:F,0),2)))</f>
        <v>Staterooms</v>
      </c>
      <c r="B67" s="463" t="str">
        <f>IF(MAX(F:F)&lt;65,"",INDEX(F:J,MATCH(65,F:F,0),3))</f>
        <v>6x Middle Staterooms - Single</v>
      </c>
      <c r="C67" s="4">
        <f>IF(MAX(F:F)&lt;65,"",INDEX(F:J,MATCH(65,F:F,0),4))</f>
        <v>24</v>
      </c>
      <c r="D67" s="4">
        <f>IF(MAX(F:F)&lt;65,"",INDEX(F:J,MATCH(65,F:F,0),5))</f>
        <v>3000000</v>
      </c>
      <c r="E67" s="73">
        <f t="shared" si="4"/>
        <v>16</v>
      </c>
      <c r="F67" s="73">
        <f t="shared" si="5"/>
        <v>16</v>
      </c>
      <c r="G67" s="397"/>
      <c r="H67" s="12" t="str">
        <f>'6-Comp'!B32&amp;IF(SUM('2-Drives'!E28:E30)&lt;0," Prototype","")</f>
        <v>Jump Control/4</v>
      </c>
      <c r="J67" s="265">
        <f>'6-Comp'!F32</f>
        <v>0</v>
      </c>
    </row>
    <row r="68" spans="1:10" ht="16">
      <c r="A68" s="400" t="str">
        <f>IF(MAX(F:F)&lt;66,"",IF(INDEX(F:J,MATCH(66,F:F,0),2)=0,"",INDEX(F:J,MATCH(66,F:F,0),2)))</f>
        <v/>
      </c>
      <c r="B68" s="463" t="str">
        <f>IF(MAX(F:F)&lt;66,"",INDEX(F:J,MATCH(66,F:F,0),3))</f>
        <v>48x Middle Staterooms - Double</v>
      </c>
      <c r="C68" s="4">
        <f>IF(MAX(F:F)&lt;66,"",INDEX(F:J,MATCH(66,F:F,0),4))</f>
        <v>192</v>
      </c>
      <c r="D68" s="4">
        <f>IF(MAX(F:F)&lt;66,"",INDEX(F:J,MATCH(66,F:F,0),5))</f>
        <v>24000000</v>
      </c>
      <c r="E68" s="73">
        <f t="shared" si="4"/>
        <v>16</v>
      </c>
      <c r="F68" s="73" t="str">
        <f t="shared" si="5"/>
        <v/>
      </c>
      <c r="G68" s="397"/>
      <c r="H68" s="12" t="str">
        <f>'6-Comp'!B33</f>
        <v/>
      </c>
      <c r="J68" s="265">
        <f>'6-Comp'!F33</f>
        <v>0</v>
      </c>
    </row>
    <row r="69" spans="1:10" ht="16">
      <c r="A69" s="400" t="str">
        <f>IF(MAX(F:F)&lt;67,"",IF(INDEX(F:J,MATCH(67,F:F,0),2)=0,"",INDEX(F:J,MATCH(67,F:F,0),2)))</f>
        <v>Entertainment</v>
      </c>
      <c r="B69" s="463" t="str">
        <f>IF(MAX(F:F)&lt;67,"",INDEX(F:J,MATCH(67,F:F,0),3))</f>
        <v>Gourmet Kitchen: 33 diner capacity</v>
      </c>
      <c r="C69" s="4">
        <f>IF(MAX(F:F)&lt;67,"",INDEX(F:J,MATCH(67,F:F,0),4))</f>
        <v>33</v>
      </c>
      <c r="D69" s="4">
        <f>IF(MAX(F:F)&lt;67,"",INDEX(F:J,MATCH(67,F:F,0),5))</f>
        <v>6600000</v>
      </c>
      <c r="E69" s="73">
        <f t="shared" ref="E69:E132" si="6">IF(H69="",E68,E68+1)</f>
        <v>16</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Hot Tub: Seating for 12</v>
      </c>
      <c r="C70" s="4">
        <f>IF(MAX(F:F)&lt;68,"",INDEX(F:J,MATCH(68,F:F,0),4))</f>
        <v>3</v>
      </c>
      <c r="D70" s="4">
        <f>IF(MAX(F:F)&lt;68,"",INDEX(F:J,MATCH(68,F:F,0),5))</f>
        <v>36000</v>
      </c>
      <c r="E70" s="73">
        <f t="shared" si="6"/>
        <v>16</v>
      </c>
      <c r="F70" s="73" t="str">
        <f t="shared" si="7"/>
        <v/>
      </c>
      <c r="G70" s="397"/>
      <c r="H70" s="12" t="str">
        <f>'6-Comp'!B37</f>
        <v/>
      </c>
      <c r="J70" s="265">
        <f>'6-Comp'!F37</f>
        <v>0</v>
      </c>
    </row>
    <row r="71" spans="1:10" ht="16">
      <c r="A71" s="400" t="str">
        <f>IF(MAX(F:F)&lt;69,"",IF(INDEX(F:J,MATCH(69,F:F,0),2)=0,"",INDEX(F:J,MATCH(69,F:F,0),2)))</f>
        <v/>
      </c>
      <c r="B71" s="463" t="str">
        <f>IF(MAX(F:F)&lt;69,"",INDEX(F:J,MATCH(69,F:F,0),3))</f>
        <v>Basic Theater</v>
      </c>
      <c r="C71" s="4">
        <f>IF(MAX(F:F)&lt;69,"",INDEX(F:J,MATCH(69,F:F,0),4))</f>
        <v>12</v>
      </c>
      <c r="D71" s="4">
        <f>IF(MAX(F:F)&lt;69,"",INDEX(F:J,MATCH(69,F:F,0),5))</f>
        <v>1200000</v>
      </c>
      <c r="E71" s="73">
        <f t="shared" si="6"/>
        <v>16</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Advanced Theater</v>
      </c>
      <c r="C72" s="4">
        <f>IF(MAX(F:F)&lt;70,"",INDEX(F:J,MATCH(70,F:F,0),4))</f>
        <v>8</v>
      </c>
      <c r="D72" s="4">
        <f>IF(MAX(F:F)&lt;70,"",INDEX(F:J,MATCH(70,F:F,0),5))</f>
        <v>1600000</v>
      </c>
      <c r="E72" s="73">
        <f t="shared" si="6"/>
        <v>17</v>
      </c>
      <c r="F72" s="73">
        <f t="shared" si="7"/>
        <v>17</v>
      </c>
      <c r="G72" s="397"/>
      <c r="H72" s="12" t="str">
        <f>IF('6-Comp'!B41=0,"",'6-Comp'!B40&amp;" Gunners: "&amp;'6-Comp'!B41)</f>
        <v>Virtual Gunner/0 Gunners: 7</v>
      </c>
      <c r="J72" s="265">
        <f>IF('6-Comp'!B41=0,0,'6-Comp'!F40)</f>
        <v>1000000</v>
      </c>
    </row>
    <row r="73" spans="1:10" ht="16">
      <c r="A73" s="400" t="str">
        <f>IF(MAX(F:F)&lt;71,"",IF(INDEX(F:J,MATCH(71,F:F,0),2)=0,"",INDEX(F:J,MATCH(71,F:F,0),2)))</f>
        <v/>
      </c>
      <c r="B73" s="463" t="str">
        <f>IF(MAX(F:F)&lt;71,"",INDEX(F:J,MATCH(71,F:F,0),3))</f>
        <v>Zero-G Room</v>
      </c>
      <c r="C73" s="4">
        <f>IF(MAX(F:F)&lt;71,"",INDEX(F:J,MATCH(71,F:F,0),4))</f>
        <v>12</v>
      </c>
      <c r="D73" s="4">
        <f>IF(MAX(F:F)&lt;71,"",INDEX(F:J,MATCH(71,F:F,0),5))</f>
        <v>50000</v>
      </c>
      <c r="E73" s="73">
        <f t="shared" si="6"/>
        <v>17</v>
      </c>
      <c r="F73" s="73" t="str">
        <f t="shared" si="7"/>
        <v/>
      </c>
      <c r="G73" s="397"/>
      <c r="H73" s="12" t="str">
        <f>IF('6-Comp'!C42=0,"",'6-Comp'!A42&amp;" "&amp;'6-Comp'!I42)</f>
        <v/>
      </c>
      <c r="J73" s="265">
        <f>'6-Comp'!F42</f>
        <v>0</v>
      </c>
    </row>
    <row r="74" spans="1:10" ht="16">
      <c r="A74" s="400" t="str">
        <f>IF(MAX(F:F)&lt;72,"",IF(INDEX(F:J,MATCH(72,F:F,0),2)=0,"",INDEX(F:J,MATCH(72,F:F,0),2)))</f>
        <v>Cargo</v>
      </c>
      <c r="B74" s="463" t="str">
        <f>IF(MAX(F:F)&lt;72,"",INDEX(F:J,MATCH(72,F:F,0),3))</f>
        <v>1x 350 Ton Cargo Bay: Primary Cargo Bay</v>
      </c>
      <c r="C74" s="4">
        <f>IF(MAX(F:F)&lt;72,"",INDEX(F:J,MATCH(72,F:F,0),4))</f>
        <v>350</v>
      </c>
      <c r="D74" s="4">
        <f>IF(MAX(F:F)&lt;72,"",INDEX(F:J,MATCH(72,F:F,0),5))</f>
        <v>0</v>
      </c>
      <c r="E74" s="73">
        <f t="shared" si="6"/>
        <v>18</v>
      </c>
      <c r="F74" s="73">
        <f t="shared" si="7"/>
        <v>18</v>
      </c>
      <c r="G74" s="397"/>
      <c r="H74" s="12" t="str">
        <f>IF('6-Comp'!B44='6-Comp'!S97,"",'6-Comp'!A44)</f>
        <v>Jump Filter</v>
      </c>
      <c r="J74" s="265">
        <f>'6-Comp'!F44</f>
        <v>5000000</v>
      </c>
    </row>
    <row r="75" spans="1:10" ht="16">
      <c r="A75" s="400" t="str">
        <f>IF(MAX(F:F)&lt;73,"",IF(INDEX(F:J,MATCH(73,F:F,0),2)=0,"",INDEX(F:J,MATCH(73,F:F,0),2)))</f>
        <v/>
      </c>
      <c r="B75" s="463" t="str">
        <f>IF(MAX(F:F)&lt;73,"",INDEX(F:J,MATCH(73,F:F,0),3))</f>
        <v xml:space="preserve">1x Cargo Crane </v>
      </c>
      <c r="C75" s="4">
        <f>IF(MAX(F:F)&lt;73,"",INDEX(F:J,MATCH(73,F:F,0),4))</f>
        <v>4</v>
      </c>
      <c r="D75" s="4">
        <f>IF(MAX(F:F)&lt;73,"",INDEX(F:J,MATCH(73,F:F,0),5))</f>
        <v>4000000</v>
      </c>
      <c r="E75" s="73">
        <f t="shared" si="6"/>
        <v>19</v>
      </c>
      <c r="F75" s="73">
        <f t="shared" si="7"/>
        <v>19</v>
      </c>
      <c r="G75" s="397"/>
      <c r="H75" s="12" t="str">
        <f>IF('6-Comp'!B48="","",'6-Comp'!B48)</f>
        <v>Science (General)</v>
      </c>
      <c r="J75" s="265">
        <f>'6-Comp'!F48</f>
        <v>25000000</v>
      </c>
    </row>
    <row r="76" spans="1:10" ht="16">
      <c r="A76" s="400" t="str">
        <f>IF(MAX(F:F)&lt;74,"",IF(INDEX(F:J,MATCH(74,F:F,0),2)=0,"",INDEX(F:J,MATCH(74,F:F,0),2)))</f>
        <v/>
      </c>
      <c r="B76" s="463" t="str">
        <f>IF(MAX(F:F)&lt;74,"",INDEX(F:J,MATCH(74,F:F,0),3))</f>
        <v xml:space="preserve">5x  Standard Loading Belts </v>
      </c>
      <c r="C76" s="4">
        <f>IF(MAX(F:F)&lt;74,"",INDEX(F:J,MATCH(74,F:F,0),4))</f>
        <v>5</v>
      </c>
      <c r="D76" s="4">
        <f>IF(MAX(F:F)&lt;74,"",INDEX(F:J,MATCH(74,F:F,0),5))</f>
        <v>15000</v>
      </c>
      <c r="E76" s="73">
        <f t="shared" si="6"/>
        <v>20</v>
      </c>
      <c r="F76" s="73">
        <f t="shared" si="7"/>
        <v>20</v>
      </c>
      <c r="G76" s="397"/>
      <c r="H76" s="12" t="str">
        <f>IF('6-Comp'!B49="","",'6-Comp'!B49&amp;", "&amp;'6-Comp'!C49&amp;" Iteration(s)")</f>
        <v>Science (Specific), 3 Iteration(s)</v>
      </c>
      <c r="J76" s="265">
        <f>'6-Comp'!F49</f>
        <v>60000000</v>
      </c>
    </row>
    <row r="77" spans="1:10" ht="16">
      <c r="A77" s="400" t="str">
        <f>IF(MAX(F:F)&lt;75,"",IF(INDEX(F:J,MATCH(75,F:F,0),2)=0,"",INDEX(F:J,MATCH(75,F:F,0),2)))</f>
        <v/>
      </c>
      <c r="B77" s="463" t="str">
        <f>IF(MAX(F:F)&lt;75,"",INDEX(F:J,MATCH(75,F:F,0),3))</f>
        <v>Armored Bulkhead for 1x 350 Ton Cargo Bay: Primary Cargo Bay</v>
      </c>
      <c r="C77" s="4">
        <f>IF(MAX(F:F)&lt;75,"",INDEX(F:J,MATCH(75,F:F,0),4))</f>
        <v>35.9</v>
      </c>
      <c r="D77" s="4">
        <f>IF(MAX(F:F)&lt;75,"",INDEX(F:J,MATCH(75,F:F,0),5))</f>
        <v>7180000</v>
      </c>
      <c r="E77" s="73">
        <f t="shared" si="6"/>
        <v>21</v>
      </c>
      <c r="F77" s="73">
        <f t="shared" si="7"/>
        <v>21</v>
      </c>
      <c r="G77" s="397"/>
      <c r="H77" s="12" t="str">
        <f>IF('6-Comp'!B50="","",'6-Comp'!B50&amp;", "&amp;'6-Comp'!C50&amp;" Iteration(s)")</f>
        <v>Mentor/1, 3 Iteration(s)</v>
      </c>
      <c r="J77" s="265">
        <f>'6-Comp'!F50</f>
        <v>6000000</v>
      </c>
    </row>
    <row r="78" spans="1:10" ht="16">
      <c r="A78" s="400" t="str">
        <f>IF(MAX(F:F)&lt;76,"",IF(INDEX(F:J,MATCH(76,F:F,0),2)=0,"",INDEX(F:J,MATCH(76,F:F,0),2)))</f>
        <v/>
      </c>
      <c r="B78" s="463" t="str">
        <f>IF(MAX(F:F)&lt;76,"",INDEX(F:J,MATCH(76,F:F,0),3))</f>
        <v>1x 300 Ton Cargo Bay: Biological Containment Bay</v>
      </c>
      <c r="C78" s="4">
        <f>IF(MAX(F:F)&lt;76,"",INDEX(F:J,MATCH(76,F:F,0),4))</f>
        <v>300</v>
      </c>
      <c r="D78" s="4">
        <f>IF(MAX(F:F)&lt;76,"",INDEX(F:J,MATCH(76,F:F,0),5))</f>
        <v>0</v>
      </c>
      <c r="E78" s="73">
        <f t="shared" si="6"/>
        <v>22</v>
      </c>
      <c r="F78" s="73">
        <f t="shared" si="7"/>
        <v>22</v>
      </c>
      <c r="G78" s="397"/>
      <c r="H78" s="12" t="str">
        <f>IF('6-Comp'!B51="","",'6-Comp'!B51&amp;", "&amp;'6-Comp'!C51&amp;" Iteration(s)")</f>
        <v>Research Assist/1, 3 Iteration(s)</v>
      </c>
      <c r="J78" s="265">
        <f>'6-Comp'!F51</f>
        <v>6000000</v>
      </c>
    </row>
    <row r="79" spans="1:10" ht="16">
      <c r="A79" s="400" t="str">
        <f>IF(MAX(F:F)&lt;77,"",IF(INDEX(F:J,MATCH(77,F:F,0),2)=0,"",INDEX(F:J,MATCH(77,F:F,0),2)))</f>
        <v/>
      </c>
      <c r="B79" s="463" t="str">
        <f>IF(MAX(F:F)&lt;77,"",INDEX(F:J,MATCH(77,F:F,0),3))</f>
        <v xml:space="preserve">1x Cargo Crane </v>
      </c>
      <c r="C79" s="4">
        <f>IF(MAX(F:F)&lt;77,"",INDEX(F:J,MATCH(77,F:F,0),4))</f>
        <v>3.5</v>
      </c>
      <c r="D79" s="4">
        <f>IF(MAX(F:F)&lt;77,"",INDEX(F:J,MATCH(77,F:F,0),5))</f>
        <v>3500000</v>
      </c>
      <c r="E79" s="73">
        <f t="shared" si="6"/>
        <v>22</v>
      </c>
      <c r="F79" s="73" t="str">
        <f t="shared" si="7"/>
        <v/>
      </c>
      <c r="G79" s="397"/>
      <c r="H79" s="12" t="str">
        <f>IF('6-Comp'!B52="","",'6-Comp'!B52&amp;", "&amp;'6-Comp'!C52&amp;" Iteration(s)")</f>
        <v/>
      </c>
      <c r="J79" s="265">
        <f>'6-Comp'!F52</f>
        <v>0</v>
      </c>
    </row>
    <row r="80" spans="1:10" ht="32">
      <c r="A80" s="400" t="str">
        <f>IF(MAX(F:F)&lt;78,"",IF(INDEX(F:J,MATCH(78,F:F,0),2)=0,"",INDEX(F:J,MATCH(78,F:F,0),2)))</f>
        <v/>
      </c>
      <c r="B80" s="463" t="str">
        <f>IF(MAX(F:F)&lt;78,"",INDEX(F:J,MATCH(78,F:F,0),3))</f>
        <v xml:space="preserve">1x  Standard Loading Belts </v>
      </c>
      <c r="C80" s="4">
        <f>IF(MAX(F:F)&lt;78,"",INDEX(F:J,MATCH(78,F:F,0),4))</f>
        <v>1</v>
      </c>
      <c r="D80" s="4">
        <f>IF(MAX(F:F)&lt;78,"",INDEX(F:J,MATCH(78,F:F,0),5))</f>
        <v>3000</v>
      </c>
      <c r="E80" s="73">
        <f t="shared" si="6"/>
        <v>23</v>
      </c>
      <c r="F80" s="73">
        <f t="shared" si="7"/>
        <v>23</v>
      </c>
      <c r="G80" s="397"/>
      <c r="H80" s="12" t="str">
        <f>IF('6-Comp'!B53="","",'6-Comp'!B53)</f>
        <v>Planetology/1</v>
      </c>
      <c r="J80" s="265">
        <f>'6-Comp'!F53</f>
        <v>1000000</v>
      </c>
    </row>
    <row r="81" spans="1:10" ht="16">
      <c r="A81" s="400" t="str">
        <f>IF(MAX(F:F)&lt;79,"",IF(INDEX(F:J,MATCH(79,F:F,0),2)=0,"",INDEX(F:J,MATCH(79,F:F,0),2)))</f>
        <v/>
      </c>
      <c r="B81" s="463" t="str">
        <f>IF(MAX(F:F)&lt;79,"",INDEX(F:J,MATCH(79,F:F,0),3))</f>
        <v>Armored Bulkhead for 1x 300 Ton Cargo Bay: Biological Containment Bay</v>
      </c>
      <c r="C81" s="4">
        <f>IF(MAX(F:F)&lt;79,"",INDEX(F:J,MATCH(79,F:F,0),4))</f>
        <v>30.450000000000003</v>
      </c>
      <c r="D81" s="4">
        <f>IF(MAX(F:F)&lt;79,"",INDEX(F:J,MATCH(79,F:F,0),5))</f>
        <v>6090000.0000000009</v>
      </c>
      <c r="E81" s="73">
        <f t="shared" si="6"/>
        <v>23</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1x 350 Ton Cargo Bay: Secondary Cargo Bay</v>
      </c>
      <c r="C82" s="4">
        <f>IF(MAX(F:F)&lt;80,"",INDEX(F:J,MATCH(80,F:F,0),4))</f>
        <v>350</v>
      </c>
      <c r="D82" s="4">
        <f>IF(MAX(F:F)&lt;80,"",INDEX(F:J,MATCH(80,F:F,0),5))</f>
        <v>0</v>
      </c>
      <c r="E82" s="73">
        <f t="shared" si="6"/>
        <v>24</v>
      </c>
      <c r="F82" s="73">
        <f t="shared" si="7"/>
        <v>24</v>
      </c>
      <c r="G82" s="401" t="str">
        <f>IF(H82="","","Sensors")</f>
        <v>Sensors</v>
      </c>
      <c r="H82" s="391" t="str">
        <f>IF('7-Sensors'!C8=0,"","Main Sensor Array: "&amp;'7-Sensors'!B8&amp;" x"&amp;'7-Sensors'!C8)&amp;IF(Tech_Level=7," Prototype","")</f>
        <v>Main Sensor Array: Class IV - Improved  x5</v>
      </c>
      <c r="I82" s="237">
        <f>'7-Sensors'!H8</f>
        <v>15</v>
      </c>
      <c r="J82" s="387">
        <f>'7-Sensors'!F8</f>
        <v>21500000</v>
      </c>
    </row>
    <row r="83" spans="1:10" ht="16">
      <c r="A83" s="400" t="str">
        <f>IF(MAX(F:F)&lt;81,"",IF(INDEX(F:J,MATCH(81,F:F,0),2)=0,"",INDEX(F:J,MATCH(81,F:F,0),2)))</f>
        <v/>
      </c>
      <c r="B83" s="463" t="str">
        <f>IF(MAX(F:F)&lt;81,"",INDEX(F:J,MATCH(81,F:F,0),3))</f>
        <v xml:space="preserve">1x Cargo Crane </v>
      </c>
      <c r="C83" s="4">
        <f>IF(MAX(F:F)&lt;81,"",INDEX(F:J,MATCH(81,F:F,0),4))</f>
        <v>4</v>
      </c>
      <c r="D83" s="4">
        <f>IF(MAX(F:F)&lt;81,"",INDEX(F:J,MATCH(81,F:F,0),5))</f>
        <v>4000000</v>
      </c>
      <c r="E83" s="73">
        <f t="shared" si="6"/>
        <v>25</v>
      </c>
      <c r="F83" s="73">
        <f t="shared" si="7"/>
        <v>25</v>
      </c>
      <c r="G83" s="397" t="str">
        <f>IF(H83="","",IF(G82="","Sensors",""))</f>
        <v/>
      </c>
      <c r="H83" s="12" t="str">
        <f>IF(OR('7-Sensors'!B11="None",'7-Sensors'!C11=0),"","Aux Sensor Array: "&amp;'7-Sensors'!B11&amp;" x"&amp;'7-Sensors'!C11)</f>
        <v>Aux Sensor Array: Class III - Military Grade x3</v>
      </c>
      <c r="I83" s="4">
        <f>'7-Sensors'!H11</f>
        <v>6</v>
      </c>
      <c r="J83" s="265">
        <f>'7-Sensors'!F11</f>
        <v>12300000</v>
      </c>
    </row>
    <row r="84" spans="1:10" ht="16">
      <c r="A84" s="400" t="str">
        <f>IF(MAX(F:F)&lt;82,"",IF(INDEX(F:J,MATCH(82,F:F,0),2)=0,"",INDEX(F:J,MATCH(82,F:F,0),2)))</f>
        <v/>
      </c>
      <c r="B84" s="463" t="str">
        <f>IF(MAX(F:F)&lt;82,"",INDEX(F:J,MATCH(82,F:F,0),3))</f>
        <v xml:space="preserve">5x  Standard Loading Belts </v>
      </c>
      <c r="C84" s="4">
        <f>IF(MAX(F:F)&lt;82,"",INDEX(F:J,MATCH(82,F:F,0),4))</f>
        <v>5</v>
      </c>
      <c r="D84" s="4">
        <f>IF(MAX(F:F)&lt;82,"",INDEX(F:J,MATCH(82,F:F,0),5))</f>
        <v>15000</v>
      </c>
      <c r="E84" s="73">
        <f t="shared" si="6"/>
        <v>25</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Armored Bulkhead for 1x 350 Ton Cargo Bay: Secondary Cargo Bay</v>
      </c>
      <c r="C85" s="4">
        <f>IF(MAX(F:F)&lt;83,"",INDEX(F:J,MATCH(83,F:F,0),4))</f>
        <v>35.9</v>
      </c>
      <c r="D85" s="4">
        <f>IF(MAX(F:F)&lt;83,"",INDEX(F:J,MATCH(83,F:F,0),5))</f>
        <v>7180000</v>
      </c>
      <c r="E85" s="73">
        <f t="shared" si="6"/>
        <v>26</v>
      </c>
      <c r="F85" s="73">
        <f t="shared" si="7"/>
        <v>26</v>
      </c>
      <c r="G85" s="397" t="str">
        <f>IF(H85="","",IF(AND(G82="",G83="",G84=""),"Sensors",""))</f>
        <v/>
      </c>
      <c r="H85" s="12" t="str">
        <f>IF('7-Sensors'!B17=0,"",'7-Sensors'!B17&amp;"x "&amp;'7-Sensors'!A17)</f>
        <v>5x Deep Penetration Scanners</v>
      </c>
      <c r="I85" s="4">
        <f>'7-Sensors'!H17</f>
        <v>5</v>
      </c>
      <c r="J85" s="265">
        <f>'7-Sensors'!F17</f>
        <v>5000000</v>
      </c>
    </row>
    <row r="86" spans="1:10" ht="16">
      <c r="A86" s="400" t="str">
        <f>IF(MAX(F:F)&lt;84,"",IF(INDEX(F:J,MATCH(84,F:F,0),2)=0,"",INDEX(F:J,MATCH(84,F:F,0),2)))</f>
        <v/>
      </c>
      <c r="B86" s="463" t="str">
        <f>IF(MAX(F:F)&lt;84,"",INDEX(F:J,MATCH(84,F:F,0),3))</f>
        <v>Supplies Stores and Spares : 300 Days</v>
      </c>
      <c r="C86" s="4">
        <f>IF(MAX(F:F)&lt;84,"",INDEX(F:J,MATCH(84,F:F,0),4))</f>
        <v>300</v>
      </c>
      <c r="D86" s="4" t="str">
        <f>IF(MAX(F:F)&lt;84,"",INDEX(F:J,MATCH(84,F:F,0),5))</f>
        <v/>
      </c>
      <c r="E86" s="73">
        <f t="shared" si="6"/>
        <v>26</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Total</v>
      </c>
      <c r="B87" s="463">
        <f>IF(MAX(F:F)&lt;85,"",INDEX(F:J,MATCH(85,F:F,0),3))</f>
        <v>10932769000.000004</v>
      </c>
      <c r="C87" s="4" t="str">
        <f>IF(MAX(F:F)&lt;85,"",INDEX(F:J,MATCH(85,F:F,0),4))</f>
        <v>CR</v>
      </c>
      <c r="D87" s="4" t="str">
        <f>IF(MAX(F:F)&lt;85,"",INDEX(F:J,MATCH(85,F:F,0),5))</f>
        <v/>
      </c>
      <c r="E87" s="73">
        <f t="shared" si="6"/>
        <v>27</v>
      </c>
      <c r="F87" s="73">
        <f t="shared" si="7"/>
        <v>27</v>
      </c>
      <c r="G87" s="397" t="str">
        <f>IF(H87="","",IF(AND(G82="",G83="",G84="",G86="",G85=""),"Sensors",""))</f>
        <v/>
      </c>
      <c r="H87" s="12" t="str">
        <f>IF('7-Sensors'!B19=0,"",'7-Sensors'!B19&amp;"x "&amp;'7-Sensors'!A19)</f>
        <v>5x Enhanced Signal Processing</v>
      </c>
      <c r="I87" s="4">
        <f>'7-Sensors'!H19</f>
        <v>10</v>
      </c>
      <c r="J87" s="265">
        <f>'7-Sensors'!F19</f>
        <v>40000000</v>
      </c>
    </row>
    <row r="88" spans="1:10" ht="16">
      <c r="A88" s="400" t="str">
        <f>IF(MAX(F:F)&lt;86,"",IF(INDEX(F:J,MATCH(86,F:F,0),2)=0,"",INDEX(F:J,MATCH(86,F:F,0),2)))</f>
        <v/>
      </c>
      <c r="B88" s="463" t="str">
        <f>IF(MAX(F:F)&lt;86,"",INDEX(F:J,MATCH(86,F:F,0),3))</f>
        <v xml:space="preserve">Purchase Price: </v>
      </c>
      <c r="C88" s="4" t="str">
        <f>IF(MAX(F:F)&lt;86,"",INDEX(F:J,MATCH(86,F:F,0),4))</f>
        <v/>
      </c>
      <c r="D88" s="4">
        <f>IF(MAX(F:F)&lt;86,"",INDEX(F:J,MATCH(86,F:F,0),5))</f>
        <v>9839492100.0000038</v>
      </c>
      <c r="E88" s="73">
        <f t="shared" si="6"/>
        <v>28</v>
      </c>
      <c r="F88" s="73">
        <f t="shared" si="7"/>
        <v>28</v>
      </c>
      <c r="G88" s="397" t="str">
        <f>IF(H88="","",IF(AND(G82="",G83="",G84="",G85="",G87="",G86=""),"Sensors",""))</f>
        <v/>
      </c>
      <c r="H88" s="12" t="str">
        <f>IF('7-Sensors'!B20=0,"",'7-Sensors'!B20&amp;"x "&amp;'7-Sensors'!A20)</f>
        <v>5x Extended Arrays</v>
      </c>
      <c r="I88" s="4">
        <f>'7-Sensors'!H20</f>
        <v>150</v>
      </c>
      <c r="J88" s="265">
        <f>'7-Sensors'!F20</f>
        <v>215000000</v>
      </c>
    </row>
    <row r="89" spans="1:10" ht="16">
      <c r="A89" s="400" t="str">
        <f>IF(MAX(F:F)&lt;87,"",IF(INDEX(F:J,MATCH(87,F:F,0),2)=0,"",INDEX(F:J,MATCH(87,F:F,0),2)))</f>
        <v>Ship's Expenses</v>
      </c>
      <c r="B89" s="463" t="str">
        <f>IF(MAX(F:F)&lt;87,"",INDEX(F:J,MATCH(87,F:F,0),3))</f>
        <v>Mortgage:</v>
      </c>
      <c r="C89" s="4" t="str">
        <f>IF(MAX(F:F)&lt;87,"",INDEX(F:J,MATCH(87,F:F,0),4))</f>
        <v/>
      </c>
      <c r="D89" s="4">
        <f>IF(MAX(F:F)&lt;87,"",INDEX(F:J,MATCH(87,F:F,0),5))</f>
        <v>40997883.750000015</v>
      </c>
      <c r="E89" s="73">
        <f t="shared" si="6"/>
        <v>28</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Maintenance Cost</v>
      </c>
      <c r="C90" s="4" t="str">
        <f>IF(MAX(F:F)&lt;88,"",INDEX(F:J,MATCH(88,F:F,0),4))</f>
        <v/>
      </c>
      <c r="D90" s="4">
        <f>IF(MAX(F:F)&lt;88,"",INDEX(F:J,MATCH(88,F:F,0),5))</f>
        <v>819958</v>
      </c>
      <c r="E90" s="73">
        <f t="shared" si="6"/>
        <v>29</v>
      </c>
      <c r="F90" s="73">
        <f t="shared" si="7"/>
        <v>29</v>
      </c>
      <c r="G90" s="397" t="str">
        <f>IF(H90="","",IF(AND(G82="",G83="",G84="",G85="",G86="",G87="",G89="",G88=""),"Sensors",""))</f>
        <v/>
      </c>
      <c r="H90" s="12" t="str">
        <f>IF('7-Sensors'!B22=0,"",'7-Sensors'!B22&amp;"x "&amp;'7-Sensors'!A22)</f>
        <v>5x Improved Signal Processing</v>
      </c>
      <c r="I90" s="4">
        <f>'7-Sensors'!H22</f>
        <v>5</v>
      </c>
      <c r="J90" s="265">
        <f>'7-Sensors'!F22</f>
        <v>20000000</v>
      </c>
    </row>
    <row r="91" spans="1:10" ht="16">
      <c r="A91" s="400" t="str">
        <f>IF(MAX(F:F)&lt;89,"",IF(INDEX(F:J,MATCH(89,F:F,0),2)=0,"",INDEX(F:J,MATCH(89,F:F,0),2)))</f>
        <v/>
      </c>
      <c r="B91" s="463" t="str">
        <f>IF(MAX(F:F)&lt;89,"",INDEX(F:J,MATCH(89,F:F,0),3))</f>
        <v>Life Support:</v>
      </c>
      <c r="C91" s="4" t="str">
        <f>IF(MAX(F:F)&lt;89,"",INDEX(F:J,MATCH(89,F:F,0),4))</f>
        <v/>
      </c>
      <c r="D91" s="4">
        <f>IF(MAX(F:F)&lt;89,"",INDEX(F:J,MATCH(89,F:F,0),5))</f>
        <v>156000</v>
      </c>
      <c r="E91" s="73">
        <f t="shared" si="6"/>
        <v>30</v>
      </c>
      <c r="F91" s="73">
        <f t="shared" si="7"/>
        <v>30</v>
      </c>
      <c r="G91" s="397" t="str">
        <f>IF(H91="","",IF(AND(G82="",G83="",G84="",G85="",G86="",G87="",G88="",G90="",G89=""),"Sensors",""))</f>
        <v/>
      </c>
      <c r="H91" s="12" t="str">
        <f>IF('7-Sensors'!B23=0,"",'7-Sensors'!B23&amp;"x "&amp;'7-Sensors'!A23)</f>
        <v>5x Life Scanner</v>
      </c>
      <c r="I91" s="4">
        <f>'7-Sensors'!H23</f>
        <v>5</v>
      </c>
      <c r="J91" s="265">
        <f>'7-Sensors'!F23</f>
        <v>10000000</v>
      </c>
    </row>
    <row r="92" spans="1:10" ht="16">
      <c r="A92" s="400" t="str">
        <f>IF(MAX(F:F)&lt;90,"",IF(INDEX(F:J,MATCH(90,F:F,0),2)=0,"",INDEX(F:J,MATCH(90,F:F,0),2)))</f>
        <v/>
      </c>
      <c r="B92" s="463" t="str">
        <f>IF(MAX(F:F)&lt;90,"",INDEX(F:J,MATCH(90,F:F,0),3))</f>
        <v>Crew Salaries:</v>
      </c>
      <c r="C92" s="4" t="str">
        <f>IF(MAX(F:F)&lt;90,"",INDEX(F:J,MATCH(90,F:F,0),4))</f>
        <v/>
      </c>
      <c r="D92" s="4">
        <f>IF(MAX(F:F)&lt;90,"",INDEX(F:J,MATCH(90,F:F,0),5))</f>
        <v>359500</v>
      </c>
      <c r="E92" s="73">
        <f t="shared" si="6"/>
        <v>31</v>
      </c>
      <c r="F92" s="73">
        <f t="shared" si="7"/>
        <v>31</v>
      </c>
      <c r="G92" s="397" t="str">
        <f>IF(H92="","",IF(AND(G82="",G83="",G84="",G85="",G86="",G87="",G88="",G89="",G91="",G90=""),"Sensors",""))</f>
        <v/>
      </c>
      <c r="H92" s="12" t="str">
        <f>IF('7-Sensors'!B24=0,"",'7-Sensors'!B24&amp;"x "&amp;'7-Sensors'!A24)</f>
        <v>5x Life Scanner Analysis Suite</v>
      </c>
      <c r="I92" s="4">
        <f>'7-Sensors'!H24</f>
        <v>5</v>
      </c>
      <c r="J92" s="265">
        <f>'7-Sensors'!F24</f>
        <v>20000000</v>
      </c>
    </row>
    <row r="93" spans="1:10" ht="16">
      <c r="A93" s="400" t="str">
        <f>IF(MAX(F:F)&lt;91,"",IF(INDEX(F:J,MATCH(91,F:F,0),2)=0,"",INDEX(F:J,MATCH(91,F:F,0),2)))</f>
        <v/>
      </c>
      <c r="B93" s="463" t="str">
        <f>IF(MAX(F:F)&lt;91,"",INDEX(F:J,MATCH(91,F:F,0),3))</f>
        <v>Total Expenses:</v>
      </c>
      <c r="C93" s="4" t="str">
        <f>IF(MAX(F:F)&lt;91,"",INDEX(F:J,MATCH(91,F:F,0),4))</f>
        <v/>
      </c>
      <c r="D93" s="4">
        <f>IF(MAX(F:F)&lt;91,"",INDEX(F:J,MATCH(91,F:F,0),5))</f>
        <v>42333341.750000015</v>
      </c>
      <c r="E93" s="73">
        <f t="shared" si="6"/>
        <v>31</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Crew</v>
      </c>
      <c r="B94" s="463" t="str">
        <f>IF(MAX(F:F)&lt;92,"",INDEX(F:J,MATCH(92,F:F,0),3))</f>
        <v>1x CAPTAIN</v>
      </c>
      <c r="C94" s="4" t="str">
        <f>IF(MAX(F:F)&lt;92,"",INDEX(F:J,MATCH(92,F:F,0),4))</f>
        <v/>
      </c>
      <c r="D94" s="4">
        <f>IF(MAX(F:F)&lt;92,"",INDEX(F:J,MATCH(92,F:F,0),5))</f>
        <v>10000</v>
      </c>
      <c r="E94" s="73">
        <f t="shared" si="6"/>
        <v>31</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13x PILOT</v>
      </c>
      <c r="C95" s="4" t="str">
        <f>IF(MAX(F:F)&lt;93,"",INDEX(F:J,MATCH(93,F:F,0),4))</f>
        <v/>
      </c>
      <c r="D95" s="4">
        <f>IF(MAX(F:F)&lt;93,"",INDEX(F:J,MATCH(93,F:F,0),5))</f>
        <v>78000</v>
      </c>
      <c r="E95" s="73">
        <f t="shared" si="6"/>
        <v>31</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1x ASTROGATOR</v>
      </c>
      <c r="C96" s="4" t="str">
        <f>IF(MAX(F:F)&lt;94,"",INDEX(F:J,MATCH(94,F:F,0),4))</f>
        <v/>
      </c>
      <c r="D96" s="4">
        <f>IF(MAX(F:F)&lt;94,"",INDEX(F:J,MATCH(94,F:F,0),5))</f>
        <v>5000</v>
      </c>
      <c r="E96" s="73">
        <f t="shared" si="6"/>
        <v>31</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24x ENGINEER</v>
      </c>
      <c r="C97" s="4" t="str">
        <f>IF(MAX(F:F)&lt;95,"",INDEX(F:J,MATCH(95,F:F,0),4))</f>
        <v/>
      </c>
      <c r="D97" s="4">
        <f>IF(MAX(F:F)&lt;95,"",INDEX(F:J,MATCH(95,F:F,0),5))</f>
        <v>96000</v>
      </c>
      <c r="E97" s="73">
        <f t="shared" si="6"/>
        <v>32</v>
      </c>
      <c r="F97" s="73">
        <f t="shared" si="7"/>
        <v>32</v>
      </c>
      <c r="G97" s="397" t="str">
        <f>IF(H97="","",IF(AND(G82="",G83="",G84="",G85="",G86="",G87="",G88="",G89="",G90="",G91="",G92="",G93="",G94="",G96="",G95=""),"Sensors",""))</f>
        <v/>
      </c>
      <c r="H97" s="12" t="str">
        <f>IF('7-Sensors'!B29=0,"",'7-Sensors'!B29&amp;"x "&amp;'7-Sensors'!A29)</f>
        <v>5x Mineral Detection Suite</v>
      </c>
      <c r="I97" s="4">
        <f>'7-Sensors'!H29</f>
        <v>5</v>
      </c>
      <c r="J97" s="265">
        <f>'7-Sensors'!F29</f>
        <v>25000000</v>
      </c>
    </row>
    <row r="98" spans="1:10" ht="16">
      <c r="A98" s="400" t="str">
        <f>IF(MAX(F:F)&lt;96,"",IF(INDEX(F:J,MATCH(96,F:F,0),2)=0,"",INDEX(F:J,MATCH(96,F:F,0),2)))</f>
        <v/>
      </c>
      <c r="B98" s="463" t="str">
        <f>IF(MAX(F:F)&lt;96,"",INDEX(F:J,MATCH(96,F:F,0),3))</f>
        <v>10x MAINTENANCE</v>
      </c>
      <c r="C98" s="4" t="str">
        <f>IF(MAX(F:F)&lt;96,"",INDEX(F:J,MATCH(96,F:F,0),4))</f>
        <v/>
      </c>
      <c r="D98" s="4">
        <f>IF(MAX(F:F)&lt;96,"",INDEX(F:J,MATCH(96,F:F,0),5))</f>
        <v>10000</v>
      </c>
      <c r="E98" s="73">
        <f t="shared" si="6"/>
        <v>32</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1x MEDIC</v>
      </c>
      <c r="C99" s="4" t="str">
        <f>IF(MAX(F:F)&lt;97,"",INDEX(F:J,MATCH(97,F:F,0),4))</f>
        <v/>
      </c>
      <c r="D99" s="4">
        <f>IF(MAX(F:F)&lt;97,"",INDEX(F:J,MATCH(97,F:F,0),5))</f>
        <v>4000</v>
      </c>
      <c r="E99" s="73">
        <f t="shared" si="6"/>
        <v>33</v>
      </c>
      <c r="F99" s="73">
        <f t="shared" si="7"/>
        <v>33</v>
      </c>
      <c r="G99" s="397" t="str">
        <f>IF(H99="","",IF(AND(G82="",G83="",G84="",G85="",G86="",G87="",G88="",G89="",G90="",G91="",G92="",G93="",G94="",G95="",G96="",G98="",G97=""),"Sensors",""))</f>
        <v/>
      </c>
      <c r="H99" s="12" t="str">
        <f>IF('7-Sensors'!B31=0,"",'7-Sensors'!B31&amp;"x "&amp;'7-Sensors'!A31)</f>
        <v>5x Shallow Penetration Suite</v>
      </c>
      <c r="I99" s="4">
        <f>'7-Sensors'!H31</f>
        <v>50</v>
      </c>
      <c r="J99" s="265">
        <f>'7-Sensors'!F31</f>
        <v>25000000</v>
      </c>
    </row>
    <row r="100" spans="1:10" ht="16">
      <c r="A100" s="400" t="str">
        <f>IF(MAX(F:F)&lt;98,"",IF(INDEX(F:J,MATCH(98,F:F,0),2)=0,"",INDEX(F:J,MATCH(98,F:F,0),2)))</f>
        <v/>
      </c>
      <c r="B100" s="463" t="str">
        <f>IF(MAX(F:F)&lt;98,"",INDEX(F:J,MATCH(98,F:F,0),3))</f>
        <v>17x GUNNER</v>
      </c>
      <c r="C100" s="4" t="str">
        <f>IF(MAX(F:F)&lt;98,"",INDEX(F:J,MATCH(98,F:F,0),4))</f>
        <v/>
      </c>
      <c r="D100" s="4">
        <f>IF(MAX(F:F)&lt;98,"",INDEX(F:J,MATCH(98,F:F,0),5))</f>
        <v>34000</v>
      </c>
      <c r="E100" s="73">
        <f t="shared" si="6"/>
        <v>33</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9x SENSOP, 2 Sensor Actions per Round</v>
      </c>
      <c r="C101" s="4" t="str">
        <f>IF(MAX(F:F)&lt;99,"",INDEX(F:J,MATCH(99,F:F,0),4))</f>
        <v/>
      </c>
      <c r="D101" s="4">
        <f>IF(MAX(F:F)&lt;99,"",INDEX(F:J,MATCH(99,F:F,0),5))</f>
        <v>36000</v>
      </c>
      <c r="E101" s="73">
        <f t="shared" si="6"/>
        <v>33</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3x ADMINISTRATOR</v>
      </c>
      <c r="C102" s="4" t="str">
        <f>IF(MAX(F:F)&lt;100,"",INDEX(F:J,MATCH(100,F:F,0),4))</f>
        <v/>
      </c>
      <c r="D102" s="4">
        <f>IF(MAX(F:F)&lt;100,"",INDEX(F:J,MATCH(100,F:F,0),5))</f>
        <v>4500</v>
      </c>
      <c r="E102" s="73">
        <f t="shared" si="6"/>
        <v>34</v>
      </c>
      <c r="F102" s="73">
        <f t="shared" si="7"/>
        <v>34</v>
      </c>
      <c r="G102" s="401" t="str">
        <f>IF(H102="","","Weapons")</f>
        <v>Weapons</v>
      </c>
      <c r="H102" s="391" t="str">
        <f>'8a-Weapons'!AM113</f>
        <v>10x Single Turret: Burst Laser Adv - Easy Repair, Adv - Energy Efficient, Adv - Small</v>
      </c>
      <c r="I102" s="237">
        <f>'8a-Weapons'!N12</f>
        <v>9</v>
      </c>
      <c r="J102" s="387">
        <f>'8a-Weapons'!L12</f>
        <v>14250000</v>
      </c>
    </row>
    <row r="103" spans="1:10" ht="32">
      <c r="A103" s="400" t="str">
        <f>IF(MAX(F:F)&lt;101,"",IF(INDEX(F:J,MATCH(101,F:F,0),2)=0,"",INDEX(F:J,MATCH(101,F:F,0),2)))</f>
        <v/>
      </c>
      <c r="B103" s="463" t="str">
        <f>IF(MAX(F:F)&lt;101,"",INDEX(F:J,MATCH(101,F:F,0),3))</f>
        <v>2x OFFICERS</v>
      </c>
      <c r="C103" s="4" t="str">
        <f>IF(MAX(F:F)&lt;101,"",INDEX(F:J,MATCH(101,F:F,0),4))</f>
        <v/>
      </c>
      <c r="D103" s="4">
        <f>IF(MAX(F:F)&lt;101,"",INDEX(F:J,MATCH(101,F:F,0),5))</f>
        <v>10000</v>
      </c>
      <c r="E103" s="73">
        <f t="shared" si="6"/>
        <v>35</v>
      </c>
      <c r="F103" s="73">
        <f t="shared" si="7"/>
        <v>35</v>
      </c>
      <c r="G103" s="397" t="str">
        <f>IF(H103="","",IF(G102="","Weapons",""))</f>
        <v/>
      </c>
      <c r="H103" s="12" t="str">
        <f>'8a-Weapons'!AM114</f>
        <v>10x Single Turret: Particle Beam Adv - Easy Repair, Adv - Energy Efficient</v>
      </c>
      <c r="I103" s="4">
        <f>'8a-Weapons'!N13</f>
        <v>10</v>
      </c>
      <c r="J103" s="265">
        <f>'8a-Weapons'!L13</f>
        <v>52500000</v>
      </c>
    </row>
    <row r="104" spans="1:10" ht="15" customHeight="1">
      <c r="A104" s="400" t="str">
        <f>IF(MAX(F:F)&lt;102,"",IF(INDEX(F:J,MATCH(102,F:F,0),2)=0,"",INDEX(F:J,MATCH(102,F:F,0),2)))</f>
        <v/>
      </c>
      <c r="B104" s="463" t="str">
        <f>IF(MAX(F:F)&lt;102,"",INDEX(F:J,MATCH(102,F:F,0),3))</f>
        <v>18x SCIENTISTS</v>
      </c>
      <c r="C104" s="4" t="str">
        <f>IF(MAX(F:F)&lt;102,"",INDEX(F:J,MATCH(102,F:F,0),4))</f>
        <v/>
      </c>
      <c r="D104" s="4">
        <f>IF(MAX(F:F)&lt;102,"",INDEX(F:J,MATCH(102,F:F,0),5))</f>
        <v>72000</v>
      </c>
      <c r="E104" s="73">
        <f t="shared" si="6"/>
        <v>35</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Power</v>
      </c>
      <c r="B105" s="463" t="str">
        <f>IF(MAX(F:F)&lt;103,"",INDEX(F:J,MATCH(103,F:F,0),3))</f>
        <v>Power Distribution: Normal (Battle Load)</v>
      </c>
      <c r="C105" s="4" t="str">
        <f>IF(MAX(F:F)&lt;103,"",INDEX(F:J,MATCH(103,F:F,0),4))</f>
        <v>Available:</v>
      </c>
      <c r="D105" s="4" t="str">
        <f>IF(MAX(F:F)&lt;103,"",INDEX(F:J,MATCH(103,F:F,0),5))</f>
        <v>7500 PP</v>
      </c>
      <c r="E105" s="73">
        <f t="shared" si="6"/>
        <v>36</v>
      </c>
      <c r="F105" s="73">
        <f t="shared" si="7"/>
        <v>36</v>
      </c>
      <c r="G105" s="397" t="str">
        <f>IF(H105="","",IF(AND(G104="",G103="",G102=""),"Weapons",""))</f>
        <v/>
      </c>
      <c r="H105" s="12" t="str">
        <f>'8a-Weapons'!AM116</f>
        <v xml:space="preserve">5x Point Defense Btty: Type I -L </v>
      </c>
      <c r="I105" s="4">
        <f>'8a-Weapons'!N15</f>
        <v>100</v>
      </c>
      <c r="J105" s="265">
        <f>'8a-Weapons'!L15</f>
        <v>25000000</v>
      </c>
    </row>
    <row r="106" spans="1:10" ht="16">
      <c r="A106" s="400" t="str">
        <f>IF(MAX(F:F)&lt;104,"",IF(INDEX(F:J,MATCH(104,F:F,0),2)=0,"",INDEX(F:J,MATCH(104,F:F,0),2)))</f>
        <v/>
      </c>
      <c r="B106" s="463" t="str">
        <f>IF(MAX(F:F)&lt;104,"",INDEX(F:J,MATCH(104,F:F,0),3))</f>
        <v>Basic/Hull</v>
      </c>
      <c r="C106" s="4" t="str">
        <f>IF(MAX(F:F)&lt;104,"",INDEX(F:J,MATCH(104,F:F,0),4))</f>
        <v/>
      </c>
      <c r="D106" s="4" t="str">
        <f>IF(MAX(F:F)&lt;104,"",INDEX(F:J,MATCH(104,F:F,0),5))</f>
        <v>2000/0 (1000) PP</v>
      </c>
      <c r="E106" s="73">
        <f t="shared" si="6"/>
        <v>36</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Jump</v>
      </c>
      <c r="C107" s="4" t="str">
        <f>IF(MAX(F:F)&lt;105,"",INDEX(F:J,MATCH(105,F:F,0),4))</f>
        <v/>
      </c>
      <c r="D107" s="4" t="str">
        <f>IF(MAX(F:F)&lt;105,"",INDEX(F:J,MATCH(105,F:F,0),5))</f>
        <v>4000/0 PP</v>
      </c>
      <c r="E107" s="73">
        <f t="shared" si="6"/>
        <v>36</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Maneuver</v>
      </c>
      <c r="C108" s="4" t="str">
        <f>IF(MAX(F:F)&lt;106,"",INDEX(F:J,MATCH(106,F:F,0),4))</f>
        <v/>
      </c>
      <c r="D108" s="4" t="str">
        <f>IF(MAX(F:F)&lt;106,"",INDEX(F:J,MATCH(106,F:F,0),5))</f>
        <v>750 (750/0) PP</v>
      </c>
      <c r="E108" s="73">
        <f t="shared" si="6"/>
        <v>36</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Fuel</v>
      </c>
      <c r="C109" s="4" t="str">
        <f>IF(MAX(F:F)&lt;107,"",INDEX(F:J,MATCH(107,F:F,0),4))</f>
        <v/>
      </c>
      <c r="D109" s="4" t="str">
        <f>IF(MAX(F:F)&lt;107,"",INDEX(F:J,MATCH(107,F:F,0),5))</f>
        <v>200 PP</v>
      </c>
      <c r="E109" s="73">
        <f t="shared" si="6"/>
        <v>36</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Sensors</v>
      </c>
      <c r="C110" s="4" t="str">
        <f>IF(MAX(F:F)&lt;108,"",INDEX(F:J,MATCH(108,F:F,0),4))</f>
        <v/>
      </c>
      <c r="D110" s="4" t="str">
        <f>IF(MAX(F:F)&lt;108,"",INDEX(F:J,MATCH(108,F:F,0),5))</f>
        <v>257 PP</v>
      </c>
      <c r="E110" s="73">
        <f t="shared" si="6"/>
        <v>36</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Weapons</v>
      </c>
      <c r="C111" s="4" t="str">
        <f>IF(MAX(F:F)&lt;109,"",INDEX(F:J,MATCH(109,F:F,0),4))</f>
        <v/>
      </c>
      <c r="D111" s="4" t="str">
        <f>IF(MAX(F:F)&lt;109,"",INDEX(F:J,MATCH(109,F:F,0),5))</f>
        <v>160 (160) PP</v>
      </c>
      <c r="E111" s="73">
        <f t="shared" si="6"/>
        <v>36</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Screens</v>
      </c>
      <c r="C112" s="4" t="str">
        <f>IF(MAX(F:F)&lt;110,"",INDEX(F:J,MATCH(110,F:F,0),4))</f>
        <v/>
      </c>
      <c r="D112" s="4" t="str">
        <f>IF(MAX(F:F)&lt;110,"",INDEX(F:J,MATCH(110,F:F,0),5))</f>
        <v>125 (125) PP</v>
      </c>
      <c r="E112" s="73">
        <f t="shared" si="6"/>
        <v>36</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Optional Components</v>
      </c>
      <c r="C113" s="4" t="str">
        <f>IF(MAX(F:F)&lt;111,"",INDEX(F:J,MATCH(111,F:F,0),4))</f>
        <v/>
      </c>
      <c r="D113" s="4" t="str">
        <f>IF(MAX(F:F)&lt;111,"",INDEX(F:J,MATCH(111,F:F,0),5))</f>
        <v>19 PP</v>
      </c>
      <c r="E113" s="73">
        <f t="shared" si="6"/>
        <v>36</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Miscellaneous</v>
      </c>
      <c r="C114" s="4" t="str">
        <f>IF(MAX(F:F)&lt;112,"",INDEX(F:J,MATCH(112,F:F,0),4))</f>
        <v/>
      </c>
      <c r="D114" s="4" t="str">
        <f>IF(MAX(F:F)&lt;112,"",INDEX(F:J,MATCH(112,F:F,0),5))</f>
        <v>11 PP</v>
      </c>
      <c r="E114" s="73">
        <f t="shared" si="6"/>
        <v>36</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Maximum Load (Battle Load)</v>
      </c>
      <c r="C115" s="4" t="str">
        <f>IF(MAX(F:F)&lt;113,"",INDEX(F:J,MATCH(113,F:F,0),4))</f>
        <v/>
      </c>
      <c r="D115" s="4" t="str">
        <f>IF(MAX(F:F)&lt;113,"",INDEX(F:J,MATCH(113,F:F,0),5))</f>
        <v>7515 (2292)</v>
      </c>
      <c r="E115" s="73">
        <f t="shared" si="6"/>
        <v>36</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36</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36</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36</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36</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36</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36</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36</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36</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36</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36</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37</v>
      </c>
      <c r="F126" s="73">
        <f t="shared" si="7"/>
        <v>37</v>
      </c>
      <c r="G126" s="401" t="str">
        <f>IF(H126="","","Screens")</f>
        <v>Screens</v>
      </c>
      <c r="H126" s="391" t="str">
        <f>IF('8b-Screens'!B9='8b-Screens'!S9,"",'8b-Screens'!E9&amp;"x "&amp;'8b-Screens'!B9&amp;IF('8b-Screens'!A9='8b-Screens'!S1,""," Hardened")&amp;IF('8b-Screens'!A11='8b-Screens'!S1,""," Armored")&amp;" "&amp;'8b-Screens'!T58)</f>
        <v>5x Deflector Screens Resilient, Easy to Repair, High Strength</v>
      </c>
      <c r="I126" s="237">
        <f>'8b-Screens'!H9</f>
        <v>25</v>
      </c>
      <c r="J126" s="387">
        <f>'8b-Screens'!F9</f>
        <v>37500000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38</v>
      </c>
      <c r="F127" s="73">
        <f t="shared" si="7"/>
        <v>38</v>
      </c>
      <c r="G127" s="397" t="str">
        <f>IF(H127="","",IF(G126="","Screens",""))</f>
        <v/>
      </c>
      <c r="H127" s="12" t="str">
        <f>IF('8b-Screens'!B14='8b-Screens'!S9,"",'8b-Screens'!E14&amp;"x "&amp;'8b-Screens'!B14&amp;IF('8b-Screens'!A14='8b-Screens'!S1,""," Hardened")&amp;IF('8b-Screens'!A16='8b-Screens'!S1,""," Armored")&amp;" "&amp;'8b-Screens'!V58)</f>
        <v>5x Nuclear Damper Easy to Repair, Energy Efficient</v>
      </c>
      <c r="I127" s="4">
        <f>'8b-Screens'!H14</f>
        <v>50</v>
      </c>
      <c r="J127" s="265">
        <f>'8b-Screens'!F14</f>
        <v>62500000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38</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38</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38</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38</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38</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38</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38</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39</v>
      </c>
      <c r="F135" s="73">
        <f t="shared" si="9"/>
        <v>39</v>
      </c>
      <c r="G135" s="397" t="str">
        <f>IF('9a-Optional'!H36=0,"",IF(G134="","Craft",""))</f>
        <v>Craft</v>
      </c>
      <c r="H135" s="12" t="str">
        <f>IF('9a-Optional'!H36=0,"",'9a-Optional'!C36&amp;"x "&amp;'9a-Optional'!D36&amp;" ton "&amp;'9a-Optional'!A36)</f>
        <v>1x 80 ton Internal Docking Space</v>
      </c>
      <c r="I135" s="4">
        <f>'9a-Optional'!H36</f>
        <v>88</v>
      </c>
      <c r="J135" s="265">
        <f>'9a-Optional'!F36</f>
        <v>22000000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40</v>
      </c>
      <c r="F136" s="73">
        <f t="shared" si="9"/>
        <v>40</v>
      </c>
      <c r="G136" s="397" t="str">
        <f>IF('9a-Optional'!H37=0,"",IF(AND(G134="",G135=""),"Craft",""))</f>
        <v/>
      </c>
      <c r="H136" s="12" t="str">
        <f>IF('9a-Optional'!H37=0,"",'9a-Optional'!C37&amp;"x "&amp;'9a-Optional'!D37&amp;" ton "&amp;'9a-Optional'!A37)</f>
        <v>2x 60 ton Internal Docking Space</v>
      </c>
      <c r="I136" s="4">
        <f>'9a-Optional'!H37</f>
        <v>132</v>
      </c>
      <c r="J136" s="265">
        <f>'9a-Optional'!F37</f>
        <v>33000000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40</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40</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40</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40</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40</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40</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40</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40</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41</v>
      </c>
      <c r="F145" s="73">
        <f t="shared" si="9"/>
        <v>41</v>
      </c>
      <c r="G145" s="397" t="str">
        <f>IF('9a-Optional'!H46=0,"",IF(AND(G134="",G135="",G136="",G137="",G138="",G139="",G140="",G141="",G142="",G143="",G144=""),"Craft",""))</f>
        <v/>
      </c>
      <c r="H145" s="12" t="str">
        <f>IF('9a-Optional'!H48=0,"",'9a-Optional'!C48&amp;"x "&amp;'9a-Optional'!D48&amp;" ton "&amp;'9a-Optional'!A48)</f>
        <v>1x 300 ton Full Hangar Bay</v>
      </c>
      <c r="I145" s="4">
        <f>'9a-Optional'!H48</f>
        <v>600</v>
      </c>
      <c r="J145" s="265">
        <f>'9a-Optional'!F48</f>
        <v>120000000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41</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41</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41</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41</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41</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41</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41</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41</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41</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41</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41</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41</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41</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41</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41</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42</v>
      </c>
      <c r="F161" s="73">
        <f t="shared" si="9"/>
        <v>42</v>
      </c>
      <c r="G161" s="397" t="str">
        <f>IF(H161="","",IF(AND(G134="",G135="",G136="",G137="",G138="",G139="",G140="",G141="",G142="",G143="",G144="",G145="",G146="",G147="",G148="",G149="",G150="",G151="",G152="",G153="",G154="",G155="",G156="",G157="",G158="",G159="",G160=""),"Craft",""))</f>
        <v/>
      </c>
      <c r="H161" s="12" t="str">
        <f>'9a-Optional'!AZ2</f>
        <v>Zhodoni Ninz-Class Scout  x3 (300 tons)</v>
      </c>
      <c r="J161" s="265">
        <f>'9a-Optional'!BA2</f>
        <v>149385000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43</v>
      </c>
      <c r="F162" s="73">
        <f t="shared" si="9"/>
        <v>43</v>
      </c>
      <c r="G162" s="397" t="str">
        <f>IF(H162="","",IF(AND(G134="",G135="",G136="",G137="",G138="",G139="",G140="",G141="",G142="",G143="",G144="",G145="",G146="",G147="",G148="",G149="",G150="",G151="",G152="",G153="",G154="",G155="",G156="",G157="",G158="",G159="",G160="",G161=""),"Craft",""))</f>
        <v/>
      </c>
      <c r="H162" s="12" t="str">
        <f>'9a-Optional'!AZ3</f>
        <v>Zhodani Brechatsnech Belt Survey Vessel x1 (60 tons)</v>
      </c>
      <c r="J162" s="265">
        <f>'9a-Optional'!BA3</f>
        <v>37070000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44</v>
      </c>
      <c r="F163" s="73">
        <f t="shared" si="9"/>
        <v>44</v>
      </c>
      <c r="G163" s="397" t="str">
        <f>IF(H163="","",IF(AND(G134="",G135="",G136="",G137="",G138="",G139="",G140="",G141="",G142="",G143="",G144="",G145="",G146="",G147="",G148="",G149="",G150="",G151="",G152="",G153="",G154="",G155="",G156="",G157="",G158="",G159="",G160="",G161="",G162=""),"Craft",""))</f>
        <v/>
      </c>
      <c r="H163" s="12" t="str">
        <f>'9a-Optional'!AZ4</f>
        <v>Zhodani Drabr Chtor Terrestrial Survey Vessel x1 (80 tons)</v>
      </c>
      <c r="J163" s="265">
        <f>'9a-Optional'!BA4</f>
        <v>48995000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45</v>
      </c>
      <c r="F164" s="73">
        <f t="shared" si="9"/>
        <v>45</v>
      </c>
      <c r="G164" s="397" t="str">
        <f>IF(H164="","",IF(AND(G134="",G135="",G136="",G137="",G138="",G139="",G140="",G141="",G142="",G143="",G144="",G145="",G146="",G147="",G148="",G149="",G150="",G151="",G152="",G153="",G154="",G155="",G156="",G157="",G158="",G159="",G160="",G161="",G162="",G163=""),"Craft",""))</f>
        <v/>
      </c>
      <c r="H164" s="12" t="str">
        <f>'9a-Optional'!AZ5</f>
        <v>Zhodani Neishetsienz Gas Giant Survey Vessel x1 (60 tons)</v>
      </c>
      <c r="J164" s="265">
        <f>'9a-Optional'!BA5</f>
        <v>65550000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45</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45</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45</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45</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45</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45</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45</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45</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45</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45</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45</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45</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45</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45</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45</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45</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45</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45</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45</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45</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45</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45</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45</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45</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45</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46</v>
      </c>
      <c r="F190" s="73">
        <f t="shared" si="9"/>
        <v>46</v>
      </c>
      <c r="G190" s="401" t="str">
        <f>IF(H190="","","Systems")</f>
        <v>Systems</v>
      </c>
      <c r="H190" s="391" t="str">
        <f>IF('9a-Optional'!H10=0,"",'9a-Optional'!A10&amp;": "&amp;'9a-Optional'!D10)</f>
        <v>Probe Drones: 500 Probes</v>
      </c>
      <c r="I190" s="237">
        <f>'9a-Optional'!H10</f>
        <v>100</v>
      </c>
      <c r="J190" s="387">
        <f>'9a-Optional'!F10</f>
        <v>50000000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47</v>
      </c>
      <c r="F191" s="73">
        <f t="shared" si="9"/>
        <v>47</v>
      </c>
      <c r="G191" s="397" t="str">
        <f>IF(H191="","",IF(G190="","Systems",""))</f>
        <v/>
      </c>
      <c r="H191" s="12" t="str">
        <f>IF('9a-Optional'!H11=0,"",'9a-Optional'!A11&amp;": "&amp;'9a-Optional'!D11)</f>
        <v>Advanced Probe Drones: 500 Probes</v>
      </c>
      <c r="I191" s="4">
        <f>'9a-Optional'!H11</f>
        <v>100</v>
      </c>
      <c r="J191" s="265">
        <f>'9a-Optional'!F11</f>
        <v>80000000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48</v>
      </c>
      <c r="F192" s="73">
        <f t="shared" si="9"/>
        <v>48</v>
      </c>
      <c r="G192" s="397" t="str">
        <f>IF(H192="","",IF(AND(G190="",G191=""),"Systems",""))</f>
        <v/>
      </c>
      <c r="H192" s="12" t="str">
        <f>IF('9a-Optional'!H12=0,"",'9a-Optional'!A12&amp;": "&amp;'9a-Optional'!D12)</f>
        <v>Mining Drones: 125D Tons/Day</v>
      </c>
      <c r="I192" s="4">
        <f>'9a-Optional'!H12</f>
        <v>250</v>
      </c>
      <c r="J192" s="265">
        <f>'9a-Optional'!F12</f>
        <v>25000000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49</v>
      </c>
      <c r="F193" s="73">
        <f t="shared" si="9"/>
        <v>49</v>
      </c>
      <c r="G193" s="397" t="str">
        <f>IF(H193="","",IF(AND(G190="",G191="",G192=""),"Systems",""))</f>
        <v/>
      </c>
      <c r="H193" s="12" t="str">
        <f>IF('9a-Optional'!H13=0,"",'9a-Optional'!A13)</f>
        <v>Repair Drones</v>
      </c>
      <c r="I193" s="4">
        <f>'9a-Optional'!H13</f>
        <v>100</v>
      </c>
      <c r="J193" s="265">
        <f>'9a-Optional'!F13</f>
        <v>20000000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50</v>
      </c>
      <c r="F194" s="73">
        <f t="shared" si="9"/>
        <v>50</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51</v>
      </c>
      <c r="F195" s="73">
        <f t="shared" si="9"/>
        <v>51</v>
      </c>
      <c r="G195" s="397" t="str">
        <f>IF(H195="","",IF(AND(G192="",G193="",G191="",G190="",G194=""),"Systems",""))</f>
        <v/>
      </c>
      <c r="H195" s="12" t="str">
        <f>IF('4-Fuel'!$C$16=0,"",'4-Fuel'!$A$16&amp;" "&amp;'4-Fuel'!$B$16&amp;" Tons Per Day")</f>
        <v>Fuel Processor 4000 Tons Per Day</v>
      </c>
      <c r="I195" s="4">
        <f>'4-Fuel'!$H$16</f>
        <v>200</v>
      </c>
      <c r="J195" s="265">
        <f>'4-Fuel'!$F$16</f>
        <v>10000000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51</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51</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51</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51</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51</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51</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51</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52</v>
      </c>
      <c r="F203" s="73">
        <f t="shared" si="13"/>
        <v>52</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100x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52</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52</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52</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52</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52</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52</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52</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52</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52</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52</v>
      </c>
      <c r="F213" s="73" t="str">
        <f t="shared" si="13"/>
        <v/>
      </c>
      <c r="G213" s="397" t="str">
        <f>IF(H213="","",IF(AND(G190="",G191="",G192="",G193="",G194="",G195="",G196="",G197="",G198="",G199="",G200="",G201="",G202="",G203="",G204="",G205="",G206="",G207="",G208="",G209="",G210="",G211="",G212=""),"Systems",""))</f>
        <v/>
      </c>
      <c r="H213" s="12" t="str">
        <f>IF('9b-Optional'!C18=0,"",'9b-Optional'!B18&amp;" for "&amp;'9b-Optional'!D18)</f>
        <v/>
      </c>
      <c r="I213" s="4">
        <f>'9b-Optional'!H18</f>
        <v>0</v>
      </c>
      <c r="J213" s="265">
        <f>'9b-Optional'!F18</f>
        <v>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52</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53</v>
      </c>
      <c r="F215" s="73">
        <f t="shared" si="13"/>
        <v>53</v>
      </c>
      <c r="G215" s="397" t="str">
        <f>IF(H215="","",IF(AND(G190="",G191="",G192="",G193="",G194="",G195="",G196="",G197="",G198="",G199="",G200="",G201="",G202="",G203="",G204="",G205="",G206="",G207="",G208="",G209="",G210="",G211="",G212="",G213="",G214=""),"Systems",""))</f>
        <v/>
      </c>
      <c r="H215" s="12" t="str">
        <f>IF('9b-Optional'!C20=0,"",'9b-Optional'!C20&amp;"x "&amp;'9b-Optional'!B20)</f>
        <v>3x Briefing Room</v>
      </c>
      <c r="I215" s="4">
        <f>'9b-Optional'!H20</f>
        <v>12</v>
      </c>
      <c r="J215" s="265">
        <f>'9b-Optional'!F20</f>
        <v>1500000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53</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53</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54</v>
      </c>
      <c r="F218" s="73">
        <f t="shared" si="13"/>
        <v>54</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Laboratory for 18 Scientists</v>
      </c>
      <c r="I218" s="4">
        <f>'9b-Optional'!H23</f>
        <v>72</v>
      </c>
      <c r="J218" s="265">
        <f>'9b-Optional'!F23</f>
        <v>18000000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55</v>
      </c>
      <c r="F219" s="73">
        <f t="shared" si="13"/>
        <v>55</v>
      </c>
      <c r="G219" s="397" t="str">
        <f>IF(H219="","",IF(AND(G190="",G191="",G192="",G193="",G194="",G195="",G196="",G197="",G198="",G199="",G200="",G201="",G202="",G203="",G204="",G205="",G206="",G207="",G208="",G209="",G210="",G211="",G212="",G213="",G214="",G215="",G216="",G217="",G218=""),"Systems",""))</f>
        <v/>
      </c>
      <c r="H219" s="12" t="str">
        <f>IF('9b-Optional'!C24=0,"",'9b-Optional'!C24&amp;"x "&amp;'9b-Optional'!B24)</f>
        <v>3x Library</v>
      </c>
      <c r="I219" s="4">
        <f>'9b-Optional'!H24</f>
        <v>12</v>
      </c>
      <c r="J219" s="265">
        <f>'9b-Optional'!F24</f>
        <v>12000000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56</v>
      </c>
      <c r="F220" s="73">
        <f t="shared" si="13"/>
        <v>56</v>
      </c>
      <c r="G220" s="397" t="str">
        <f>IF(H220="","",IF(AND(G190="",G191="",G192="",G193="",G194="",G195="",G196="",G197="",G198="",G199="",G200="",G201="",G202="",G203="",G204="",G205="",G206="",G207="",G208="",G209="",G210="",G211="",G212="",G213="",G214="",G215="",G216="",G217="",G218="",G219=""),"Systems",""))</f>
        <v/>
      </c>
      <c r="H220" s="12" t="str">
        <f>IF('9b-Optional'!C25=0,"",'9b-Optional'!C25&amp;"x "&amp;'9b-Optional'!B25)</f>
        <v>12x Medical Bay</v>
      </c>
      <c r="I220" s="4">
        <f>'9b-Optional'!H25</f>
        <v>48</v>
      </c>
      <c r="J220" s="265">
        <f>'9b-Optional'!F25</f>
        <v>24000000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56</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57</v>
      </c>
      <c r="F222" s="73">
        <f t="shared" si="13"/>
        <v>57</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xml:space="preserve">Training Facility: 12 person capacity </v>
      </c>
      <c r="I222" s="4">
        <f>'9b-Optional'!H27</f>
        <v>24</v>
      </c>
      <c r="J222" s="265">
        <f>'9b-Optional'!F27</f>
        <v>4800000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57</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57</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58</v>
      </c>
      <c r="F225" s="73">
        <f t="shared" si="13"/>
        <v>58</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2 Gel Connections</v>
      </c>
      <c r="I225" s="4">
        <f>'9b-Optional'!H31</f>
        <v>4</v>
      </c>
      <c r="J225" s="265">
        <f>'9b-Optional'!F31</f>
        <v>2000000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59</v>
      </c>
      <c r="F226" s="73">
        <f t="shared" si="13"/>
        <v>59</v>
      </c>
      <c r="G226" s="397" t="str">
        <f>IF(H226="","",IF(AND(G190="",G191="",G192="",G193="",G194="",G195="",G196="",G197="",G198="",G199="",G200="",G201="",G202="",G203="",G204="",G205="",G206="",G207="",G208="",G209="",G210="",G211="",G212="",G213="",G214="",G215="",G216="",G217="",G218="",G219="",G220="",G221="",G222="",G223="",G224="",G225=""),"Systems",""))</f>
        <v/>
      </c>
      <c r="H226" s="12" t="str">
        <f>IF('9b-Optional'!E32=0,"",'9b-Optional'!B32&amp;": "&amp;'9b-Optional'!D32)</f>
        <v>Standard Heat Management Gel: 40 Heat Cap</v>
      </c>
      <c r="I226" s="4">
        <f>'9b-Optional'!H32</f>
        <v>6</v>
      </c>
      <c r="J226" s="265">
        <f>'9b-Optional'!F32</f>
        <v>300000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59</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60</v>
      </c>
      <c r="F228" s="73">
        <f t="shared" si="13"/>
        <v>60</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3x 100L Enhanced Fabricators</v>
      </c>
      <c r="J228" s="265">
        <f>'9b-Optional'!F37</f>
        <v>13500000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60</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60</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60</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60</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60</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61</v>
      </c>
      <c r="F234" s="73">
        <f t="shared" si="13"/>
        <v>61</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3x 150L Enhanced Deconstructors</v>
      </c>
      <c r="J234" s="265">
        <f>'9b-Optional'!F47</f>
        <v>27000000.000003003</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61</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61</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61</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61</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61</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61</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61</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61</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61</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61</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61</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61</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61</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62</v>
      </c>
      <c r="F248" s="73">
        <f t="shared" si="13"/>
        <v>62</v>
      </c>
      <c r="G248" s="397" t="str">
        <f>IF(H248="","",IF(AND(G246="",G247=""),"Research Facilities",""))</f>
        <v>Research Facilities</v>
      </c>
      <c r="H248" s="12" t="str">
        <f>IF('9b-Optional'!C73=0,"",'9b-Optional'!C73&amp;"x "&amp;LEFT('9b-Optional'!B73,10))</f>
        <v>1x Chart Room</v>
      </c>
      <c r="I248" s="4">
        <f>'9b-Optional'!H73</f>
        <v>16</v>
      </c>
      <c r="J248" s="265">
        <f>'9b-Optional'!F73</f>
        <v>1250000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62</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62</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63</v>
      </c>
      <c r="F251" s="73">
        <f t="shared" si="13"/>
        <v>63</v>
      </c>
      <c r="G251" s="397" t="str">
        <f>IF(H251="","",IF(AND(G246="",G247="",G248="",G249="",G250=""),"Research Facilities",""))</f>
        <v/>
      </c>
      <c r="H251" s="12" t="str">
        <f>IF('9b-Optional'!C82=0,"",'9b-Optional'!C82&amp;"x "&amp;'9b-Optional'!B82&amp;" "&amp;'9b-Optional'!A82)</f>
        <v>1x Advanced Small Observatory</v>
      </c>
      <c r="I251" s="4">
        <f>'9b-Optional'!H82</f>
        <v>100</v>
      </c>
      <c r="J251" s="265">
        <f>'9b-Optional'!F82</f>
        <v>125000000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63</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63</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64</v>
      </c>
      <c r="F254" s="73">
        <f t="shared" si="13"/>
        <v>64</v>
      </c>
      <c r="G254" s="397" t="str">
        <f>IF(H254="","",IF(AND(G246="",G247="",G248="",G249="",G250="",G251="",G252="",G253=""),"Research Facilities",""))</f>
        <v/>
      </c>
      <c r="H254" s="12" t="str">
        <f>IF('9b-Optional'!C85=0,"",'9b-Optional'!A85&amp;" "&amp;'9b-Optional'!B85)</f>
        <v>Scientific Operations Suite  For 16 Scientists</v>
      </c>
      <c r="I254" s="4">
        <f>'9b-Optional'!H85</f>
        <v>48</v>
      </c>
      <c r="J254" s="265">
        <f>'9b-Optional'!F85</f>
        <v>38400000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64</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64</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64</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64</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64</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64</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64</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64</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64</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64</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64</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64</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64</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64</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64</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64</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64</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64</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64</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64</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64</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64</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64</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64</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64</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64</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64</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64</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64</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64</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64</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64</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64</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64</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64</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64</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64</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65</v>
      </c>
      <c r="F292" s="73">
        <f t="shared" si="17"/>
        <v>65</v>
      </c>
      <c r="G292" s="397" t="str">
        <f>IF(H292="","",IF(AND(G285="",G286="",G287="",G288="",G289="",G290="",G291=""),"Staterooms",""))</f>
        <v>Staterooms</v>
      </c>
      <c r="H292" s="12" t="str">
        <f>IF('11-Staterooms'!C22=0,"",'11-Staterooms'!C22&amp;"x "&amp;'11-Staterooms'!A22)</f>
        <v>6x Middle Staterooms - Single</v>
      </c>
      <c r="I292" s="4">
        <f>'11-Staterooms'!H22</f>
        <v>24</v>
      </c>
      <c r="J292" s="265">
        <f>'11-Staterooms'!F22</f>
        <v>3000000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66</v>
      </c>
      <c r="F293" s="73">
        <f t="shared" si="17"/>
        <v>66</v>
      </c>
      <c r="G293" s="397" t="str">
        <f>IF(H293="","",IF(AND(G285="",G286="",G287="",G288="",G289="",G290="",G291="",G292=""),"Staterooms",""))</f>
        <v/>
      </c>
      <c r="H293" s="12" t="str">
        <f>IF('11-Staterooms'!C23=0,"",'11-Staterooms'!C23&amp;"x "&amp;'11-Staterooms'!A23)</f>
        <v>48x Middle Staterooms - Double</v>
      </c>
      <c r="I293" s="4">
        <f>'11-Staterooms'!H23</f>
        <v>192</v>
      </c>
      <c r="J293" s="265">
        <f>'11-Staterooms'!F23</f>
        <v>24000000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66</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66</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66</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66</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66</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66</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66</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66</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66</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66</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66</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66</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66</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66</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66</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66</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66</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66</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66</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66</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66</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66</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66</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66</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66</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66</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66</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66</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66</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66</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66</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66</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66</v>
      </c>
      <c r="F326" s="73" t="str">
        <f t="shared" si="23"/>
        <v/>
      </c>
      <c r="G326" s="401" t="str">
        <f>IF(H326="","","Entertainment")</f>
        <v/>
      </c>
      <c r="H326" s="391" t="str">
        <f>IF('11-Staterooms'!C62='11-Staterooms'!S54,"",'11-Staterooms'!C62&amp;" "&amp;'11-Staterooms'!B62)</f>
        <v/>
      </c>
      <c r="I326" s="237">
        <f>'11-Staterooms'!H62</f>
        <v>0</v>
      </c>
      <c r="J326" s="387">
        <f>'11-Staterooms'!F62</f>
        <v>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66</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67</v>
      </c>
      <c r="F328" s="73">
        <f t="shared" si="23"/>
        <v>67</v>
      </c>
      <c r="G328" s="397" t="str">
        <f>IF(H328="","",IF(AND(G326="",G327=""),"Entertainment",""))</f>
        <v>Entertainment</v>
      </c>
      <c r="H328" s="12" t="str">
        <f>IF('11-Staterooms'!C64=0,"",'11-Staterooms'!B64&amp;": "&amp;'11-Staterooms'!D64)</f>
        <v>Gourmet Kitchen: 33 diner capacity</v>
      </c>
      <c r="I328" s="4">
        <f>'11-Staterooms'!H64</f>
        <v>33</v>
      </c>
      <c r="J328" s="265">
        <f>'11-Staterooms'!F64</f>
        <v>6600000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68</v>
      </c>
      <c r="F329" s="73">
        <f t="shared" si="23"/>
        <v>68</v>
      </c>
      <c r="G329" s="397" t="str">
        <f>IF(H329="","",IF(AND(G326="",G327="",G328=""),"Entertainment",""))</f>
        <v/>
      </c>
      <c r="H329" s="12" t="str">
        <f>IF('11-Staterooms'!C65=0,"",'11-Staterooms'!B65&amp;": "&amp;'11-Staterooms'!D65)</f>
        <v>Hot Tub: Seating for 12</v>
      </c>
      <c r="I329" s="4">
        <f>'11-Staterooms'!H65</f>
        <v>3</v>
      </c>
      <c r="J329" s="265">
        <f>'11-Staterooms'!F65</f>
        <v>36000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68</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68</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69</v>
      </c>
      <c r="F332" s="73">
        <f t="shared" si="23"/>
        <v>69</v>
      </c>
      <c r="G332" s="397" t="str">
        <f>IF(H332="","",IF(AND(G326="",G327="",G328="",G329="",G330="",G331=""),"Entertainment",""))</f>
        <v/>
      </c>
      <c r="H332" s="12" t="str">
        <f>IF('11-Staterooms'!C68=0,"",'11-Staterooms'!B68)</f>
        <v>Basic Theater</v>
      </c>
      <c r="I332" s="4">
        <f>'11-Staterooms'!H68</f>
        <v>12</v>
      </c>
      <c r="J332" s="265">
        <f>'11-Staterooms'!F68</f>
        <v>1200000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70</v>
      </c>
      <c r="F333" s="73">
        <f t="shared" si="23"/>
        <v>70</v>
      </c>
      <c r="G333" s="397" t="str">
        <f>IF(H333="","",IF(AND(G326="",G327="",G328="",G329="",G330="",G331="",G332=""),"Entertainment",""))</f>
        <v/>
      </c>
      <c r="H333" s="12" t="str">
        <f>IF('11-Staterooms'!C69=0,"",'11-Staterooms'!B69)</f>
        <v>Advanced Theater</v>
      </c>
      <c r="I333" s="4">
        <f>'11-Staterooms'!H69</f>
        <v>8</v>
      </c>
      <c r="J333" s="265">
        <f>'11-Staterooms'!F69</f>
        <v>1600000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70</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71</v>
      </c>
      <c r="F335" s="73">
        <f t="shared" si="23"/>
        <v>71</v>
      </c>
      <c r="G335" s="398" t="str">
        <f>IF(H335="","",IF(AND(G326="",G327="",G328="",G329="",G330="",G331="",G332="",G333="",G334=""),"Entertainment",""))</f>
        <v/>
      </c>
      <c r="H335" s="392" t="str">
        <f>IF('11-Staterooms'!C71=0,"",'11-Staterooms'!B71)</f>
        <v>Zero-G Room</v>
      </c>
      <c r="I335" s="403">
        <f>'11-Staterooms'!H71</f>
        <v>12</v>
      </c>
      <c r="J335" s="266">
        <f>'11-Staterooms'!F71</f>
        <v>50000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71</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71</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71</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71</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71</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72</v>
      </c>
      <c r="F341" s="73">
        <f t="shared" si="23"/>
        <v>72</v>
      </c>
      <c r="G341" s="397" t="str">
        <f>IF(H341="","",IF(AND(G336="",G337="",G338="",G339="",G340=""),"Cargo",""))</f>
        <v>Cargo</v>
      </c>
      <c r="H341" s="12" t="str">
        <f>IF('12-Cargo'!H18=0,"",'12-Cargo'!C18&amp;"x "&amp;'12-Cargo'!D18&amp;" Ton "&amp;'12-Cargo'!A18&amp;": "&amp;'12-Cargo'!B18)</f>
        <v>1x 350 Ton Cargo Bay: Primary Cargo Bay</v>
      </c>
      <c r="I341" s="4">
        <f>'12-Cargo'!H18</f>
        <v>350</v>
      </c>
      <c r="J341" s="265">
        <f>'12-Cargo'!F18</f>
        <v>0</v>
      </c>
    </row>
    <row r="342" spans="1:10" ht="16">
      <c r="E342" s="73">
        <f t="shared" si="22"/>
        <v>73</v>
      </c>
      <c r="F342" s="73">
        <f t="shared" si="23"/>
        <v>73</v>
      </c>
      <c r="G342" s="397" t="str">
        <f>IF(H342="","",IF(AND(G336="",G337="",G338="",G339="",G340="",G341=""),"Cargo",""))</f>
        <v/>
      </c>
      <c r="H342" s="12" t="str">
        <f>IF('12-Cargo'!H18=0,"",IF('12-Cargo'!B19='12-Cargo'!S4,"",'12-Cargo'!C18&amp;"x "&amp;'12-Cargo'!A19))</f>
        <v xml:space="preserve">1x Cargo Crane </v>
      </c>
      <c r="I342" s="4">
        <f>'12-Cargo'!H19</f>
        <v>4</v>
      </c>
      <c r="J342" s="265">
        <f>'12-Cargo'!F19</f>
        <v>4000000</v>
      </c>
    </row>
    <row r="343" spans="1:10" ht="16">
      <c r="E343" s="73">
        <f t="shared" si="22"/>
        <v>74</v>
      </c>
      <c r="F343" s="73">
        <f t="shared" si="23"/>
        <v>74</v>
      </c>
      <c r="G343" s="397" t="str">
        <f>IF(H343="","",IF(AND(G336="",G337="",G338="",G339="",G340="",G341="",G342=""),"Cargo",""))</f>
        <v/>
      </c>
      <c r="H343" s="12" t="str">
        <f>IF('12-Cargo'!H18=0,"",IF('12-Cargo'!B20='12-Cargo'!S7,"",'12-Cargo'!C18*'12-Cargo'!C20&amp;"x "&amp;'12-Cargo'!B20&amp;" "&amp;'12-Cargo'!A20))</f>
        <v xml:space="preserve">5x  Standard Loading Belts </v>
      </c>
      <c r="I343" s="4">
        <f>'12-Cargo'!H20</f>
        <v>5</v>
      </c>
      <c r="J343" s="265">
        <f>'12-Cargo'!F20</f>
        <v>15000</v>
      </c>
    </row>
    <row r="344" spans="1:10" ht="32">
      <c r="E344" s="73">
        <f t="shared" si="22"/>
        <v>75</v>
      </c>
      <c r="F344" s="73">
        <f t="shared" si="23"/>
        <v>75</v>
      </c>
      <c r="G344" s="397" t="str">
        <f>IF(H344="","",IF(AND(G336="",G337="",G338="",G339="",G340="",G341="",G342="",G343=""),"Cargo",""))</f>
        <v/>
      </c>
      <c r="H344" s="12" t="str">
        <f>IF('12-Cargo'!H18=0,"",IF('12-Cargo'!B21='12-Cargo'!S4,"",'12-Cargo'!A21&amp;" for "&amp;H341))</f>
        <v>Armored Bulkhead for 1x 350 Ton Cargo Bay: Primary Cargo Bay</v>
      </c>
      <c r="I344" s="4">
        <f>'12-Cargo'!H21</f>
        <v>35.9</v>
      </c>
      <c r="J344" s="265">
        <f>'12-Cargo'!F21</f>
        <v>7180000</v>
      </c>
    </row>
    <row r="345" spans="1:10" ht="16">
      <c r="E345" s="73">
        <f t="shared" si="22"/>
        <v>76</v>
      </c>
      <c r="F345" s="73">
        <f t="shared" si="23"/>
        <v>76</v>
      </c>
      <c r="G345" s="397" t="str">
        <f>IF(H345="","",IF(AND(G336="",G337="",G338="",G339="",G340="",G341="",G342="",G343="",G344=""),"Cargo",""))</f>
        <v/>
      </c>
      <c r="H345" s="12" t="str">
        <f>IF('12-Cargo'!H22=0,"",'12-Cargo'!C22&amp;"x "&amp;'12-Cargo'!D22&amp;" Ton "&amp;'12-Cargo'!A22&amp;": "&amp;'12-Cargo'!B22)</f>
        <v>1x 300 Ton Cargo Bay: Biological Containment Bay</v>
      </c>
      <c r="I345" s="4">
        <f>'12-Cargo'!H22</f>
        <v>300</v>
      </c>
      <c r="J345" s="265">
        <f>'12-Cargo'!F22</f>
        <v>0</v>
      </c>
    </row>
    <row r="346" spans="1:10" ht="16">
      <c r="E346" s="73">
        <f t="shared" si="22"/>
        <v>77</v>
      </c>
      <c r="F346" s="73">
        <f t="shared" si="23"/>
        <v>77</v>
      </c>
      <c r="G346" s="397" t="str">
        <f>IF(H346="","",IF(AND(G336="",G337="",G338="",G339="",G340="",G341="",G342="",G343="",G344="",G345=""),"Cargo",""))</f>
        <v/>
      </c>
      <c r="H346" s="12" t="str">
        <f>IF('12-Cargo'!H22=0,"",IF('12-Cargo'!B23='12-Cargo'!S4,"",'12-Cargo'!C22&amp;"x "&amp;'12-Cargo'!A23))</f>
        <v xml:space="preserve">1x Cargo Crane </v>
      </c>
      <c r="I346" s="4">
        <f>'12-Cargo'!H23</f>
        <v>3.5</v>
      </c>
      <c r="J346" s="265">
        <f>'12-Cargo'!F23</f>
        <v>3500000</v>
      </c>
    </row>
    <row r="347" spans="1:10" ht="16">
      <c r="E347" s="73">
        <f t="shared" si="22"/>
        <v>78</v>
      </c>
      <c r="F347" s="73">
        <f t="shared" si="23"/>
        <v>78</v>
      </c>
      <c r="G347" s="397" t="str">
        <f>IF(H347="","",IF(AND(G336="",G337="",G338="",G339="",G340="",G341="",G342="",G343="",G344="",G345="",G346=""),"Cargo",""))</f>
        <v/>
      </c>
      <c r="H347" s="12" t="str">
        <f>IF('12-Cargo'!H22=0,"",IF('12-Cargo'!B24='12-Cargo'!S7,"",'12-Cargo'!C22*'12-Cargo'!C24&amp;"x "&amp;'12-Cargo'!B24&amp;" "&amp;'12-Cargo'!A24))</f>
        <v xml:space="preserve">1x  Standard Loading Belts </v>
      </c>
      <c r="I347" s="4">
        <f>'12-Cargo'!H24</f>
        <v>1</v>
      </c>
      <c r="J347" s="265">
        <f>'12-Cargo'!F24</f>
        <v>3000</v>
      </c>
    </row>
    <row r="348" spans="1:10" ht="32">
      <c r="E348" s="73">
        <f t="shared" si="22"/>
        <v>79</v>
      </c>
      <c r="F348" s="73">
        <f t="shared" si="23"/>
        <v>79</v>
      </c>
      <c r="G348" s="397" t="str">
        <f>IF(H348="","",IF(AND(G336="",G337="",G338="",G339="",G340="",G341="",G342="",G343="",G344="",G345="",G346="",G347=""),"Cargo",""))</f>
        <v/>
      </c>
      <c r="H348" s="12" t="str">
        <f>IF('12-Cargo'!H22=0,"",IF('12-Cargo'!B25='12-Cargo'!S4,"",'12-Cargo'!A25&amp;" for "&amp;H345))</f>
        <v>Armored Bulkhead for 1x 300 Ton Cargo Bay: Biological Containment Bay</v>
      </c>
      <c r="I348" s="4">
        <f>'12-Cargo'!H25</f>
        <v>30.450000000000003</v>
      </c>
      <c r="J348" s="265">
        <f>'12-Cargo'!F25</f>
        <v>6090000.0000000009</v>
      </c>
    </row>
    <row r="349" spans="1:10" ht="16">
      <c r="E349" s="73">
        <f t="shared" si="22"/>
        <v>80</v>
      </c>
      <c r="F349" s="73">
        <f t="shared" si="23"/>
        <v>80</v>
      </c>
      <c r="G349" s="397" t="str">
        <f>IF(H349="","",IF(AND(G336="",G337="",G338="",G339="",G340="",G341="",G342="",G343="",G344="",G345="",G346="",G347="",G348=""),"Cargo",""))</f>
        <v/>
      </c>
      <c r="H349" s="12" t="str">
        <f>IF('12-Cargo'!H26=0,"",'12-Cargo'!C26&amp;"x "&amp;'12-Cargo'!D26&amp;" Ton "&amp;'12-Cargo'!A26&amp;": "&amp;'12-Cargo'!B26)</f>
        <v>1x 350 Ton Cargo Bay: Secondary Cargo Bay</v>
      </c>
      <c r="I349" s="4">
        <f>'12-Cargo'!H26</f>
        <v>350</v>
      </c>
      <c r="J349" s="265">
        <f>'12-Cargo'!F26</f>
        <v>0</v>
      </c>
    </row>
    <row r="350" spans="1:10" ht="16">
      <c r="E350" s="73">
        <f t="shared" si="22"/>
        <v>81</v>
      </c>
      <c r="F350" s="73">
        <f t="shared" si="23"/>
        <v>81</v>
      </c>
      <c r="G350" s="397" t="str">
        <f>IF(H350="","",IF(AND(G336="",G337="",G338="",G339="",G340="",G341="",G342="",G343="",G344="",G345="",G346="",G347="",G348="",G349=""),"Cargo",""))</f>
        <v/>
      </c>
      <c r="H350" s="12" t="str">
        <f>IF('12-Cargo'!H26=0,"",IF('12-Cargo'!B27='12-Cargo'!S4,"",'12-Cargo'!C26&amp;"x "&amp;'12-Cargo'!A27))</f>
        <v xml:space="preserve">1x Cargo Crane </v>
      </c>
      <c r="I350" s="4">
        <f>'12-Cargo'!H27</f>
        <v>4</v>
      </c>
      <c r="J350" s="265">
        <f>'12-Cargo'!F27</f>
        <v>4000000</v>
      </c>
    </row>
    <row r="351" spans="1:10" ht="16">
      <c r="E351" s="73">
        <f t="shared" si="22"/>
        <v>82</v>
      </c>
      <c r="F351" s="73">
        <f t="shared" si="23"/>
        <v>82</v>
      </c>
      <c r="G351" s="397" t="str">
        <f>IF(H351="","",IF(AND(G336="",G337="",G338="",G339="",G340="",G341="",G342="",G343="",G344="",G345="",G346="",G347="",G348="",G349="",G350=""),"Cargo",""))</f>
        <v/>
      </c>
      <c r="H351" s="12" t="str">
        <f>IF('12-Cargo'!H26=0,"",IF('12-Cargo'!B28='12-Cargo'!S7,"",'12-Cargo'!C26*'12-Cargo'!C28&amp;"x "&amp;'12-Cargo'!B28&amp;" "&amp;'12-Cargo'!A28))</f>
        <v xml:space="preserve">5x  Standard Loading Belts </v>
      </c>
      <c r="I351" s="4">
        <f>'12-Cargo'!H28</f>
        <v>5</v>
      </c>
      <c r="J351" s="265">
        <f>'12-Cargo'!F28</f>
        <v>15000</v>
      </c>
    </row>
    <row r="352" spans="1:10" ht="32">
      <c r="E352" s="73">
        <f t="shared" si="22"/>
        <v>83</v>
      </c>
      <c r="F352" s="73">
        <f t="shared" si="23"/>
        <v>83</v>
      </c>
      <c r="G352" s="397" t="str">
        <f>IF(H352="","",IF(AND(G336="",G337="",G338="",G339="",G340="",G341="",G342="",G343="",G344="",G345="",G346="",G347="",G348="",G349="",G350="",G351=""),"Cargo",""))</f>
        <v/>
      </c>
      <c r="H352" s="12" t="str">
        <f>IF('12-Cargo'!H26=0,"",IF('12-Cargo'!B29='12-Cargo'!S4,"",'12-Cargo'!A29&amp;" for "&amp;H349))</f>
        <v>Armored Bulkhead for 1x 350 Ton Cargo Bay: Secondary Cargo Bay</v>
      </c>
      <c r="I352" s="4">
        <f>'12-Cargo'!H29</f>
        <v>35.9</v>
      </c>
      <c r="J352" s="265">
        <f>'12-Cargo'!F29</f>
        <v>7180000</v>
      </c>
    </row>
    <row r="353" spans="5:10" ht="16">
      <c r="E353" s="73">
        <f t="shared" si="22"/>
        <v>83</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83</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84</v>
      </c>
      <c r="F355" s="73">
        <f t="shared" si="23"/>
        <v>84</v>
      </c>
      <c r="G355" s="397" t="str">
        <f>IF(H355="","",IF(AND(G336="",G337="",G338="",G339="",G340="",G341="",G342="",G343="",G344="",G345="",G346="",G347="",G348="",G349="",G350="",G351="",G352="",G353="",G354=""),"Cargo",""))</f>
        <v/>
      </c>
      <c r="H355" s="392" t="str">
        <f>IF('12-Cargo'!D34=0,"",'12-Cargo'!A34&amp;" : "&amp;ROUND('12-Cargo'!D34*100/(Tonnage/100),2)&amp;" Days")</f>
        <v>Supplies Stores and Spares : 300 Days</v>
      </c>
      <c r="I355" s="403">
        <f>'12-Cargo'!H34</f>
        <v>300</v>
      </c>
      <c r="J355" s="266" t="str">
        <f>""</f>
        <v/>
      </c>
    </row>
    <row r="356" spans="5:10" ht="16">
      <c r="E356" s="73">
        <f t="shared" si="22"/>
        <v>84</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84</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84</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84</v>
      </c>
      <c r="F359" s="73" t="str">
        <f t="shared" si="23"/>
        <v/>
      </c>
      <c r="G359" s="397"/>
      <c r="H359" s="12" t="str">
        <f>IF('12-Cargo'!D44=0,"",IF('12-Cargo'!D45='12-Cargo'!$T$3,"","Armored ")&amp;'12-Cargo'!B44&amp;" Storage")</f>
        <v/>
      </c>
      <c r="I359" s="4">
        <f>SUM('12-Cargo'!H44:H45)</f>
        <v>0</v>
      </c>
      <c r="J359" s="265">
        <f>'12-Cargo'!F45</f>
        <v>0</v>
      </c>
    </row>
    <row r="360" spans="5:10" ht="16">
      <c r="E360" s="73">
        <f t="shared" si="22"/>
        <v>84</v>
      </c>
      <c r="F360" s="73" t="str">
        <f t="shared" si="23"/>
        <v/>
      </c>
      <c r="G360" s="397"/>
      <c r="H360" s="12" t="str">
        <f>IF('12-Cargo'!D46=0,"",IF('12-Cargo'!D47='12-Cargo'!$T$3,"","Armored ")&amp;'12-Cargo'!B46&amp;" Storage")</f>
        <v/>
      </c>
      <c r="I360" s="4">
        <f>SUM('12-Cargo'!H46:H47)</f>
        <v>0</v>
      </c>
      <c r="J360" s="265">
        <f>'12-Cargo'!F47</f>
        <v>0</v>
      </c>
    </row>
    <row r="361" spans="5:10" ht="16">
      <c r="E361" s="73">
        <f t="shared" si="22"/>
        <v>84</v>
      </c>
      <c r="F361" s="73" t="str">
        <f t="shared" si="23"/>
        <v/>
      </c>
      <c r="G361" s="398"/>
      <c r="H361" s="392" t="str">
        <f>IF('12-Cargo'!D48=0,"",IF('12-Cargo'!D49='12-Cargo'!$T$3,"","Armored ")&amp;'12-Cargo'!B48&amp;" Storage")</f>
        <v/>
      </c>
      <c r="I361" s="403">
        <f>SUM('12-Cargo'!H48:H49)</f>
        <v>0</v>
      </c>
      <c r="J361" s="266">
        <f>'12-Cargo'!F49</f>
        <v>0</v>
      </c>
    </row>
    <row r="362" spans="5:10" ht="16">
      <c r="E362" s="73">
        <f t="shared" si="22"/>
        <v>84</v>
      </c>
      <c r="F362" s="73" t="str">
        <f t="shared" si="23"/>
        <v/>
      </c>
      <c r="H362" s="12" t="str">
        <f>""</f>
        <v/>
      </c>
      <c r="J362" s="4" t="s">
        <v>2065</v>
      </c>
    </row>
    <row r="363" spans="5:10" ht="16">
      <c r="E363" s="73">
        <f t="shared" si="22"/>
        <v>84</v>
      </c>
      <c r="F363" s="73" t="str">
        <f t="shared" si="23"/>
        <v/>
      </c>
      <c r="H363" s="12" t="str">
        <f>""</f>
        <v/>
      </c>
      <c r="J363" s="4" t="s">
        <v>2065</v>
      </c>
    </row>
    <row r="364" spans="5:10" ht="16">
      <c r="E364" s="73">
        <f t="shared" si="22"/>
        <v>84</v>
      </c>
      <c r="F364" s="73" t="str">
        <f t="shared" si="23"/>
        <v/>
      </c>
      <c r="H364" s="12" t="str">
        <f>""</f>
        <v/>
      </c>
      <c r="J364" s="4" t="s">
        <v>2065</v>
      </c>
    </row>
    <row r="365" spans="5:10" ht="16">
      <c r="E365" s="73">
        <f t="shared" si="22"/>
        <v>84</v>
      </c>
      <c r="F365" s="73" t="str">
        <f t="shared" si="23"/>
        <v/>
      </c>
      <c r="H365" s="12" t="str">
        <f>""</f>
        <v/>
      </c>
      <c r="J365" s="4" t="s">
        <v>2065</v>
      </c>
    </row>
    <row r="366" spans="5:10" ht="16">
      <c r="E366" s="73">
        <f t="shared" si="22"/>
        <v>84</v>
      </c>
      <c r="F366" s="73" t="str">
        <f t="shared" si="23"/>
        <v/>
      </c>
      <c r="H366" s="12" t="str">
        <f>""</f>
        <v/>
      </c>
      <c r="J366" s="4" t="s">
        <v>2065</v>
      </c>
    </row>
    <row r="367" spans="5:10" ht="16">
      <c r="E367" s="73">
        <f t="shared" si="22"/>
        <v>84</v>
      </c>
      <c r="F367" s="73" t="str">
        <f t="shared" si="23"/>
        <v/>
      </c>
      <c r="H367" s="12" t="str">
        <f>""</f>
        <v/>
      </c>
      <c r="J367" s="4" t="s">
        <v>2065</v>
      </c>
    </row>
    <row r="368" spans="5:10" ht="16">
      <c r="E368" s="73">
        <f t="shared" si="22"/>
        <v>84</v>
      </c>
      <c r="F368" s="73" t="str">
        <f t="shared" si="23"/>
        <v/>
      </c>
      <c r="H368" s="12" t="str">
        <f>""</f>
        <v/>
      </c>
      <c r="J368" s="4" t="s">
        <v>2065</v>
      </c>
    </row>
    <row r="369" spans="5:10" ht="16">
      <c r="E369" s="73">
        <f t="shared" si="22"/>
        <v>84</v>
      </c>
      <c r="F369" s="73" t="str">
        <f t="shared" si="23"/>
        <v/>
      </c>
      <c r="H369" s="12" t="str">
        <f>""</f>
        <v/>
      </c>
      <c r="J369" s="4" t="s">
        <v>2065</v>
      </c>
    </row>
    <row r="370" spans="5:10">
      <c r="E370" s="73">
        <f t="shared" si="22"/>
        <v>85</v>
      </c>
      <c r="F370" s="73">
        <f t="shared" si="23"/>
        <v>85</v>
      </c>
      <c r="G370" s="401" t="s">
        <v>666</v>
      </c>
      <c r="H370" s="492">
        <f>SUM(J2:J369)</f>
        <v>10932769000.000004</v>
      </c>
      <c r="I370" s="237" t="s">
        <v>2066</v>
      </c>
      <c r="J370" s="387" t="str">
        <f>""</f>
        <v/>
      </c>
    </row>
    <row r="371" spans="5:10" ht="16">
      <c r="E371" s="73">
        <f t="shared" si="22"/>
        <v>86</v>
      </c>
      <c r="F371" s="73">
        <f t="shared" si="23"/>
        <v>86</v>
      </c>
      <c r="H371" s="12" t="str">
        <f>IF('Ship Info'!F3="No","","Purchase Price: ")</f>
        <v xml:space="preserve">Purchase Price: </v>
      </c>
      <c r="I371" s="4" t="str">
        <f>""</f>
        <v/>
      </c>
      <c r="J371" s="4">
        <f>'Ship Info'!G2</f>
        <v>9839492100.0000038</v>
      </c>
    </row>
    <row r="372" spans="5:10" ht="16">
      <c r="E372" s="73">
        <f t="shared" si="22"/>
        <v>87</v>
      </c>
      <c r="F372" s="73">
        <f t="shared" si="23"/>
        <v>87</v>
      </c>
      <c r="G372" s="397" t="str">
        <f>"Ship's Expenses"</f>
        <v>Ship's Expenses</v>
      </c>
      <c r="H372" s="12" t="str">
        <f>'Ship Info'!A24</f>
        <v>Mortgage:</v>
      </c>
      <c r="I372" s="4" t="str">
        <f>""</f>
        <v/>
      </c>
      <c r="J372" s="265">
        <f>'Ship Info'!B24</f>
        <v>40997883.750000015</v>
      </c>
    </row>
    <row r="373" spans="5:10" ht="16">
      <c r="E373" s="73">
        <f t="shared" si="22"/>
        <v>88</v>
      </c>
      <c r="F373" s="73">
        <f t="shared" si="23"/>
        <v>88</v>
      </c>
      <c r="G373" s="397"/>
      <c r="H373" s="12" t="str">
        <f>'Ship Info'!A25</f>
        <v>Maintenance Cost</v>
      </c>
      <c r="I373" s="4" t="str">
        <f>""</f>
        <v/>
      </c>
      <c r="J373" s="265">
        <f>'Ship Info'!B25</f>
        <v>819958</v>
      </c>
    </row>
    <row r="374" spans="5:10" ht="16">
      <c r="E374" s="73">
        <f t="shared" si="22"/>
        <v>89</v>
      </c>
      <c r="F374" s="73">
        <f t="shared" si="23"/>
        <v>89</v>
      </c>
      <c r="G374" s="397"/>
      <c r="H374" s="12" t="str">
        <f>'Ship Info'!A26</f>
        <v>Life Support:</v>
      </c>
      <c r="I374" s="4" t="str">
        <f>""</f>
        <v/>
      </c>
      <c r="J374" s="265">
        <f>'Ship Info'!B26</f>
        <v>156000</v>
      </c>
    </row>
    <row r="375" spans="5:10" ht="16">
      <c r="E375" s="73">
        <f t="shared" si="22"/>
        <v>90</v>
      </c>
      <c r="F375" s="73">
        <f t="shared" si="23"/>
        <v>90</v>
      </c>
      <c r="G375" s="397"/>
      <c r="H375" s="12" t="str">
        <f>'Ship Info'!A27</f>
        <v>Crew Salaries:</v>
      </c>
      <c r="I375" s="4" t="str">
        <f>""</f>
        <v/>
      </c>
      <c r="J375" s="265">
        <f>'Ship Info'!B27</f>
        <v>359500</v>
      </c>
    </row>
    <row r="376" spans="5:10" ht="16">
      <c r="E376" s="73">
        <f t="shared" si="22"/>
        <v>91</v>
      </c>
      <c r="F376" s="73">
        <f t="shared" si="23"/>
        <v>91</v>
      </c>
      <c r="G376" s="398"/>
      <c r="H376" s="392" t="str">
        <f>'Ship Info'!A29</f>
        <v>Total Expenses:</v>
      </c>
      <c r="I376" s="403" t="str">
        <f>""</f>
        <v/>
      </c>
      <c r="J376" s="266">
        <f>'Ship Info'!B29</f>
        <v>42333341.750000015</v>
      </c>
    </row>
    <row r="377" spans="5:10" ht="16">
      <c r="E377" s="73">
        <f t="shared" ref="E377:E440" si="24">IF(H377="",E376,E376+1)</f>
        <v>92</v>
      </c>
      <c r="F377" s="73">
        <f t="shared" ref="F377:F440" si="25">IF(E377=E376,"",E377)</f>
        <v>92</v>
      </c>
      <c r="G377" s="401" t="str">
        <f>IF(H377="","","Crew")</f>
        <v>Crew</v>
      </c>
      <c r="H377" s="391" t="str">
        <f>IF('10-Crew'!F10=0,"",'10-Crew'!F10&amp;"x CAPTAIN")</f>
        <v>1x CAPTAIN</v>
      </c>
      <c r="I377" s="237" t="str">
        <f>""</f>
        <v/>
      </c>
      <c r="J377" s="387">
        <f>'10-Crew'!G10</f>
        <v>10000</v>
      </c>
    </row>
    <row r="378" spans="5:10" ht="16">
      <c r="E378" s="73">
        <f t="shared" si="24"/>
        <v>93</v>
      </c>
      <c r="F378" s="73">
        <f t="shared" si="25"/>
        <v>93</v>
      </c>
      <c r="G378" s="397" t="str">
        <f>IF(H378="","",IF(G377="","Crew",""))</f>
        <v/>
      </c>
      <c r="H378" s="12" t="str">
        <f>IF('10-Crew'!F11=0,"",'10-Crew'!F11&amp;"x "&amp;'10-Crew'!A11)</f>
        <v>13x PILOT</v>
      </c>
      <c r="I378" s="4" t="str">
        <f>""</f>
        <v/>
      </c>
      <c r="J378" s="265">
        <f>'10-Crew'!G11</f>
        <v>78000</v>
      </c>
    </row>
    <row r="379" spans="5:10" ht="16">
      <c r="E379" s="73">
        <f t="shared" si="24"/>
        <v>94</v>
      </c>
      <c r="F379" s="73">
        <f t="shared" si="25"/>
        <v>94</v>
      </c>
      <c r="G379" s="397" t="str">
        <f>IF(H379="","",IF(AND(G377="",G378=""),"Crew",""))</f>
        <v/>
      </c>
      <c r="H379" s="12" t="str">
        <f>IF('10-Crew'!F12=0,"",'10-Crew'!F12&amp;"x "&amp;'10-Crew'!A12)</f>
        <v>1x ASTROGATOR</v>
      </c>
      <c r="I379" s="4" t="str">
        <f>""</f>
        <v/>
      </c>
      <c r="J379" s="265">
        <f>'10-Crew'!G12</f>
        <v>5000</v>
      </c>
    </row>
    <row r="380" spans="5:10" ht="16">
      <c r="E380" s="73">
        <f t="shared" si="24"/>
        <v>95</v>
      </c>
      <c r="F380" s="73">
        <f t="shared" si="25"/>
        <v>95</v>
      </c>
      <c r="G380" s="397" t="str">
        <f>IF(H380="","",IF(AND(G377="",G378="",G379=""),"Crew",""))</f>
        <v/>
      </c>
      <c r="H380" s="12" t="str">
        <f>IF('10-Crew'!F13=0,"",'10-Crew'!F13&amp;"x "&amp;'10-Crew'!A13)</f>
        <v>24x ENGINEER</v>
      </c>
      <c r="I380" s="4" t="str">
        <f>""</f>
        <v/>
      </c>
      <c r="J380" s="265">
        <f>'10-Crew'!G13</f>
        <v>96000</v>
      </c>
    </row>
    <row r="381" spans="5:10" ht="16">
      <c r="E381" s="73">
        <f t="shared" si="24"/>
        <v>96</v>
      </c>
      <c r="F381" s="73">
        <f t="shared" si="25"/>
        <v>96</v>
      </c>
      <c r="G381" s="397" t="str">
        <f>IF(H381="","",IF(AND(G377="",G378="",G379="",G380=""),"Crew",""))</f>
        <v/>
      </c>
      <c r="H381" s="12" t="str">
        <f>IF('10-Crew'!F14=0,"",'10-Crew'!F14&amp;"x "&amp;'10-Crew'!A14)</f>
        <v>10x MAINTENANCE</v>
      </c>
      <c r="I381" s="4" t="str">
        <f>""</f>
        <v/>
      </c>
      <c r="J381" s="265">
        <f>'10-Crew'!G14</f>
        <v>10000</v>
      </c>
    </row>
    <row r="382" spans="5:10" ht="16">
      <c r="E382" s="73">
        <f t="shared" si="24"/>
        <v>97</v>
      </c>
      <c r="F382" s="73">
        <f t="shared" si="25"/>
        <v>97</v>
      </c>
      <c r="G382" s="397" t="str">
        <f>IF(H382="","",IF(AND(G378="",G379="",G377="",G380="",G381=""),"Crew",""))</f>
        <v/>
      </c>
      <c r="H382" s="12" t="str">
        <f>IF('10-Crew'!F15=0,"",'10-Crew'!F15&amp;"x "&amp;'10-Crew'!A15)</f>
        <v>1x MEDIC</v>
      </c>
      <c r="I382" s="4" t="str">
        <f>""</f>
        <v/>
      </c>
      <c r="J382" s="265">
        <f>'10-Crew'!G15</f>
        <v>4000</v>
      </c>
    </row>
    <row r="383" spans="5:10" ht="16">
      <c r="E383" s="73">
        <f t="shared" si="24"/>
        <v>98</v>
      </c>
      <c r="F383" s="73">
        <f t="shared" si="25"/>
        <v>98</v>
      </c>
      <c r="G383" s="397" t="str">
        <f>IF(H383="","",IF(AND(G377="",G379="",G380="",G378="",G381="",G382=""),"Crew",""))</f>
        <v/>
      </c>
      <c r="H383" s="12" t="str">
        <f>IF('10-Crew'!F16=0,"",'10-Crew'!F16&amp;"x "&amp;'10-Crew'!A16)</f>
        <v>17x GUNNER</v>
      </c>
      <c r="I383" s="4" t="str">
        <f>""</f>
        <v/>
      </c>
      <c r="J383" s="265">
        <f>'10-Crew'!G16</f>
        <v>34000</v>
      </c>
    </row>
    <row r="384" spans="5:10" ht="16">
      <c r="E384" s="73">
        <f t="shared" si="24"/>
        <v>99</v>
      </c>
      <c r="F384" s="73">
        <f t="shared" si="25"/>
        <v>99</v>
      </c>
      <c r="G384" s="397" t="str">
        <f>IF(H384="","",IF(AND(G377="",G378="",G380="",G381="",G379="",G382="",G383=""),"Crew",""))</f>
        <v/>
      </c>
      <c r="H384" s="12" t="str">
        <f>IF('10-Crew'!F17=0,"",'10-Crew'!F17&amp;"x "&amp;'10-Crew'!A17&amp;", "&amp;'7-Sensors'!C13&amp;" Sensor Actions per Round")</f>
        <v>9x SENSOP, 2 Sensor Actions per Round</v>
      </c>
      <c r="I384" s="4" t="str">
        <f>""</f>
        <v/>
      </c>
      <c r="J384" s="265">
        <f>'10-Crew'!G17</f>
        <v>36000</v>
      </c>
    </row>
    <row r="385" spans="5:10" ht="16">
      <c r="E385" s="73">
        <f t="shared" si="24"/>
        <v>99</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100</v>
      </c>
      <c r="F386" s="73">
        <f t="shared" si="25"/>
        <v>100</v>
      </c>
      <c r="G386" s="397" t="str">
        <f>IF(H386="","",IF(AND(G377="",G378="",G379="",G380="",G382="",G383="",G381="",G384="",G385=""),"Crew",""))</f>
        <v/>
      </c>
      <c r="H386" s="12" t="str">
        <f>IF('10-Crew'!F19=0,"",'10-Crew'!F19&amp;"x "&amp;'10-Crew'!A19)</f>
        <v>3x ADMINISTRATOR</v>
      </c>
      <c r="I386" s="4" t="str">
        <f>""</f>
        <v/>
      </c>
      <c r="J386" s="265">
        <f>'10-Crew'!G19</f>
        <v>4500</v>
      </c>
    </row>
    <row r="387" spans="5:10" ht="15" customHeight="1">
      <c r="E387" s="73">
        <f t="shared" si="24"/>
        <v>100</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100</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100</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100</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100</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100</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101</v>
      </c>
      <c r="F393" s="73">
        <f t="shared" si="25"/>
        <v>101</v>
      </c>
      <c r="G393" s="397" t="str">
        <f>IF(H393="","",IF(AND(G377="",G378="",G379="",G380="",G381="",G382="",G383="",G384="",G385="",G386="",G387="",G389="",G390="",G388="",G391="",G392=""),"Crew",""))</f>
        <v/>
      </c>
      <c r="H393" s="12" t="str">
        <f>IF('10-Crew'!F26=0,"",'10-Crew'!F26&amp;"x "&amp;'10-Crew'!A26)</f>
        <v>2x OFFICERS</v>
      </c>
      <c r="I393" s="4" t="str">
        <f>""</f>
        <v/>
      </c>
      <c r="J393" s="265">
        <f>'10-Crew'!G26</f>
        <v>10000</v>
      </c>
    </row>
    <row r="394" spans="5:10" ht="16">
      <c r="E394" s="73">
        <f t="shared" si="24"/>
        <v>101</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102</v>
      </c>
      <c r="F395" s="73">
        <f t="shared" si="25"/>
        <v>102</v>
      </c>
      <c r="G395" s="397" t="str">
        <f>IF(H395="","",IF(AND(G377="",G378="",G379="",G380="",G381="",G382="",G383="",G384="",G385="",G386="",G387="",G388="",G389="",G391="",G392="",G390="",G393="",G394=""),"Crew",""))</f>
        <v/>
      </c>
      <c r="H395" s="12" t="str">
        <f>IF('10-Crew'!F28=0,"",'10-Crew'!F28&amp;"x "&amp;'10-Crew'!A28)</f>
        <v>18x SCIENTISTS</v>
      </c>
      <c r="I395" s="4" t="str">
        <f>""</f>
        <v/>
      </c>
      <c r="J395" s="265">
        <f>'10-Crew'!G28</f>
        <v>72000</v>
      </c>
    </row>
    <row r="396" spans="5:10" ht="16">
      <c r="E396" s="73">
        <f t="shared" si="24"/>
        <v>103</v>
      </c>
      <c r="F396" s="73">
        <f t="shared" si="25"/>
        <v>103</v>
      </c>
      <c r="G396" s="401" t="s">
        <v>55</v>
      </c>
      <c r="H396" s="391" t="s">
        <v>2164</v>
      </c>
      <c r="I396" s="237" t="str">
        <f>"Available:"</f>
        <v>Available:</v>
      </c>
      <c r="J396" s="387" t="str">
        <f>'3-Pwr Plant'!L6&amp;" PP"</f>
        <v>7500 PP</v>
      </c>
    </row>
    <row r="397" spans="5:10" ht="16">
      <c r="E397" s="73">
        <f t="shared" si="24"/>
        <v>104</v>
      </c>
      <c r="F397" s="73">
        <f t="shared" si="25"/>
        <v>104</v>
      </c>
      <c r="G397" s="397"/>
      <c r="H397" s="12" t="s">
        <v>744</v>
      </c>
      <c r="I397" s="4" t="str">
        <f>""</f>
        <v/>
      </c>
      <c r="J397" s="265" t="str">
        <f>'3-Pwr Plant'!O9&amp;"/"&amp;'3-Pwr Plant'!O10&amp;" ("&amp;'3-Pwr Plant'!O9/2&amp;") PP"</f>
        <v>2000/0 (1000) PP</v>
      </c>
    </row>
    <row r="398" spans="5:10" ht="16">
      <c r="E398" s="73">
        <f t="shared" si="24"/>
        <v>105</v>
      </c>
      <c r="F398" s="73">
        <f t="shared" si="25"/>
        <v>105</v>
      </c>
      <c r="G398" s="397"/>
      <c r="H398" s="12" t="str">
        <f>IF(SUM('3-Pwr Plant'!O12,'3-Pwr Plant'!O14)=0,"","Jump")</f>
        <v>Jump</v>
      </c>
      <c r="I398" s="4" t="str">
        <f>""</f>
        <v/>
      </c>
      <c r="J398" s="265" t="str">
        <f>'3-Pwr Plant'!O12&amp;"/"&amp;'3-Pwr Plant'!O14&amp;" PP"</f>
        <v>4000/0 PP</v>
      </c>
    </row>
    <row r="399" spans="5:10" ht="16">
      <c r="E399" s="73">
        <f t="shared" si="24"/>
        <v>106</v>
      </c>
      <c r="F399" s="73">
        <f t="shared" si="25"/>
        <v>106</v>
      </c>
      <c r="G399" s="397"/>
      <c r="H399" s="12" t="str">
        <f>IF(SUM('3-Pwr Plant'!O11,'3-Pwr Plant'!O13)=0,"","Maneuver")</f>
        <v>Maneuver</v>
      </c>
      <c r="I399" s="4" t="str">
        <f>""</f>
        <v/>
      </c>
      <c r="J399" s="265" t="str">
        <f>'3-Pwr Plant'!O11&amp;" ("&amp;'3-Pwr Plant'!O11&amp;"/"&amp;'3-Pwr Plant'!O13&amp;") PP"</f>
        <v>750 (750/0) PP</v>
      </c>
    </row>
    <row r="400" spans="5:10" ht="16">
      <c r="E400" s="73">
        <f t="shared" si="24"/>
        <v>107</v>
      </c>
      <c r="F400" s="73">
        <f t="shared" si="25"/>
        <v>107</v>
      </c>
      <c r="G400" s="397"/>
      <c r="H400" s="12" t="str">
        <f>IF('3-Pwr Plant'!O15=0,"",'3-Pwr Plant'!N15)</f>
        <v>Fuel</v>
      </c>
      <c r="I400" s="4" t="str">
        <f>""</f>
        <v/>
      </c>
      <c r="J400" s="265" t="str">
        <f>'3-Pwr Plant'!O15&amp;" PP"</f>
        <v>200 PP</v>
      </c>
    </row>
    <row r="401" spans="5:10" ht="16">
      <c r="E401" s="73">
        <f t="shared" si="24"/>
        <v>108</v>
      </c>
      <c r="F401" s="73">
        <f t="shared" si="25"/>
        <v>108</v>
      </c>
      <c r="G401" s="397"/>
      <c r="H401" s="12" t="str">
        <f>IF('3-Pwr Plant'!O16=0,"",'3-Pwr Plant'!N16)</f>
        <v>Sensors</v>
      </c>
      <c r="I401" s="4" t="str">
        <f>""</f>
        <v/>
      </c>
      <c r="J401" s="265" t="str">
        <f>'3-Pwr Plant'!O16&amp;" PP"</f>
        <v>257 PP</v>
      </c>
    </row>
    <row r="402" spans="5:10" ht="16">
      <c r="E402" s="73">
        <f t="shared" si="24"/>
        <v>109</v>
      </c>
      <c r="F402" s="73">
        <f t="shared" si="25"/>
        <v>109</v>
      </c>
      <c r="G402" s="397"/>
      <c r="H402" s="12" t="str">
        <f>IF('3-Pwr Plant'!O17=0,"","Weapons")</f>
        <v>Weapons</v>
      </c>
      <c r="I402" s="4" t="str">
        <f>""</f>
        <v/>
      </c>
      <c r="J402" s="265" t="str">
        <f>'3-Pwr Plant'!O17&amp;" ("&amp;'3-Pwr Plant'!O17&amp;") PP"</f>
        <v>160 (160) PP</v>
      </c>
    </row>
    <row r="403" spans="5:10" ht="16">
      <c r="E403" s="73">
        <f t="shared" si="24"/>
        <v>110</v>
      </c>
      <c r="F403" s="73">
        <f t="shared" si="25"/>
        <v>110</v>
      </c>
      <c r="G403" s="397"/>
      <c r="H403" s="12" t="str">
        <f>IF('3-Pwr Plant'!O18=0,"","Screens")</f>
        <v>Screens</v>
      </c>
      <c r="I403" s="4" t="str">
        <f>""</f>
        <v/>
      </c>
      <c r="J403" s="265" t="str">
        <f>'3-Pwr Plant'!O18&amp;" ("&amp;'3-Pwr Plant'!O18&amp;") PP"</f>
        <v>125 (125) PP</v>
      </c>
    </row>
    <row r="404" spans="5:10" ht="16">
      <c r="E404" s="73">
        <f t="shared" si="24"/>
        <v>110</v>
      </c>
      <c r="F404" s="73" t="str">
        <f t="shared" si="25"/>
        <v/>
      </c>
      <c r="G404" s="397"/>
      <c r="H404" s="12" t="str">
        <f>IF('9a-Optional'!S32=0,"","Extra-Vehicular Operations")</f>
        <v/>
      </c>
      <c r="I404" s="4" t="str">
        <f>""</f>
        <v/>
      </c>
      <c r="J404" s="265" t="str">
        <f>'9a-Optional'!S32&amp;" PP"</f>
        <v>0 PP</v>
      </c>
    </row>
    <row r="405" spans="5:10" ht="16">
      <c r="E405" s="73">
        <f t="shared" si="24"/>
        <v>111</v>
      </c>
      <c r="F405" s="73">
        <f t="shared" si="25"/>
        <v>111</v>
      </c>
      <c r="G405" s="397"/>
      <c r="H405" s="12" t="str">
        <f>IF('9b-Optional'!S13=0,"","Optional Components")</f>
        <v>Optional Components</v>
      </c>
      <c r="I405" s="4" t="str">
        <f>""</f>
        <v/>
      </c>
      <c r="J405" s="265" t="str">
        <f>'9b-Optional'!S13&amp;" PP"</f>
        <v>19 PP</v>
      </c>
    </row>
    <row r="406" spans="5:10" ht="16">
      <c r="E406" s="73">
        <f t="shared" si="24"/>
        <v>112</v>
      </c>
      <c r="F406" s="73">
        <f t="shared" si="25"/>
        <v>112</v>
      </c>
      <c r="G406" s="397"/>
      <c r="H406" s="12" t="str">
        <f>IF(SUM('3-Pwr Plant'!O20:O22)=0,"","Miscellaneous")</f>
        <v>Miscellaneous</v>
      </c>
      <c r="I406" s="4" t="str">
        <f>""</f>
        <v/>
      </c>
      <c r="J406" s="265" t="str">
        <f>SUM('3-Pwr Plant'!O20:O22)&amp;" PP"</f>
        <v>11 PP</v>
      </c>
    </row>
    <row r="407" spans="5:10" ht="16">
      <c r="E407" s="73">
        <f t="shared" si="24"/>
        <v>113</v>
      </c>
      <c r="F407" s="73">
        <f t="shared" si="25"/>
        <v>113</v>
      </c>
      <c r="G407" s="398"/>
      <c r="H407" s="392" t="s">
        <v>2165</v>
      </c>
      <c r="I407" s="403" t="str">
        <f>""</f>
        <v/>
      </c>
      <c r="J407" s="266" t="str">
        <f>'3-Pwr Plant'!O23&amp;" ("&amp;'3-Pwr Plant'!O26&amp;")"</f>
        <v>7515 (2292)</v>
      </c>
    </row>
    <row r="408" spans="5:10">
      <c r="E408" s="73">
        <f t="shared" si="24"/>
        <v>113</v>
      </c>
      <c r="F408" s="73" t="str">
        <f t="shared" si="25"/>
        <v/>
      </c>
      <c r="G408" s="397" t="str">
        <f>IF(H408="","","Narrative")</f>
        <v/>
      </c>
      <c r="H408" s="51" t="str">
        <f>'Ship Info'!A38</f>
        <v/>
      </c>
      <c r="I408" s="4" t="str">
        <f>""</f>
        <v/>
      </c>
      <c r="J408" s="265" t="str">
        <f>""</f>
        <v/>
      </c>
    </row>
    <row r="409" spans="5:10">
      <c r="E409" s="73">
        <f t="shared" si="24"/>
        <v>113</v>
      </c>
      <c r="F409" s="73" t="str">
        <f t="shared" si="25"/>
        <v/>
      </c>
      <c r="G409" s="397"/>
      <c r="H409" s="51" t="str">
        <f>'Ship Info'!A39</f>
        <v/>
      </c>
      <c r="I409" s="4" t="str">
        <f>""</f>
        <v/>
      </c>
      <c r="J409" s="265" t="str">
        <f>""</f>
        <v/>
      </c>
    </row>
    <row r="410" spans="5:10">
      <c r="E410" s="73">
        <f t="shared" si="24"/>
        <v>113</v>
      </c>
      <c r="F410" s="73" t="str">
        <f t="shared" si="25"/>
        <v/>
      </c>
      <c r="G410" s="397"/>
      <c r="H410" s="51" t="str">
        <f>'Ship Info'!A40</f>
        <v/>
      </c>
      <c r="I410" s="4" t="str">
        <f>""</f>
        <v/>
      </c>
      <c r="J410" s="265" t="str">
        <f>""</f>
        <v/>
      </c>
    </row>
    <row r="411" spans="5:10">
      <c r="E411" s="73">
        <f t="shared" si="24"/>
        <v>113</v>
      </c>
      <c r="F411" s="73" t="str">
        <f t="shared" si="25"/>
        <v/>
      </c>
      <c r="G411" s="397"/>
      <c r="H411" s="51" t="str">
        <f>'Ship Info'!A41</f>
        <v/>
      </c>
      <c r="I411" s="4" t="str">
        <f>""</f>
        <v/>
      </c>
      <c r="J411" s="265" t="str">
        <f>""</f>
        <v/>
      </c>
    </row>
    <row r="412" spans="5:10">
      <c r="E412" s="73">
        <f t="shared" si="24"/>
        <v>113</v>
      </c>
      <c r="F412" s="73" t="str">
        <f t="shared" si="25"/>
        <v/>
      </c>
      <c r="G412" s="397"/>
      <c r="H412" s="51" t="str">
        <f>'Ship Info'!A42</f>
        <v/>
      </c>
      <c r="I412" s="4" t="str">
        <f>""</f>
        <v/>
      </c>
      <c r="J412" s="265" t="str">
        <f>""</f>
        <v/>
      </c>
    </row>
    <row r="413" spans="5:10">
      <c r="E413" s="73">
        <f t="shared" si="24"/>
        <v>113</v>
      </c>
      <c r="F413" s="73" t="str">
        <f t="shared" si="25"/>
        <v/>
      </c>
      <c r="G413" s="397"/>
      <c r="H413" s="51" t="str">
        <f>'Ship Info'!A43</f>
        <v/>
      </c>
      <c r="I413" s="4" t="str">
        <f>""</f>
        <v/>
      </c>
      <c r="J413" s="265" t="str">
        <f>""</f>
        <v/>
      </c>
    </row>
    <row r="414" spans="5:10">
      <c r="E414" s="73">
        <f t="shared" si="24"/>
        <v>113</v>
      </c>
      <c r="F414" s="73" t="str">
        <f t="shared" si="25"/>
        <v/>
      </c>
      <c r="G414" s="397"/>
      <c r="H414" s="51" t="str">
        <f>'Ship Info'!A44</f>
        <v/>
      </c>
      <c r="I414" s="4" t="str">
        <f>""</f>
        <v/>
      </c>
      <c r="J414" s="265" t="str">
        <f>""</f>
        <v/>
      </c>
    </row>
    <row r="415" spans="5:10">
      <c r="E415" s="73">
        <f t="shared" si="24"/>
        <v>113</v>
      </c>
      <c r="F415" s="73" t="str">
        <f t="shared" si="25"/>
        <v/>
      </c>
      <c r="G415" s="397"/>
      <c r="H415" s="51" t="str">
        <f>'Ship Info'!A45</f>
        <v/>
      </c>
      <c r="I415" s="4" t="str">
        <f>""</f>
        <v/>
      </c>
      <c r="J415" s="265" t="str">
        <f>""</f>
        <v/>
      </c>
    </row>
    <row r="416" spans="5:10">
      <c r="E416" s="73">
        <f t="shared" si="24"/>
        <v>113</v>
      </c>
      <c r="F416" s="73" t="str">
        <f t="shared" si="25"/>
        <v/>
      </c>
      <c r="G416" s="397"/>
      <c r="H416" s="51" t="str">
        <f>'Ship Info'!A46</f>
        <v/>
      </c>
      <c r="I416" s="4" t="str">
        <f>""</f>
        <v/>
      </c>
      <c r="J416" s="265" t="str">
        <f>""</f>
        <v/>
      </c>
    </row>
    <row r="417" spans="5:10">
      <c r="E417" s="73">
        <f t="shared" si="24"/>
        <v>113</v>
      </c>
      <c r="F417" s="73" t="str">
        <f t="shared" si="25"/>
        <v/>
      </c>
      <c r="G417" s="397"/>
      <c r="H417" s="51" t="str">
        <f>'Ship Info'!A47</f>
        <v/>
      </c>
      <c r="I417" s="4" t="str">
        <f>""</f>
        <v/>
      </c>
      <c r="J417" s="265" t="str">
        <f>""</f>
        <v/>
      </c>
    </row>
    <row r="418" spans="5:10">
      <c r="E418" s="73">
        <f t="shared" si="24"/>
        <v>113</v>
      </c>
      <c r="F418" s="73" t="str">
        <f t="shared" si="25"/>
        <v/>
      </c>
      <c r="G418" s="397"/>
      <c r="H418" s="51" t="str">
        <f>'Ship Info'!A48</f>
        <v/>
      </c>
      <c r="I418" s="4" t="str">
        <f>""</f>
        <v/>
      </c>
      <c r="J418" s="265" t="str">
        <f>""</f>
        <v/>
      </c>
    </row>
    <row r="419" spans="5:10">
      <c r="E419" s="73">
        <f t="shared" si="24"/>
        <v>113</v>
      </c>
      <c r="F419" s="73" t="str">
        <f t="shared" si="25"/>
        <v/>
      </c>
      <c r="G419" s="397"/>
      <c r="H419" s="51" t="str">
        <f>'Ship Info'!A49</f>
        <v/>
      </c>
      <c r="I419" s="4" t="str">
        <f>""</f>
        <v/>
      </c>
      <c r="J419" s="265" t="str">
        <f>""</f>
        <v/>
      </c>
    </row>
    <row r="420" spans="5:10">
      <c r="E420" s="73">
        <f t="shared" si="24"/>
        <v>113</v>
      </c>
      <c r="F420" s="73" t="str">
        <f t="shared" si="25"/>
        <v/>
      </c>
      <c r="G420" s="397"/>
      <c r="H420" s="51" t="str">
        <f>'Ship Info'!A50</f>
        <v/>
      </c>
      <c r="I420" s="4" t="str">
        <f>""</f>
        <v/>
      </c>
      <c r="J420" s="265" t="str">
        <f>""</f>
        <v/>
      </c>
    </row>
    <row r="421" spans="5:10">
      <c r="E421" s="73">
        <f t="shared" si="24"/>
        <v>113</v>
      </c>
      <c r="F421" s="73" t="str">
        <f t="shared" si="25"/>
        <v/>
      </c>
      <c r="G421" s="397"/>
      <c r="H421" s="51" t="str">
        <f>'Ship Info'!A51</f>
        <v/>
      </c>
      <c r="I421" s="4" t="str">
        <f>""</f>
        <v/>
      </c>
      <c r="J421" s="265" t="str">
        <f>""</f>
        <v/>
      </c>
    </row>
    <row r="422" spans="5:10">
      <c r="E422" s="73">
        <f t="shared" si="24"/>
        <v>113</v>
      </c>
      <c r="F422" s="73" t="str">
        <f t="shared" si="25"/>
        <v/>
      </c>
      <c r="G422" s="397"/>
      <c r="H422" s="51" t="str">
        <f>'Ship Info'!A52</f>
        <v/>
      </c>
      <c r="I422" s="4" t="str">
        <f>""</f>
        <v/>
      </c>
      <c r="J422" s="265" t="str">
        <f>""</f>
        <v/>
      </c>
    </row>
    <row r="423" spans="5:10">
      <c r="E423" s="73">
        <f t="shared" si="24"/>
        <v>113</v>
      </c>
      <c r="F423" s="73" t="str">
        <f t="shared" si="25"/>
        <v/>
      </c>
      <c r="G423" s="397"/>
      <c r="H423" s="51" t="str">
        <f>'Ship Info'!A53</f>
        <v/>
      </c>
      <c r="I423" s="4" t="str">
        <f>""</f>
        <v/>
      </c>
      <c r="J423" s="265" t="str">
        <f>""</f>
        <v/>
      </c>
    </row>
    <row r="424" spans="5:10">
      <c r="E424" s="73">
        <f t="shared" si="24"/>
        <v>113</v>
      </c>
      <c r="F424" s="73" t="str">
        <f t="shared" si="25"/>
        <v/>
      </c>
      <c r="G424" s="397"/>
      <c r="H424" s="51" t="str">
        <f>'Ship Info'!A54</f>
        <v/>
      </c>
      <c r="I424" s="4" t="str">
        <f>""</f>
        <v/>
      </c>
      <c r="J424" s="265" t="str">
        <f>""</f>
        <v/>
      </c>
    </row>
    <row r="425" spans="5:10">
      <c r="E425" s="73">
        <f t="shared" si="24"/>
        <v>113</v>
      </c>
      <c r="F425" s="73" t="str">
        <f t="shared" si="25"/>
        <v/>
      </c>
      <c r="G425" s="397"/>
      <c r="H425" s="51" t="str">
        <f>'Ship Info'!A55</f>
        <v/>
      </c>
      <c r="I425" s="4" t="str">
        <f>""</f>
        <v/>
      </c>
      <c r="J425" s="265" t="str">
        <f>""</f>
        <v/>
      </c>
    </row>
    <row r="426" spans="5:10">
      <c r="E426" s="73">
        <f t="shared" si="24"/>
        <v>113</v>
      </c>
      <c r="F426" s="73" t="str">
        <f t="shared" si="25"/>
        <v/>
      </c>
      <c r="G426" s="397"/>
      <c r="H426" s="51" t="str">
        <f>'Ship Info'!A56</f>
        <v/>
      </c>
      <c r="I426" s="4" t="str">
        <f>""</f>
        <v/>
      </c>
      <c r="J426" s="265" t="str">
        <f>""</f>
        <v/>
      </c>
    </row>
    <row r="427" spans="5:10" ht="16">
      <c r="E427" s="73">
        <f t="shared" si="24"/>
        <v>113</v>
      </c>
      <c r="F427" s="73" t="str">
        <f t="shared" si="25"/>
        <v/>
      </c>
      <c r="G427" s="398"/>
      <c r="H427" s="392" t="str">
        <f>'Ship Info'!A57</f>
        <v/>
      </c>
      <c r="I427" s="403"/>
      <c r="J427" s="266"/>
    </row>
    <row r="428" spans="5:10">
      <c r="E428" s="73">
        <f t="shared" si="24"/>
        <v>113</v>
      </c>
      <c r="F428" s="73" t="str">
        <f t="shared" si="25"/>
        <v/>
      </c>
    </row>
    <row r="429" spans="5:10">
      <c r="E429" s="73">
        <f t="shared" si="24"/>
        <v>113</v>
      </c>
      <c r="F429" s="73" t="str">
        <f t="shared" si="25"/>
        <v/>
      </c>
    </row>
    <row r="430" spans="5:10">
      <c r="E430" s="73">
        <f t="shared" si="24"/>
        <v>113</v>
      </c>
      <c r="F430" s="73" t="str">
        <f t="shared" si="25"/>
        <v/>
      </c>
    </row>
    <row r="431" spans="5:10">
      <c r="E431" s="73">
        <f t="shared" si="24"/>
        <v>113</v>
      </c>
      <c r="F431" s="73" t="str">
        <f t="shared" si="25"/>
        <v/>
      </c>
    </row>
    <row r="432" spans="5:10">
      <c r="E432" s="73">
        <f t="shared" si="24"/>
        <v>113</v>
      </c>
      <c r="F432" s="73" t="str">
        <f t="shared" si="25"/>
        <v/>
      </c>
    </row>
    <row r="433" spans="5:6">
      <c r="E433" s="73">
        <f t="shared" si="24"/>
        <v>113</v>
      </c>
      <c r="F433" s="73" t="str">
        <f t="shared" si="25"/>
        <v/>
      </c>
    </row>
    <row r="434" spans="5:6">
      <c r="E434" s="73">
        <f t="shared" si="24"/>
        <v>113</v>
      </c>
      <c r="F434" s="73" t="str">
        <f t="shared" si="25"/>
        <v/>
      </c>
    </row>
    <row r="435" spans="5:6">
      <c r="E435" s="73">
        <f t="shared" si="24"/>
        <v>113</v>
      </c>
      <c r="F435" s="73" t="str">
        <f t="shared" si="25"/>
        <v/>
      </c>
    </row>
    <row r="436" spans="5:6">
      <c r="E436" s="73">
        <f t="shared" si="24"/>
        <v>113</v>
      </c>
      <c r="F436" s="73" t="str">
        <f t="shared" si="25"/>
        <v/>
      </c>
    </row>
    <row r="437" spans="5:6">
      <c r="E437" s="73">
        <f t="shared" si="24"/>
        <v>113</v>
      </c>
      <c r="F437" s="73" t="str">
        <f t="shared" si="25"/>
        <v/>
      </c>
    </row>
    <row r="438" spans="5:6">
      <c r="E438" s="73">
        <f t="shared" si="24"/>
        <v>113</v>
      </c>
      <c r="F438" s="73" t="str">
        <f t="shared" si="25"/>
        <v/>
      </c>
    </row>
    <row r="439" spans="5:6">
      <c r="E439" s="73">
        <f t="shared" si="24"/>
        <v>113</v>
      </c>
      <c r="F439" s="73" t="str">
        <f t="shared" si="25"/>
        <v/>
      </c>
    </row>
    <row r="440" spans="5:6">
      <c r="E440" s="73">
        <f t="shared" si="24"/>
        <v>113</v>
      </c>
      <c r="F440" s="73" t="str">
        <f t="shared" si="25"/>
        <v/>
      </c>
    </row>
    <row r="441" spans="5:6">
      <c r="E441" s="73">
        <f t="shared" ref="E441:E468" si="26">IF(H441="",E440,E440+1)</f>
        <v>113</v>
      </c>
      <c r="F441" s="73" t="str">
        <f t="shared" ref="F441:F468" si="27">IF(E441=E440,"",E441)</f>
        <v/>
      </c>
    </row>
    <row r="442" spans="5:6">
      <c r="E442" s="73">
        <f t="shared" si="26"/>
        <v>113</v>
      </c>
      <c r="F442" s="73" t="str">
        <f t="shared" si="27"/>
        <v/>
      </c>
    </row>
    <row r="443" spans="5:6">
      <c r="E443" s="73">
        <f t="shared" si="26"/>
        <v>113</v>
      </c>
      <c r="F443" s="73" t="str">
        <f t="shared" si="27"/>
        <v/>
      </c>
    </row>
    <row r="444" spans="5:6">
      <c r="E444" s="73">
        <f t="shared" si="26"/>
        <v>113</v>
      </c>
      <c r="F444" s="73" t="str">
        <f t="shared" si="27"/>
        <v/>
      </c>
    </row>
    <row r="445" spans="5:6">
      <c r="E445" s="73">
        <f t="shared" si="26"/>
        <v>113</v>
      </c>
      <c r="F445" s="73" t="str">
        <f t="shared" si="27"/>
        <v/>
      </c>
    </row>
    <row r="446" spans="5:6">
      <c r="E446" s="73">
        <f t="shared" si="26"/>
        <v>113</v>
      </c>
      <c r="F446" s="73" t="str">
        <f t="shared" si="27"/>
        <v/>
      </c>
    </row>
    <row r="447" spans="5:6">
      <c r="E447" s="73">
        <f t="shared" si="26"/>
        <v>113</v>
      </c>
      <c r="F447" s="73" t="str">
        <f t="shared" si="27"/>
        <v/>
      </c>
    </row>
    <row r="448" spans="5:6">
      <c r="E448" s="73">
        <f t="shared" si="26"/>
        <v>113</v>
      </c>
      <c r="F448" s="73" t="str">
        <f t="shared" si="27"/>
        <v/>
      </c>
    </row>
    <row r="449" spans="5:10">
      <c r="E449" s="73">
        <f t="shared" si="26"/>
        <v>113</v>
      </c>
      <c r="F449" s="73" t="str">
        <f t="shared" si="27"/>
        <v/>
      </c>
    </row>
    <row r="450" spans="5:10">
      <c r="E450" s="73">
        <f t="shared" si="26"/>
        <v>113</v>
      </c>
      <c r="F450" s="73" t="str">
        <f t="shared" si="27"/>
        <v/>
      </c>
    </row>
    <row r="451" spans="5:10">
      <c r="E451" s="73">
        <f t="shared" si="26"/>
        <v>113</v>
      </c>
      <c r="F451" s="73" t="str">
        <f t="shared" si="27"/>
        <v/>
      </c>
    </row>
    <row r="452" spans="5:10">
      <c r="E452" s="73">
        <f t="shared" si="26"/>
        <v>113</v>
      </c>
      <c r="F452" s="73" t="str">
        <f t="shared" si="27"/>
        <v/>
      </c>
    </row>
    <row r="453" spans="5:10">
      <c r="E453" s="73">
        <f t="shared" si="26"/>
        <v>113</v>
      </c>
      <c r="F453" s="73" t="str">
        <f t="shared" si="27"/>
        <v/>
      </c>
    </row>
    <row r="454" spans="5:10">
      <c r="E454" s="73">
        <f t="shared" si="26"/>
        <v>113</v>
      </c>
      <c r="F454" s="73" t="str">
        <f t="shared" si="27"/>
        <v/>
      </c>
    </row>
    <row r="455" spans="5:10">
      <c r="E455" s="73">
        <f t="shared" si="26"/>
        <v>113</v>
      </c>
      <c r="F455" s="73" t="str">
        <f t="shared" si="27"/>
        <v/>
      </c>
    </row>
    <row r="456" spans="5:10">
      <c r="E456" s="73">
        <f t="shared" si="26"/>
        <v>113</v>
      </c>
      <c r="F456" s="73" t="str">
        <f t="shared" si="27"/>
        <v/>
      </c>
    </row>
    <row r="457" spans="5:10">
      <c r="E457" s="73">
        <f t="shared" si="26"/>
        <v>113</v>
      </c>
      <c r="F457" s="73" t="str">
        <f t="shared" si="27"/>
        <v/>
      </c>
    </row>
    <row r="458" spans="5:10" ht="16">
      <c r="E458" s="73">
        <f t="shared" si="26"/>
        <v>113</v>
      </c>
      <c r="F458" s="73" t="str">
        <f t="shared" si="27"/>
        <v/>
      </c>
      <c r="G458" s="526" t="str">
        <f t="shared" ref="G458:G468" si="28">IF(H458="","","ERROR")</f>
        <v/>
      </c>
      <c r="H458" s="527" t="str">
        <f>IF('2-Drives'!T72=0,"","DRIVE ERROR")</f>
        <v/>
      </c>
      <c r="I458" s="528" t="str">
        <f>""</f>
        <v/>
      </c>
      <c r="J458" s="528" t="str">
        <f>""</f>
        <v/>
      </c>
    </row>
    <row r="459" spans="5:10" ht="16">
      <c r="E459" s="73">
        <f t="shared" si="26"/>
        <v>113</v>
      </c>
      <c r="F459" s="73" t="str">
        <f t="shared" si="27"/>
        <v/>
      </c>
      <c r="G459" s="400" t="str">
        <f t="shared" si="28"/>
        <v/>
      </c>
      <c r="H459" s="12" t="str">
        <f>IF('3-Pwr Plant'!T40=0,"","POWER PLANT ERROR")</f>
        <v/>
      </c>
      <c r="I459" s="4" t="str">
        <f>""</f>
        <v/>
      </c>
      <c r="J459" s="4" t="str">
        <f>""</f>
        <v/>
      </c>
    </row>
    <row r="460" spans="5:10" ht="16">
      <c r="E460" s="73">
        <f t="shared" si="26"/>
        <v>113</v>
      </c>
      <c r="F460" s="73" t="str">
        <f t="shared" si="27"/>
        <v/>
      </c>
      <c r="G460" s="400" t="str">
        <f t="shared" si="28"/>
        <v/>
      </c>
      <c r="H460" s="12" t="str">
        <f>IF('4-Fuel'!T25=0,"","FUEL ERROR")</f>
        <v/>
      </c>
      <c r="I460" s="4" t="str">
        <f>""</f>
        <v/>
      </c>
      <c r="J460" s="4" t="str">
        <f>""</f>
        <v/>
      </c>
    </row>
    <row r="461" spans="5:10" ht="16">
      <c r="E461" s="73">
        <f t="shared" si="26"/>
        <v>113</v>
      </c>
      <c r="F461" s="73" t="str">
        <f t="shared" si="27"/>
        <v/>
      </c>
      <c r="G461" s="400" t="str">
        <f t="shared" si="28"/>
        <v/>
      </c>
      <c r="H461" s="12" t="str">
        <f>IF('5-Bridge'!T37=0,"","BRIDGE ERROR")</f>
        <v/>
      </c>
      <c r="I461" s="4" t="str">
        <f>""</f>
        <v/>
      </c>
      <c r="J461" s="4" t="str">
        <f>""</f>
        <v/>
      </c>
    </row>
    <row r="462" spans="5:10" ht="16">
      <c r="E462" s="73">
        <f t="shared" si="26"/>
        <v>113</v>
      </c>
      <c r="F462" s="73" t="str">
        <f t="shared" si="27"/>
        <v/>
      </c>
      <c r="G462" s="400" t="str">
        <f t="shared" si="28"/>
        <v/>
      </c>
      <c r="H462" s="12" t="str">
        <f>IF('6-Comp'!Y20=0,"","COMPUTER ERROR")</f>
        <v/>
      </c>
      <c r="I462" s="4" t="str">
        <f>""</f>
        <v/>
      </c>
      <c r="J462" s="4" t="str">
        <f>""</f>
        <v/>
      </c>
    </row>
    <row r="463" spans="5:10" ht="16">
      <c r="E463" s="73">
        <f t="shared" si="26"/>
        <v>113</v>
      </c>
      <c r="F463" s="73" t="str">
        <f t="shared" si="27"/>
        <v/>
      </c>
      <c r="G463" s="400" t="str">
        <f t="shared" si="28"/>
        <v/>
      </c>
      <c r="H463" s="12" t="str">
        <f>IF('7-Sensors'!Z15=0,"","SENSORS ERROR")</f>
        <v/>
      </c>
      <c r="I463" s="4" t="str">
        <f>""</f>
        <v/>
      </c>
      <c r="J463" s="4" t="str">
        <f>""</f>
        <v/>
      </c>
    </row>
    <row r="464" spans="5:10" ht="16">
      <c r="E464" s="73">
        <f t="shared" si="26"/>
        <v>113</v>
      </c>
      <c r="F464" s="73" t="str">
        <f t="shared" si="27"/>
        <v/>
      </c>
      <c r="G464" s="400" t="str">
        <f t="shared" si="28"/>
        <v/>
      </c>
      <c r="H464" s="12" t="str">
        <f>IF('8a-Weapons'!W55=0,"","WEAPONS ERROR")</f>
        <v/>
      </c>
      <c r="I464" s="4" t="str">
        <f>""</f>
        <v/>
      </c>
      <c r="J464" s="4" t="str">
        <f>""</f>
        <v/>
      </c>
    </row>
    <row r="465" spans="5:10" ht="16">
      <c r="E465" s="73">
        <f t="shared" si="26"/>
        <v>113</v>
      </c>
      <c r="F465" s="73" t="str">
        <f t="shared" si="27"/>
        <v/>
      </c>
      <c r="G465" s="400" t="str">
        <f t="shared" si="28"/>
        <v/>
      </c>
      <c r="H465" s="12" t="str">
        <f>IF('8b-Screens'!T48=0,"","SCREENS ERROR")</f>
        <v/>
      </c>
      <c r="I465" s="4" t="str">
        <f>""</f>
        <v/>
      </c>
      <c r="J465" s="4" t="str">
        <f>""</f>
        <v/>
      </c>
    </row>
    <row r="466" spans="5:10" ht="16">
      <c r="E466" s="73">
        <f t="shared" si="26"/>
        <v>113</v>
      </c>
      <c r="F466" s="73" t="str">
        <f t="shared" si="27"/>
        <v/>
      </c>
      <c r="G466" s="400" t="str">
        <f t="shared" si="28"/>
        <v/>
      </c>
      <c r="H466" s="12" t="str">
        <f>IF('9a-Optional'!V28=0,"","9a-OPTIONAL ERROR")</f>
        <v/>
      </c>
      <c r="I466" s="4" t="str">
        <f>""</f>
        <v/>
      </c>
      <c r="J466" s="4" t="str">
        <f>""</f>
        <v/>
      </c>
    </row>
    <row r="467" spans="5:10" ht="16">
      <c r="E467" s="73">
        <f t="shared" si="26"/>
        <v>113</v>
      </c>
      <c r="F467" s="73" t="str">
        <f t="shared" si="27"/>
        <v/>
      </c>
      <c r="G467" s="400" t="str">
        <f t="shared" si="28"/>
        <v/>
      </c>
      <c r="H467" s="12" t="str">
        <f>IF('9b-Optional'!T20=0,"","9b-OPTIONAL ERROR")</f>
        <v/>
      </c>
      <c r="I467" s="4" t="str">
        <f>""</f>
        <v/>
      </c>
      <c r="J467" s="4" t="str">
        <f>""</f>
        <v/>
      </c>
    </row>
    <row r="468" spans="5:10" ht="16">
      <c r="E468" s="73">
        <f t="shared" si="26"/>
        <v>113</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7" priority="1283">
      <formula>AND(A1="Staterooms",$G$468="ERROR")</formula>
    </cfRule>
    <cfRule type="expression" dxfId="726" priority="1284">
      <formula>AND(A1="Systems",$G$467="ERROR")</formula>
    </cfRule>
    <cfRule type="expression" dxfId="725" priority="1285">
      <formula>AND(A1="Systems",$G$466="ERROR")</formula>
    </cfRule>
    <cfRule type="expression" dxfId="724" priority="1286">
      <formula>AND(A1="Screens",$G$465="ERROR")</formula>
    </cfRule>
    <cfRule type="expression" dxfId="723" priority="1287">
      <formula>AND(A1="Weapons",$G$464="ERROR")</formula>
    </cfRule>
    <cfRule type="expression" dxfId="722" priority="1288">
      <formula>AND(A1="Sensors",$G$463="ERROR")</formula>
    </cfRule>
    <cfRule type="expression" dxfId="721" priority="1289">
      <formula>AND(A1="Computer",$G$462="ERROR")</formula>
    </cfRule>
    <cfRule type="expression" dxfId="720" priority="1290">
      <formula>AND(A1="Bridge",$G$461="ERROR")</formula>
    </cfRule>
    <cfRule type="expression" dxfId="719" priority="1291">
      <formula>AND(A1="Power Plant",$G$459="ERROR")</formula>
    </cfRule>
    <cfRule type="expression" dxfId="718" priority="1292">
      <formula>AND(A1="Fuel",$G$460="ERROR")</formula>
    </cfRule>
    <cfRule type="expression" dxfId="717" priority="1293">
      <formula>AND(RIGHT(A1,5)="Drive",$G$458="ERROR")</formula>
    </cfRule>
    <cfRule type="expression" dxfId="716" priority="1294">
      <formula>$A1="ERROR"</formula>
    </cfRule>
    <cfRule type="expression" dxfId="715" priority="1295">
      <formula>AND(A1="Hull",#REF!="ERROR")</formula>
    </cfRule>
  </conditionalFormatting>
  <conditionalFormatting sqref="A1:D1048576">
    <cfRule type="expression" dxfId="714"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3"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Expeditionary Base Ship</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2</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1</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4000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10000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Cone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99</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High Automation: DM+2 on all shipboard tasks</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SCALE: 1 Box = 10 Damage</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10x Single Turret: Burst Laser</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Medium</v>
      </c>
      <c r="AE31" s="663"/>
      <c r="AF31" s="663"/>
      <c r="AG31" s="663"/>
      <c r="AH31" s="663"/>
      <c r="AI31" s="663"/>
      <c r="AJ31" s="663"/>
      <c r="AK31" s="663"/>
      <c r="AL31" s="663"/>
      <c r="AM31" s="663"/>
      <c r="AN31" s="664"/>
      <c r="AO31" s="649" t="str">
        <f>'8a-Weapons'!AR28</f>
        <v>1D</v>
      </c>
      <c r="AP31" s="650"/>
      <c r="AQ31" s="650"/>
      <c r="AR31" s="650"/>
      <c r="AS31" s="650"/>
      <c r="AT31" s="650"/>
      <c r="AU31" s="650"/>
      <c r="AV31" s="650"/>
      <c r="AW31" s="650"/>
      <c r="AX31" s="651"/>
      <c r="AY31" s="649" t="str">
        <f>'8a-Weapons'!AU113</f>
        <v>, Repair +1</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10x Single Turret: Particle Beam</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str">
        <f>'8a-Weapons'!AQ29</f>
        <v>Very Long</v>
      </c>
      <c r="AE32" s="683"/>
      <c r="AF32" s="683"/>
      <c r="AG32" s="683"/>
      <c r="AH32" s="683"/>
      <c r="AI32" s="683"/>
      <c r="AJ32" s="683"/>
      <c r="AK32" s="683"/>
      <c r="AL32" s="683"/>
      <c r="AM32" s="683"/>
      <c r="AN32" s="684"/>
      <c r="AO32" s="688" t="str">
        <f>'8a-Weapons'!AR29</f>
        <v>3D</v>
      </c>
      <c r="AP32" s="689"/>
      <c r="AQ32" s="689"/>
      <c r="AR32" s="689"/>
      <c r="AS32" s="689"/>
      <c r="AT32" s="689"/>
      <c r="AU32" s="689"/>
      <c r="AV32" s="689"/>
      <c r="AW32" s="689"/>
      <c r="AX32" s="690"/>
      <c r="AY32" s="688" t="str">
        <f>'8a-Weapons'!AU114</f>
        <v>, Repair +1</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5x Point Defense Btty: Type I -L</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Special</v>
      </c>
      <c r="AE35" s="596"/>
      <c r="AF35" s="596"/>
      <c r="AG35" s="596"/>
      <c r="AH35" s="596"/>
      <c r="AI35" s="596"/>
      <c r="AJ35" s="596"/>
      <c r="AK35" s="596"/>
      <c r="AL35" s="596"/>
      <c r="AM35" s="596"/>
      <c r="AN35" s="597"/>
      <c r="AO35" s="607" t="str">
        <f>'8a-Weapons'!AR31</f>
        <v xml:space="preserve"> +2D/PDB</v>
      </c>
      <c r="AP35" s="608"/>
      <c r="AQ35" s="608"/>
      <c r="AR35" s="608"/>
      <c r="AS35" s="608"/>
      <c r="AT35" s="608"/>
      <c r="AU35" s="608"/>
      <c r="AV35" s="608"/>
      <c r="AW35" s="608"/>
      <c r="AX35" s="609"/>
      <c r="AY35" s="607" t="str">
        <f>'8a-Weapons'!AU116</f>
        <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
      </c>
      <c r="AE36" s="695"/>
      <c r="AF36" s="695"/>
      <c r="AG36" s="695"/>
      <c r="AH36" s="695"/>
      <c r="AI36" s="695"/>
      <c r="AJ36" s="695"/>
      <c r="AK36" s="695"/>
      <c r="AL36" s="695"/>
      <c r="AM36" s="695"/>
      <c r="AN36" s="696"/>
      <c r="AO36" s="623" t="str">
        <f>'8a-Weapons'!AR32</f>
        <v/>
      </c>
      <c r="AP36" s="624"/>
      <c r="AQ36" s="624"/>
      <c r="AR36" s="624"/>
      <c r="AS36" s="624"/>
      <c r="AT36" s="624"/>
      <c r="AU36" s="624"/>
      <c r="AV36" s="624"/>
      <c r="AW36" s="624"/>
      <c r="AX36" s="625"/>
      <c r="AY36" s="623" t="str">
        <f>'8a-Weapons'!AU117</f>
        <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
      </c>
      <c r="AE38" s="683"/>
      <c r="AF38" s="683"/>
      <c r="AG38" s="683"/>
      <c r="AH38" s="683"/>
      <c r="AI38" s="683"/>
      <c r="AJ38" s="683"/>
      <c r="AK38" s="683"/>
      <c r="AL38" s="683"/>
      <c r="AM38" s="683"/>
      <c r="AN38" s="684"/>
      <c r="AO38" s="688" t="str">
        <f>'8a-Weapons'!AR33</f>
        <v/>
      </c>
      <c r="AP38" s="689"/>
      <c r="AQ38" s="689"/>
      <c r="AR38" s="689"/>
      <c r="AS38" s="689"/>
      <c r="AT38" s="689"/>
      <c r="AU38" s="689"/>
      <c r="AV38" s="689"/>
      <c r="AW38" s="689"/>
      <c r="AX38" s="690"/>
      <c r="AY38" s="688" t="str">
        <f>'8a-Weapons'!AU118</f>
        <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(x2)</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N/A</v>
      </c>
      <c r="DH50" s="738"/>
      <c r="DI50" s="738"/>
      <c r="DJ50" s="739"/>
      <c r="DK50" s="764" t="s">
        <v>709</v>
      </c>
      <c r="DL50" s="765"/>
      <c r="DM50" s="765"/>
      <c r="DN50" s="765"/>
      <c r="DO50" s="765"/>
      <c r="DP50" s="765"/>
      <c r="DQ50" s="738" t="str">
        <f>'7-Sensors'!T24</f>
        <v>+1</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Deflector Screens</v>
      </c>
      <c r="BT51" s="745"/>
      <c r="BU51" s="745"/>
      <c r="BV51" s="745"/>
      <c r="BW51" s="745"/>
      <c r="BX51" s="745"/>
      <c r="BY51" s="745"/>
      <c r="BZ51" s="745"/>
      <c r="CA51" s="745"/>
      <c r="CB51" s="745"/>
      <c r="CC51" s="745"/>
      <c r="CD51" s="745"/>
      <c r="CE51" s="745"/>
      <c r="CF51" s="745"/>
      <c r="CG51" s="745">
        <f>'8b-Screens'!E9</f>
        <v>5</v>
      </c>
      <c r="CH51" s="745"/>
      <c r="CI51" s="745"/>
      <c r="CJ51" s="745"/>
      <c r="CK51" s="745" t="str">
        <f>'8b-Screens'!T60</f>
        <v>CS -1  1s to 2</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N/A</v>
      </c>
      <c r="DH51" s="731"/>
      <c r="DI51" s="731"/>
      <c r="DJ51" s="735"/>
      <c r="DK51" s="610" t="s">
        <v>710</v>
      </c>
      <c r="DL51" s="611"/>
      <c r="DM51" s="611"/>
      <c r="DN51" s="611"/>
      <c r="DO51" s="611"/>
      <c r="DP51" s="611"/>
      <c r="DQ51" s="731" t="str">
        <f>'7-Sensors'!T25</f>
        <v>0</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Nuclear Damper</v>
      </c>
      <c r="BT52" s="731"/>
      <c r="BU52" s="731"/>
      <c r="BV52" s="731"/>
      <c r="BW52" s="731"/>
      <c r="BX52" s="731"/>
      <c r="BY52" s="731"/>
      <c r="BZ52" s="731"/>
      <c r="CA52" s="731"/>
      <c r="CB52" s="731"/>
      <c r="CC52" s="731"/>
      <c r="CD52" s="731"/>
      <c r="CE52" s="731"/>
      <c r="CF52" s="731"/>
      <c r="CG52" s="731">
        <f>'8b-Screens'!E14</f>
        <v>5</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N/A</v>
      </c>
      <c r="DH52" s="731"/>
      <c r="DI52" s="731"/>
      <c r="DJ52" s="735"/>
      <c r="DK52" s="610" t="s">
        <v>711</v>
      </c>
      <c r="DL52" s="611"/>
      <c r="DM52" s="611"/>
      <c r="DN52" s="611"/>
      <c r="DO52" s="611"/>
      <c r="DP52" s="611"/>
      <c r="DQ52" s="731" t="str">
        <f>'7-Sensors'!T26</f>
        <v>+4</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N/A</v>
      </c>
      <c r="DH53" s="731"/>
      <c r="DI53" s="731"/>
      <c r="DJ53" s="735"/>
      <c r="DK53" s="740" t="s">
        <v>712</v>
      </c>
      <c r="DL53" s="741"/>
      <c r="DM53" s="741"/>
      <c r="DN53" s="741"/>
      <c r="DO53" s="741"/>
      <c r="DP53" s="741"/>
      <c r="DQ53" s="736" t="str">
        <f>'7-Sensors'!T27</f>
        <v>+Rng</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N/A</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X</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F3" sqref="F3"/>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c r="G1" s="6" t="s">
        <v>1</v>
      </c>
      <c r="I1" s="787" t="s">
        <v>46</v>
      </c>
      <c r="J1" s="787"/>
      <c r="L1" s="787" t="s">
        <v>47</v>
      </c>
      <c r="M1" s="787"/>
      <c r="S1" s="119" t="s">
        <v>99</v>
      </c>
    </row>
    <row r="2" spans="1:19" ht="16" thickBot="1">
      <c r="A2" s="3" t="s">
        <v>432</v>
      </c>
      <c r="B2" s="197" t="s">
        <v>2459</v>
      </c>
      <c r="E2" s="7" t="s">
        <v>0</v>
      </c>
      <c r="F2" s="198">
        <v>14</v>
      </c>
      <c r="G2" s="4">
        <f>SUM('1-Hull'!F4,'2-Drives'!F5,'3-Pwr Plant'!F5,'4-Fuel'!F5,'5-Bridge'!F5,'6-Comp'!F5,'7-Sensors'!F5,'8a-Weapons'!L5,'8b-Screens'!F5,'9a-Optional'!F5,'9b-Optional'!F5,'11-Staterooms'!F5,'12-Cargo'!F5)*IF(F3="No",1,0.9)</f>
        <v>9839492100.0000038</v>
      </c>
      <c r="I2" s="1" t="s">
        <v>403</v>
      </c>
      <c r="J2" s="1" t="s">
        <v>27</v>
      </c>
      <c r="L2" s="1" t="s">
        <v>403</v>
      </c>
      <c r="M2" s="800" t="s">
        <v>27</v>
      </c>
      <c r="N2" s="800"/>
      <c r="S2" s="119" t="s">
        <v>100</v>
      </c>
    </row>
    <row r="3" spans="1:19" ht="16" thickBot="1">
      <c r="E3" s="7" t="s">
        <v>1067</v>
      </c>
      <c r="F3" s="197" t="s">
        <v>100</v>
      </c>
      <c r="I3" s="10">
        <f>J3-'1-Hull'!S57-'2-Drives'!S63-'3-Pwr Plant'!S38-'4-Fuel'!S20-'5-Bridge'!S17-'7-Sensors'!S14-'8a-Weapons'!N9-'8b-Screens'!S40-'9a-Optional'!S29-'9b-Optional'!S10-'11-Staterooms'!S26-'12-Cargo'!S19</f>
        <v>42.25</v>
      </c>
      <c r="J3" s="270">
        <f>'1-Hull'!I6</f>
        <v>10000</v>
      </c>
      <c r="L3" s="270">
        <f>M3-'2-Drives'!S66-'7-Sensors'!S17-'8a-Weapons'!Q9-'8b-Screens'!S43-'1-Hull'!T57-'9a-Optional'!S32-'9b-Optional'!S13-'11-Staterooms'!S30-'12-Cargo'!S22-'4-Fuel'!S23-'6-Comp'!S101</f>
        <v>-23</v>
      </c>
      <c r="M3" s="801">
        <f>'3-Pwr Plant'!L6</f>
        <v>7500</v>
      </c>
      <c r="N3" s="801"/>
    </row>
    <row r="4" spans="1:19" ht="16" thickBot="1">
      <c r="A4" s="3" t="str">
        <f>IF($F$5,"Ship's Name",IF($F$6,"Station's Name",IF($F$7,"Base Ship's Class Name","Ship's Name")))</f>
        <v>Ship's Name</v>
      </c>
      <c r="B4" s="199"/>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3892000000</v>
      </c>
      <c r="H9" s="318">
        <f>'1-Hull'!S57</f>
        <v>192</v>
      </c>
      <c r="I9" s="318">
        <f>'1-Hull'!T57</f>
        <v>2000</v>
      </c>
      <c r="K9" s="276" t="s">
        <v>1483</v>
      </c>
      <c r="L9" s="791"/>
      <c r="M9" s="792"/>
      <c r="N9" s="792"/>
      <c r="O9" s="792"/>
      <c r="P9" s="792"/>
      <c r="Q9" s="793"/>
    </row>
    <row r="10" spans="1:19">
      <c r="A10" s="807"/>
      <c r="B10" s="808"/>
      <c r="C10" s="809"/>
      <c r="D10" s="113"/>
      <c r="E10" s="92" t="s">
        <v>1003</v>
      </c>
      <c r="F10" s="46"/>
      <c r="G10" s="190">
        <f>'2-Drives'!F5</f>
        <v>3916500000</v>
      </c>
      <c r="H10" s="319">
        <f>'2-Drives'!S63</f>
        <v>1095</v>
      </c>
      <c r="I10" s="319">
        <f>'2-Drives'!S66</f>
        <v>4750</v>
      </c>
      <c r="K10" s="277" t="str">
        <f>IF(K21=5,"*A*","A")</f>
        <v>A</v>
      </c>
      <c r="L10" s="123"/>
      <c r="M10" s="123"/>
      <c r="N10" s="123"/>
      <c r="O10" s="123"/>
      <c r="P10" s="123"/>
      <c r="Q10" s="284"/>
    </row>
    <row r="11" spans="1:19">
      <c r="A11" s="807"/>
      <c r="B11" s="808"/>
      <c r="C11" s="809"/>
      <c r="D11" s="113"/>
      <c r="E11" s="136" t="s">
        <v>64</v>
      </c>
      <c r="F11" s="137"/>
      <c r="G11" s="189">
        <f>'3-Pwr Plant'!F5</f>
        <v>1250000000</v>
      </c>
      <c r="H11" s="318">
        <f>'3-Pwr Plant'!S38</f>
        <v>450</v>
      </c>
      <c r="I11" s="318" t="s">
        <v>579</v>
      </c>
      <c r="K11" s="278" t="str">
        <f>IF(K21=4,"*B*","B")</f>
        <v>B</v>
      </c>
      <c r="L11" s="123"/>
      <c r="M11" s="123"/>
      <c r="N11" s="123"/>
      <c r="O11" s="123"/>
      <c r="P11" s="123"/>
      <c r="Q11" s="282"/>
    </row>
    <row r="12" spans="1:19">
      <c r="A12" s="807"/>
      <c r="B12" s="808"/>
      <c r="C12" s="809"/>
      <c r="D12" s="113"/>
      <c r="E12" s="92" t="s">
        <v>67</v>
      </c>
      <c r="F12" s="46"/>
      <c r="G12" s="190">
        <f>'4-Fuel'!F5</f>
        <v>10000000</v>
      </c>
      <c r="H12" s="319">
        <f>'4-Fuel'!S20</f>
        <v>4290</v>
      </c>
      <c r="I12" s="319">
        <f>'4-Fuel'!S23</f>
        <v>200</v>
      </c>
      <c r="K12" s="279" t="str">
        <f>IF(K21=3,"*C*","C")</f>
        <v>C</v>
      </c>
      <c r="L12" s="123"/>
      <c r="M12" s="123"/>
      <c r="N12" s="123"/>
      <c r="O12" s="123"/>
      <c r="P12" s="123"/>
      <c r="Q12" s="282"/>
    </row>
    <row r="13" spans="1:19">
      <c r="A13" s="807"/>
      <c r="B13" s="808"/>
      <c r="C13" s="809"/>
      <c r="D13" s="113"/>
      <c r="E13" s="136" t="s">
        <v>78</v>
      </c>
      <c r="F13" s="137"/>
      <c r="G13" s="189">
        <f>'5-Bridge'!F5</f>
        <v>62500000</v>
      </c>
      <c r="H13" s="318">
        <f>'5-Bridge'!S17</f>
        <v>60</v>
      </c>
      <c r="I13" s="318">
        <v>0</v>
      </c>
      <c r="K13" s="280" t="str">
        <f>IF(K21=2,"*D*","D")</f>
        <v>D</v>
      </c>
      <c r="L13" s="123"/>
      <c r="M13" s="123"/>
      <c r="N13" s="123"/>
      <c r="O13" s="123"/>
      <c r="P13" s="123"/>
      <c r="Q13" s="282"/>
    </row>
    <row r="14" spans="1:19">
      <c r="A14" s="807"/>
      <c r="B14" s="808"/>
      <c r="C14" s="809"/>
      <c r="D14" s="113"/>
      <c r="E14" s="92" t="s">
        <v>90</v>
      </c>
      <c r="F14" s="46"/>
      <c r="G14" s="190">
        <f>'6-Comp'!F5</f>
        <v>229000000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393800000</v>
      </c>
      <c r="H15" s="318">
        <f>'7-Sensors'!S14</f>
        <v>256</v>
      </c>
      <c r="I15" s="318">
        <f>'7-Sensors'!S17</f>
        <v>257</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91750000</v>
      </c>
      <c r="H16" s="319">
        <f>'8a-Weapons'!N9</f>
        <v>119</v>
      </c>
      <c r="I16" s="319">
        <f>'8a-Weapons'!Q9</f>
        <v>160</v>
      </c>
      <c r="K16" s="273"/>
      <c r="L16" s="795"/>
      <c r="M16" s="798"/>
      <c r="N16" s="795"/>
      <c r="O16" s="798"/>
      <c r="P16" s="795"/>
      <c r="Q16" s="785"/>
    </row>
    <row r="17" spans="1:18">
      <c r="A17" s="807"/>
      <c r="B17" s="808"/>
      <c r="C17" s="809"/>
      <c r="D17" s="113"/>
      <c r="E17" s="136" t="s">
        <v>936</v>
      </c>
      <c r="F17" s="137"/>
      <c r="G17" s="189">
        <f>'8b-Screens'!F5</f>
        <v>100000000</v>
      </c>
      <c r="H17" s="318">
        <f>'8b-Screens'!S40</f>
        <v>75</v>
      </c>
      <c r="I17" s="318">
        <f>'8b-Screens'!S43</f>
        <v>125</v>
      </c>
      <c r="K17" s="273"/>
      <c r="L17" s="795"/>
      <c r="M17" s="798"/>
      <c r="N17" s="795"/>
      <c r="O17" s="798"/>
      <c r="P17" s="795"/>
      <c r="Q17" s="785"/>
    </row>
    <row r="18" spans="1:18">
      <c r="A18" s="807"/>
      <c r="B18" s="808"/>
      <c r="C18" s="809"/>
      <c r="D18" s="113"/>
      <c r="E18" s="92" t="s">
        <v>637</v>
      </c>
      <c r="F18" s="46"/>
      <c r="G18" s="190">
        <f>'9a-Optional'!F5+'9b-Optional'!F5</f>
        <v>918750000.00000298</v>
      </c>
      <c r="H18" s="319">
        <f>'9a-Optional'!S29+'9b-Optional'!S10</f>
        <v>1712</v>
      </c>
      <c r="I18" s="319">
        <f>'9a-Optional'!S32+'9b-Optional'!S13</f>
        <v>19</v>
      </c>
      <c r="K18" s="273"/>
      <c r="L18" s="795"/>
      <c r="M18" s="798"/>
      <c r="N18" s="795"/>
      <c r="O18" s="798"/>
      <c r="P18" s="795"/>
      <c r="Q18" s="785"/>
    </row>
    <row r="19" spans="1:18" ht="15" customHeight="1" thickBot="1">
      <c r="A19" s="810"/>
      <c r="B19" s="811"/>
      <c r="C19" s="812"/>
      <c r="D19" s="29"/>
      <c r="E19" s="136" t="s">
        <v>613</v>
      </c>
      <c r="F19" s="137"/>
      <c r="G19" s="189">
        <f>'11-Staterooms'!F5</f>
        <v>36486000</v>
      </c>
      <c r="H19" s="318">
        <f>'11-Staterooms'!S26</f>
        <v>284</v>
      </c>
      <c r="I19" s="318">
        <f>'11-Staterooms'!S30</f>
        <v>0</v>
      </c>
      <c r="K19" s="273"/>
      <c r="L19" s="795"/>
      <c r="M19" s="798"/>
      <c r="N19" s="795"/>
      <c r="O19" s="798"/>
      <c r="P19" s="795"/>
      <c r="Q19" s="785"/>
      <c r="R19" s="271"/>
    </row>
    <row r="20" spans="1:18" ht="16" thickBot="1">
      <c r="A20" s="2"/>
      <c r="E20" s="141" t="s">
        <v>610</v>
      </c>
      <c r="F20" s="79"/>
      <c r="G20" s="191">
        <f>'12-Cargo'!F5</f>
        <v>31983000</v>
      </c>
      <c r="H20" s="320">
        <f>'12-Cargo'!S19</f>
        <v>1424.75</v>
      </c>
      <c r="I20" s="320">
        <f>'12-Cargo'!S22</f>
        <v>11</v>
      </c>
      <c r="K20" s="274"/>
      <c r="L20" s="796"/>
      <c r="M20" s="799"/>
      <c r="N20" s="796"/>
      <c r="O20" s="799"/>
      <c r="P20" s="796"/>
      <c r="Q20" s="786"/>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802" t="s">
        <v>2141</v>
      </c>
      <c r="B22" s="803"/>
      <c r="E22" s="3" t="s">
        <v>1566</v>
      </c>
      <c r="G22" s="197" t="s">
        <v>1572</v>
      </c>
    </row>
    <row r="23" spans="1:18" ht="16" thickBot="1">
      <c r="A23" s="479"/>
      <c r="B23" s="301"/>
      <c r="G23" s="1" t="s">
        <v>1573</v>
      </c>
      <c r="H23" s="285" t="s">
        <v>1574</v>
      </c>
    </row>
    <row r="24" spans="1:18">
      <c r="A24" s="480" t="s">
        <v>2140</v>
      </c>
      <c r="B24" s="483">
        <f>IF(C31="Yes",0,G2/240)</f>
        <v>40997883.750000015</v>
      </c>
      <c r="E24" s="291" t="s">
        <v>1567</v>
      </c>
      <c r="F24" s="292"/>
      <c r="G24" s="293">
        <v>0.6</v>
      </c>
      <c r="H24" s="294">
        <v>2</v>
      </c>
      <c r="I24" s="295" t="s">
        <v>1575</v>
      </c>
      <c r="J24" s="292"/>
      <c r="K24" s="292"/>
      <c r="L24" s="292"/>
      <c r="M24" s="296"/>
    </row>
    <row r="25" spans="1:18">
      <c r="A25" s="480" t="s">
        <v>665</v>
      </c>
      <c r="B25" s="483">
        <f>ROUND(G2/12/1000,0)</f>
        <v>819958</v>
      </c>
      <c r="E25" s="297" t="s">
        <v>1568</v>
      </c>
      <c r="G25" s="90">
        <v>0.8</v>
      </c>
      <c r="H25" s="2">
        <v>1.4</v>
      </c>
      <c r="I25" s="78" t="s">
        <v>1576</v>
      </c>
      <c r="K25" s="272"/>
      <c r="L25" s="272"/>
      <c r="M25" s="298"/>
      <c r="O25" s="272"/>
      <c r="P25" s="272"/>
      <c r="Q25" s="272"/>
    </row>
    <row r="26" spans="1:18">
      <c r="A26" s="481" t="s">
        <v>2142</v>
      </c>
      <c r="B26" s="483">
        <f>'11-Staterooms'!F7</f>
        <v>156000</v>
      </c>
      <c r="E26" s="299" t="s">
        <v>1569</v>
      </c>
      <c r="F26" s="22"/>
      <c r="G26" s="188">
        <v>1</v>
      </c>
      <c r="H26" s="27">
        <v>1</v>
      </c>
      <c r="I26" s="80" t="str">
        <f>""</f>
        <v/>
      </c>
      <c r="J26" s="22"/>
      <c r="K26" s="290"/>
      <c r="L26" s="290"/>
      <c r="M26" s="300"/>
      <c r="O26" s="272"/>
      <c r="P26" s="272"/>
      <c r="Q26" s="272"/>
    </row>
    <row r="27" spans="1:18">
      <c r="A27" s="481" t="s">
        <v>2143</v>
      </c>
      <c r="B27" s="483">
        <f>'10-Crew'!G32</f>
        <v>359500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42333341.750000015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0" priority="1">
      <formula>$C$31="Yes"</formula>
    </cfRule>
  </conditionalFormatting>
  <conditionalFormatting sqref="A5:C6">
    <cfRule type="expression" dxfId="699" priority="19" stopIfTrue="1">
      <formula>OR($F$5,$F$6)</formula>
    </cfRule>
  </conditionalFormatting>
  <conditionalFormatting sqref="C6">
    <cfRule type="expression" dxfId="697" priority="20">
      <formula>OR(AND($C$5&lt;35,$C$6&gt;1),AND($C$5&lt;70,$C$6&gt;2),AND($C$5&lt;100,$C$6&gt;3),AND($C$5&gt;99.9,$C$6&gt;$C$5/100))</formula>
    </cfRule>
  </conditionalFormatting>
  <conditionalFormatting sqref="G6:I6">
    <cfRule type="expression" dxfId="696" priority="2">
      <formula>$E$6="Module"</formula>
    </cfRule>
  </conditionalFormatting>
  <conditionalFormatting sqref="I3">
    <cfRule type="expression" dxfId="695" priority="25">
      <formula>$I$3&lt;0</formula>
    </cfRule>
  </conditionalFormatting>
  <conditionalFormatting sqref="K8:L8 K9 K10:Q15 K16:K20">
    <cfRule type="expression" dxfId="694" priority="3" stopIfTrue="1">
      <formula>$F$7</formula>
    </cfRule>
    <cfRule type="expression" dxfId="693" priority="4" stopIfTrue="1">
      <formula>$F$5</formula>
    </cfRule>
  </conditionalFormatting>
  <conditionalFormatting sqref="L3">
    <cfRule type="expression" dxfId="692" priority="24">
      <formula>$L$3&lt;0</formula>
    </cfRule>
  </conditionalFormatting>
  <conditionalFormatting sqref="L10:L14">
    <cfRule type="expression" dxfId="691" priority="15">
      <formula>$L$21=5</formula>
    </cfRule>
  </conditionalFormatting>
  <conditionalFormatting sqref="L11:L14">
    <cfRule type="expression" dxfId="690" priority="16">
      <formula>$L$21=4</formula>
    </cfRule>
  </conditionalFormatting>
  <conditionalFormatting sqref="L13:L14">
    <cfRule type="expression" dxfId="689" priority="17">
      <formula>$L$21=2</formula>
    </cfRule>
  </conditionalFormatting>
  <conditionalFormatting sqref="M10:Q14">
    <cfRule type="expression" dxfId="688" priority="9">
      <formula>M$21=5</formula>
    </cfRule>
  </conditionalFormatting>
  <conditionalFormatting sqref="M11:Q14">
    <cfRule type="expression" dxfId="687" priority="8">
      <formula>M$21=4</formula>
    </cfRule>
  </conditionalFormatting>
  <conditionalFormatting sqref="M12:Q14">
    <cfRule type="expression" dxfId="686" priority="7">
      <formula>M$21=3</formula>
    </cfRule>
  </conditionalFormatting>
  <conditionalFormatting sqref="M13:Q14">
    <cfRule type="expression" dxfId="685" priority="6">
      <formula>M$21=2</formula>
    </cfRule>
  </conditionalFormatting>
  <conditionalFormatting sqref="M14:Q14">
    <cfRule type="expression" dxfId="684"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tabSelected="1" workbookViewId="0">
      <selection activeCell="A15" sqref="A15"/>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f>'Ship Info'!B1</f>
        <v>0</v>
      </c>
      <c r="F1" s="6" t="s">
        <v>1</v>
      </c>
      <c r="S1" s="68" t="s">
        <v>3</v>
      </c>
      <c r="T1" s="68" t="s">
        <v>4</v>
      </c>
      <c r="U1" s="68" t="s">
        <v>5</v>
      </c>
      <c r="V1" s="68" t="s">
        <v>1</v>
      </c>
      <c r="W1" s="68" t="s">
        <v>6</v>
      </c>
      <c r="X1" s="68" t="s">
        <v>7</v>
      </c>
      <c r="Y1" s="69" t="s">
        <v>8</v>
      </c>
      <c r="Z1" s="67" t="s">
        <v>1297</v>
      </c>
    </row>
    <row r="2" spans="1:29">
      <c r="A2" s="3" t="s">
        <v>432</v>
      </c>
      <c r="B2" t="str">
        <f>'Ship Info'!B2</f>
        <v>Expeditionary Base Ship</v>
      </c>
      <c r="D2" t="s">
        <v>0</v>
      </c>
      <c r="E2" s="2">
        <f>'Ship Info'!F2</f>
        <v>14</v>
      </c>
      <c r="F2" s="4">
        <f>'Ship Info'!G2</f>
        <v>9839492100.0000038</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192</v>
      </c>
      <c r="I3" s="44"/>
      <c r="J3" s="45"/>
      <c r="K3" s="507">
        <f>T57</f>
        <v>2000</v>
      </c>
      <c r="S3" s="67" t="s">
        <v>11</v>
      </c>
      <c r="T3" s="67" t="s">
        <v>12</v>
      </c>
      <c r="U3" s="67">
        <v>1</v>
      </c>
      <c r="V3" s="67">
        <v>0.8</v>
      </c>
      <c r="W3" s="67">
        <v>1</v>
      </c>
      <c r="X3" s="67">
        <f>IF($A$20=$S$41,4,0)</f>
        <v>0</v>
      </c>
      <c r="Y3" s="67">
        <v>1.5</v>
      </c>
      <c r="Z3" s="67">
        <v>0.5</v>
      </c>
      <c r="AA3" s="67" t="s">
        <v>26</v>
      </c>
      <c r="AB3">
        <f>E9</f>
        <v>14</v>
      </c>
      <c r="AC3">
        <f>IF(AB3&gt;E2,1,0)</f>
        <v>0</v>
      </c>
    </row>
    <row r="4" spans="1:29" ht="16" thickBot="1">
      <c r="A4" s="3" t="s">
        <v>2</v>
      </c>
      <c r="B4" s="289">
        <v>10000</v>
      </c>
      <c r="F4" s="505">
        <f>SUM(F6:F43)</f>
        <v>3892000000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2</v>
      </c>
      <c r="AC4">
        <f>IF(AB4&gt;VLOOKUP(B9,S18:W22,5),1,0)</f>
        <v>1</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1</v>
      </c>
    </row>
    <row r="6" spans="1:29" ht="16" thickBot="1">
      <c r="A6" s="3" t="s">
        <v>3</v>
      </c>
      <c r="B6" s="197" t="s">
        <v>13</v>
      </c>
      <c r="C6" s="3" t="s">
        <v>21</v>
      </c>
      <c r="D6" s="198" t="s">
        <v>24</v>
      </c>
      <c r="F6" s="4">
        <f>B4*IF(AND('Ship Info'!F7=1,'Ship Info'!I6="No"),25000,Y14*(VLOOKUP(B6,S2:Y11,4))*(VLOOKUP(D6,S13:U15,3)))*'Ship Info'!G31</f>
        <v>1200000000</v>
      </c>
      <c r="H6" s="10">
        <f>'Ship Info'!I3</f>
        <v>42.25</v>
      </c>
      <c r="I6" s="270">
        <f>IF('Ship Info'!F7,Tonnage,Tonnage*VLOOKUP(B6,S2:W11,5))</f>
        <v>10000</v>
      </c>
      <c r="K6" s="270">
        <f>'Ship Info'!L3</f>
        <v>-23</v>
      </c>
      <c r="L6" s="270">
        <f>'3-Pwr Plant'!L6</f>
        <v>7500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4000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28</v>
      </c>
      <c r="C9" s="3" t="s">
        <v>44</v>
      </c>
      <c r="D9" s="235">
        <v>2</v>
      </c>
      <c r="E9" s="2">
        <f>INDEX(S18:V22,MATCH(B9,S18:S22,0),4)</f>
        <v>14</v>
      </c>
      <c r="F9" s="4">
        <f>INDEX(S18:U22,MATCH(B9,S18:S22,0),3)*H9*'Ship Info'!G31</f>
        <v>192000000</v>
      </c>
      <c r="H9" s="10">
        <f>INDEX(S18:T22,MATCH(B9,S18:S22,0),2)*B4*(D10-Z17)*INDEX(S2:Y11,MATCH(B6,S2:S11,0),7)*FtrArmr</f>
        <v>192</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2</v>
      </c>
      <c r="F10" s="4"/>
      <c r="H10" s="2"/>
      <c r="I10" s="2"/>
      <c r="J10" t="s">
        <v>424</v>
      </c>
      <c r="K10" s="10">
        <f>0.2*B4*T16</f>
        <v>2000</v>
      </c>
      <c r="L10" s="2"/>
      <c r="S10" s="67" t="s">
        <v>19</v>
      </c>
      <c r="T10" s="67" t="s">
        <v>12</v>
      </c>
      <c r="U10" s="67">
        <v>1</v>
      </c>
      <c r="V10" s="67">
        <v>1</v>
      </c>
      <c r="W10" s="67">
        <v>1</v>
      </c>
      <c r="X10" s="67">
        <f t="shared" si="1"/>
        <v>0</v>
      </c>
      <c r="Y10" s="67">
        <v>1</v>
      </c>
      <c r="Z10" s="67">
        <v>1</v>
      </c>
    </row>
    <row r="11" spans="1:29">
      <c r="C11" s="815" t="str">
        <f>"Max Armor = "&amp;Y17</f>
        <v>Max Armor = 14</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2000000000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14</v>
      </c>
      <c r="Y17" s="67">
        <f>IF('Ship Info'!F7,0,INDEX(S18:W22,MATCH(B9,S18:S22,0),5))</f>
        <v>14</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500000000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500</v>
      </c>
      <c r="U25" s="67">
        <f>T25*100000</f>
        <v>50000000</v>
      </c>
      <c r="V25" s="67">
        <v>7</v>
      </c>
      <c r="W25" s="67">
        <v>0</v>
      </c>
      <c r="X25" s="67" t="s">
        <v>405</v>
      </c>
      <c r="AB25" t="b">
        <f>OR(A13=S25,A14=S25,A15=S25,A17=S25,A18=S25,A19=S25)</f>
        <v>0</v>
      </c>
      <c r="AC25">
        <f>COUNTIF(AB25:AB41,TRUE)</f>
        <v>1</v>
      </c>
      <c r="AD25" t="s">
        <v>1313</v>
      </c>
    </row>
    <row r="26" spans="1:30" ht="16" thickBot="1">
      <c r="A26" s="78"/>
      <c r="B26" s="2" t="str">
        <f>"Limit: "&amp;IF('Ship Info'!F7,'Ship Info'!C5*0.75,ROUNDDOWN(T50,1))&amp;" Tons"</f>
        <v>Limit: 7500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1000000000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1000000000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1000000000</v>
      </c>
      <c r="V31" s="67">
        <v>10</v>
      </c>
      <c r="W31" s="67">
        <f>B4/2</f>
        <v>5000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200</v>
      </c>
      <c r="U33" s="67">
        <f>40000*Tonnage</f>
        <v>400000000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1000000000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5000000000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10000000000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500</v>
      </c>
      <c r="U38" s="67">
        <f>0.1*F6</f>
        <v>120000000</v>
      </c>
      <c r="V38" s="67">
        <v>12</v>
      </c>
      <c r="W38" s="67">
        <v>0</v>
      </c>
      <c r="X38" s="67" t="s">
        <v>1311</v>
      </c>
      <c r="AB38" t="b">
        <f>OR(A14=S38,A15=S38,A17=S38,A18=S38,A19=S38,A13=S38)</f>
        <v>0</v>
      </c>
    </row>
    <row r="39" spans="1:30" ht="16" thickBot="1">
      <c r="A39" s="238" t="s">
        <v>1325</v>
      </c>
      <c r="B39" s="7" t="s">
        <v>1326</v>
      </c>
      <c r="C39" s="240">
        <v>0</v>
      </c>
      <c r="F39" s="4">
        <f>IF(H39&gt;0,ROUNDDOWN(C39/Tonnage*100,0)*0.02*F6,0)*'Ship Info'!G31</f>
        <v>0</v>
      </c>
      <c r="H39" s="323">
        <f>0.1*C39</f>
        <v>0</v>
      </c>
      <c r="S39" s="67" t="s">
        <v>1308</v>
      </c>
      <c r="T39" s="67">
        <f>0.01*Tonnage</f>
        <v>100</v>
      </c>
      <c r="U39" s="164">
        <f>F6</f>
        <v>1200000000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2500</v>
      </c>
      <c r="U41" s="67">
        <f>9*F6</f>
        <v>10800000000</v>
      </c>
      <c r="V41" s="67">
        <v>4</v>
      </c>
      <c r="W41" s="67">
        <v>0</v>
      </c>
      <c r="X41" s="67" t="s">
        <v>1310</v>
      </c>
      <c r="AB41" t="b">
        <f>OR(A17=S41,A18=S41,A19=S41,A15=S41,A14=S41,A13=S41)</f>
        <v>0</v>
      </c>
    </row>
    <row r="42" spans="1:30" ht="16" thickBot="1">
      <c r="A42" s="78"/>
      <c r="B42" t="s">
        <v>1329</v>
      </c>
      <c r="C42" s="240">
        <v>50</v>
      </c>
      <c r="D42" s="270">
        <f>ROUNDUP(C42/1.5,0)</f>
        <v>34</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1200000000</v>
      </c>
      <c r="V43" s="67">
        <v>10</v>
      </c>
      <c r="W43" s="67">
        <v>-0.1</v>
      </c>
      <c r="X43" s="67" t="s">
        <v>1304</v>
      </c>
      <c r="AB43" t="b">
        <f>OR(A22=S43)</f>
        <v>0</v>
      </c>
      <c r="AC43">
        <f>COUNTIF(AB43:AB44,TRUE)</f>
        <v>0</v>
      </c>
      <c r="AD43" t="s">
        <v>1314</v>
      </c>
    </row>
    <row r="44" spans="1:30">
      <c r="A44" s="78"/>
      <c r="B44" t="s">
        <v>1334</v>
      </c>
      <c r="C44" s="270">
        <f>ROUNDUP(C42*PI(),0)</f>
        <v>158</v>
      </c>
      <c r="D44" s="270">
        <f>ROUNDUP(D42*PI(),0)</f>
        <v>107</v>
      </c>
      <c r="H44" s="46"/>
      <c r="S44" s="67" t="s">
        <v>1303</v>
      </c>
      <c r="T44" s="67">
        <v>0</v>
      </c>
      <c r="U44" s="67">
        <f>400000*D22/100*Tonnage</f>
        <v>1600000000</v>
      </c>
      <c r="V44" s="67">
        <v>12</v>
      </c>
      <c r="W44" s="67">
        <v>-0.2</v>
      </c>
      <c r="X44" s="67" t="s">
        <v>1304</v>
      </c>
      <c r="AB44" t="b">
        <f>OR(A22=S44)</f>
        <v>0</v>
      </c>
    </row>
    <row r="45" spans="1:30" ht="15" customHeight="1">
      <c r="A45" s="78"/>
      <c r="B45" s="7" t="s">
        <v>1328</v>
      </c>
      <c r="C45" s="2" t="str">
        <f>D45/2&amp;" Dtons"</f>
        <v>267.5 Dtons</v>
      </c>
      <c r="D45" s="270">
        <f>ROUNDUP(D42*PI()*D43,0)</f>
        <v>535</v>
      </c>
      <c r="H45" s="46"/>
      <c r="S45" s="67" t="s">
        <v>89</v>
      </c>
      <c r="T45" s="67">
        <v>0</v>
      </c>
      <c r="U45" s="67">
        <v>0</v>
      </c>
      <c r="V45" s="67">
        <v>0</v>
      </c>
      <c r="W45" s="67">
        <v>0</v>
      </c>
      <c r="X45" s="67" t="s">
        <v>37</v>
      </c>
    </row>
    <row r="46" spans="1:30" ht="15" customHeight="1">
      <c r="A46" s="78"/>
      <c r="C46" s="12"/>
      <c r="D46" s="12"/>
      <c r="H46" s="46"/>
      <c r="S46" s="67" t="s">
        <v>37</v>
      </c>
      <c r="T46" s="67">
        <v>0</v>
      </c>
      <c r="U46" s="67">
        <f>B4*25000</f>
        <v>250000000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500</v>
      </c>
      <c r="U48" s="67">
        <f>100000*Tonnage</f>
        <v>1000000000</v>
      </c>
      <c r="V48" s="67">
        <v>7</v>
      </c>
      <c r="W48" s="67">
        <v>0</v>
      </c>
      <c r="X48" s="67" t="s">
        <v>1526</v>
      </c>
      <c r="AB48" t="b">
        <f>OR(A16=S48)</f>
        <v>0</v>
      </c>
    </row>
    <row r="49" spans="19:29" ht="15" customHeight="1"/>
    <row r="50" spans="19:29" ht="15" customHeight="1">
      <c r="S50" s="70" t="s">
        <v>312</v>
      </c>
      <c r="T50" s="67">
        <f>0.750001*B4</f>
        <v>7500.01</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192</v>
      </c>
      <c r="T57" s="67">
        <f>SUM(K10:K21)</f>
        <v>2000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10000 tons, Streamlined Cone, Standard Hull, Heat Shielding, Radiation Shielding</v>
      </c>
    </row>
    <row r="60" spans="19:29">
      <c r="S60" s="67">
        <f>IF(D7&lt;10560,D7,IF(D7&lt;105600,D7/10,IF(D7&lt;1056000,D7/100,D7/1000)))</f>
        <v>4000</v>
      </c>
    </row>
    <row r="61" spans="19:29">
      <c r="S61" s="67">
        <v>10</v>
      </c>
      <c r="T61" s="67">
        <v>20</v>
      </c>
      <c r="U61" s="67">
        <v>30</v>
      </c>
      <c r="V61" s="67">
        <v>40</v>
      </c>
      <c r="W61" s="67">
        <v>50</v>
      </c>
      <c r="X61" s="67">
        <v>60</v>
      </c>
      <c r="Y61" s="67">
        <v>70</v>
      </c>
      <c r="Z61" s="67">
        <v>80</v>
      </c>
      <c r="AA61" s="67">
        <v>90</v>
      </c>
    </row>
    <row r="62" spans="19:29">
      <c r="S62" s="67">
        <f>ROUNDUP(0.1*S60,0)</f>
        <v>400</v>
      </c>
      <c r="T62" s="67">
        <f>ROUNDUP(0.2*S60,0)</f>
        <v>800</v>
      </c>
      <c r="U62" s="67">
        <f>ROUNDUP(0.3*S60,0)</f>
        <v>1200</v>
      </c>
      <c r="V62" s="67">
        <f>ROUNDUP(0.4*S60,0)</f>
        <v>1600</v>
      </c>
      <c r="W62" s="67">
        <f>ROUNDUP(0.5*S60,0)</f>
        <v>2000</v>
      </c>
      <c r="X62" s="67">
        <f>ROUNDUP(0.6*S60,0)</f>
        <v>2400</v>
      </c>
      <c r="Y62" s="67">
        <f>ROUNDUP(0.7*S60,0)</f>
        <v>2800</v>
      </c>
      <c r="Z62" s="67">
        <f>ROUNDUP(0.8*S60,0)</f>
        <v>3200</v>
      </c>
      <c r="AA62" s="67">
        <f>ROUNDUP(0.9*S60,0)</f>
        <v>3600</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3" priority="134">
      <formula>#REF!&gt;$E$2</formula>
    </cfRule>
  </conditionalFormatting>
  <conditionalFormatting sqref="A13">
    <cfRule type="expression" dxfId="682" priority="15">
      <formula>$E$13&gt;$E$2</formula>
    </cfRule>
  </conditionalFormatting>
  <conditionalFormatting sqref="A13:A20">
    <cfRule type="expression" dxfId="681" priority="639">
      <formula>AND($AC$43=1,$AC$25&gt;0)</formula>
    </cfRule>
    <cfRule type="expression" dxfId="680" priority="686">
      <formula>OR($AB$43,$AB$44)</formula>
    </cfRule>
  </conditionalFormatting>
  <conditionalFormatting sqref="A13:A22">
    <cfRule type="expression" dxfId="679" priority="689">
      <formula>$A13&lt;&gt;$S$24</formula>
    </cfRule>
  </conditionalFormatting>
  <conditionalFormatting sqref="A14">
    <cfRule type="expression" dxfId="677" priority="133">
      <formula>$E$14&gt;$E$2</formula>
    </cfRule>
  </conditionalFormatting>
  <conditionalFormatting sqref="A15:A16">
    <cfRule type="expression" dxfId="676" priority="637">
      <formula>$E$15&gt;$E$2</formula>
    </cfRule>
  </conditionalFormatting>
  <conditionalFormatting sqref="A17">
    <cfRule type="expression" dxfId="675" priority="638">
      <formula>$E$17&gt;$E$2</formula>
    </cfRule>
  </conditionalFormatting>
  <conditionalFormatting sqref="A18">
    <cfRule type="expression" dxfId="674" priority="14">
      <formula>$E$18&gt;$E$2</formula>
    </cfRule>
  </conditionalFormatting>
  <conditionalFormatting sqref="A19">
    <cfRule type="expression" dxfId="673" priority="13">
      <formula>$E$19&gt;$E$2</formula>
    </cfRule>
  </conditionalFormatting>
  <conditionalFormatting sqref="A20">
    <cfRule type="expression" dxfId="672" priority="12">
      <formula>$E$20&gt;$E$2</formula>
    </cfRule>
  </conditionalFormatting>
  <conditionalFormatting sqref="A21">
    <cfRule type="expression" dxfId="671" priority="11">
      <formula>$E$21&gt;$E$2</formula>
    </cfRule>
  </conditionalFormatting>
  <conditionalFormatting sqref="A22">
    <cfRule type="expression" dxfId="670" priority="10">
      <formula>$E$22&gt;$E$2</formula>
    </cfRule>
    <cfRule type="expression" dxfId="669" priority="688">
      <formula>$Z$12=0</formula>
    </cfRule>
    <cfRule type="expression" dxfId="668" priority="687">
      <formula>AND($Z$12=0,$AC$43&gt;0)</formula>
    </cfRule>
  </conditionalFormatting>
  <conditionalFormatting sqref="A37">
    <cfRule type="expression" dxfId="667" priority="1">
      <formula>$A$37=$AC$51</formula>
    </cfRule>
  </conditionalFormatting>
  <conditionalFormatting sqref="B4">
    <cfRule type="expression" dxfId="665" priority="29">
      <formula>AND($D$5=$W$13,$B$4&gt;500000)</formula>
    </cfRule>
  </conditionalFormatting>
  <conditionalFormatting sqref="B9">
    <cfRule type="cellIs" dxfId="664" priority="8" operator="notEqual">
      <formula>$S$18</formula>
    </cfRule>
    <cfRule type="expression" dxfId="663" priority="27">
      <formula>$E$9&gt;$E$2</formula>
    </cfRule>
  </conditionalFormatting>
  <conditionalFormatting sqref="B12">
    <cfRule type="expression" dxfId="662" priority="698">
      <formula>AND($AB$38,$AB$39)</formula>
    </cfRule>
    <cfRule type="expression" dxfId="661" priority="697">
      <formula>$AC$33&gt;1</formula>
    </cfRule>
  </conditionalFormatting>
  <conditionalFormatting sqref="C8">
    <cfRule type="expression" dxfId="660" priority="23">
      <formula>$B$4&lt;5000</formula>
    </cfRule>
    <cfRule type="expression" dxfId="659" priority="22" stopIfTrue="1">
      <formula>AND($B$4&lt;5000,$C$8=$W$14)</formula>
    </cfRule>
  </conditionalFormatting>
  <conditionalFormatting sqref="C25">
    <cfRule type="expression" dxfId="658" priority="916">
      <formula>$C$25&gt;$T$50</formula>
    </cfRule>
    <cfRule type="cellIs" dxfId="657" priority="915" operator="greaterThan">
      <formula>0</formula>
    </cfRule>
  </conditionalFormatting>
  <conditionalFormatting sqref="C29">
    <cfRule type="cellIs" dxfId="656" priority="7" operator="greaterThan">
      <formula>0</formula>
    </cfRule>
  </conditionalFormatting>
  <conditionalFormatting sqref="C36">
    <cfRule type="expression" dxfId="655" priority="6">
      <formula>$A$37=TRUE</formula>
    </cfRule>
  </conditionalFormatting>
  <conditionalFormatting sqref="C39">
    <cfRule type="cellIs" dxfId="654" priority="5" operator="greaterThan">
      <formula>0</formula>
    </cfRule>
  </conditionalFormatting>
  <conditionalFormatting sqref="C7:D7">
    <cfRule type="expression" dxfId="653" priority="658">
      <formula>$D$10&gt;($D$7-1)</formula>
    </cfRule>
  </conditionalFormatting>
  <conditionalFormatting sqref="C9:D9">
    <cfRule type="expression" dxfId="652" priority="39">
      <formula>$D$9&gt;$Y$17</formula>
    </cfRule>
  </conditionalFormatting>
  <conditionalFormatting sqref="E9">
    <cfRule type="expression" dxfId="651" priority="28">
      <formula>$E$9&gt;$E$2</formula>
    </cfRule>
  </conditionalFormatting>
  <conditionalFormatting sqref="H6">
    <cfRule type="expression" dxfId="650" priority="26">
      <formula>$H$6&lt;0</formula>
    </cfRule>
  </conditionalFormatting>
  <conditionalFormatting sqref="K6">
    <cfRule type="expression" dxfId="649"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B28" sqref="B28"/>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f>'Ship Info'!B1</f>
        <v>0</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Expeditionary Base Ship</v>
      </c>
      <c r="D2" t="s">
        <v>0</v>
      </c>
      <c r="E2" s="2">
        <f>Tech_Level</f>
        <v>14</v>
      </c>
      <c r="F2" s="4">
        <f>'Ship Info'!G2</f>
        <v>9839492100.0000038</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0.01</v>
      </c>
      <c r="BA2">
        <f>IF(P8=0,ROUNDDOWN(H42/C4,2),ROUNDDOWN(H42/P8,2))</f>
        <v>0</v>
      </c>
      <c r="BB2">
        <f>IF(E2&lt;9,0,IF(E2&lt;10,1,IF(E2&lt;11,3,IF(E2&lt;12,5,IF(E2&lt;13,7,IF(E2&lt;14,9,IF(E2&lt;17,10,11)))))))</f>
        <v>10</v>
      </c>
    </row>
    <row r="3" spans="1:86">
      <c r="B3" s="24" t="str">
        <f>'1-Hull'!B3</f>
        <v>High Automation - Costs x 2</v>
      </c>
      <c r="C3" s="835" t="s">
        <v>1011</v>
      </c>
      <c r="D3" s="836"/>
      <c r="E3" s="2"/>
      <c r="G3" s="28"/>
      <c r="H3" s="506">
        <f>S63</f>
        <v>1095</v>
      </c>
      <c r="I3" s="28"/>
      <c r="J3" s="28"/>
      <c r="K3" s="507">
        <f>S66</f>
        <v>4750</v>
      </c>
      <c r="S3" t="s">
        <v>50</v>
      </c>
      <c r="T3">
        <f>C4*HLOOKUP(D11,AF1:AQ3,2)</f>
        <v>100</v>
      </c>
      <c r="U3">
        <f>2000000*(T3)</f>
        <v>200000000</v>
      </c>
      <c r="V3">
        <f>HLOOKUP(D11,AF1:AQ3,3)</f>
        <v>9</v>
      </c>
      <c r="W3">
        <f>IF(D11&gt;0,D11*0.1*C4,0.1*C4*0.25)</f>
        <v>1000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10000</v>
      </c>
      <c r="C4" s="325">
        <f>U107</f>
        <v>10000</v>
      </c>
      <c r="D4" s="116" t="s">
        <v>1012</v>
      </c>
      <c r="E4" s="2"/>
      <c r="F4" s="504" t="s">
        <v>45</v>
      </c>
      <c r="H4" s="6" t="s">
        <v>46</v>
      </c>
      <c r="I4" s="6"/>
      <c r="K4" s="6" t="s">
        <v>55</v>
      </c>
      <c r="L4" s="6"/>
      <c r="S4" t="s">
        <v>56</v>
      </c>
      <c r="T4">
        <f>C4*HLOOKUP(D19,AF1:AV5,4)</f>
        <v>100</v>
      </c>
      <c r="U4">
        <f>200000*(T4)</f>
        <v>20000000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0.1</v>
      </c>
      <c r="BA4">
        <f>IF(P8=0,ROUNDDOWN(H51/C4,2),ROUNDDOWN(H51/P8,2))</f>
        <v>0</v>
      </c>
      <c r="BB4">
        <f>IF(E2&lt;9,0,IF(E2&lt;10,1,IF(E2&lt;12,2,IF(E2&lt;13,3,IF(E2&lt;14,4,IF(E2&lt;15,5,IF(E2&lt;16,6,IF(E2&lt;17,7,IF(E2&lt;18,8,9)))))))))</f>
        <v>5</v>
      </c>
    </row>
    <row r="5" spans="1:86" ht="16" thickBot="1">
      <c r="B5" s="6" t="s">
        <v>890</v>
      </c>
      <c r="F5" s="505">
        <f>SUM(F11:F56)</f>
        <v>3916500000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42.25</v>
      </c>
      <c r="I6" s="270">
        <f>'1-Hull'!I6</f>
        <v>10000</v>
      </c>
      <c r="K6" s="270">
        <f>'Ship Info'!L3</f>
        <v>-23</v>
      </c>
      <c r="L6" s="270">
        <f>'3-Pwr Plant'!L6</f>
        <v>7500</v>
      </c>
      <c r="S6" s="78" t="s">
        <v>57</v>
      </c>
      <c r="T6">
        <f>C4*HLOOKUP(D25,AF6:AO8,2)</f>
        <v>1600</v>
      </c>
      <c r="U6">
        <f>2000000*(T6)</f>
        <v>3200000000</v>
      </c>
      <c r="V6">
        <f>HLOOKUP(D25,AF6:AO8,3)</f>
        <v>21</v>
      </c>
      <c r="W6" s="46">
        <f>T6+H28</f>
        <v>1600</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1005</v>
      </c>
      <c r="U7">
        <f>1500000*(T7)</f>
        <v>1507500000</v>
      </c>
      <c r="V7">
        <f>HLOOKUP(D25,AF6:AO10,5)</f>
        <v>13</v>
      </c>
      <c r="W7" s="46">
        <f>0.1*C4*D25</f>
        <v>4000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1</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1005</v>
      </c>
      <c r="U8">
        <f>15000000*T8</f>
        <v>15075000000</v>
      </c>
      <c r="V8">
        <f>HLOOKUP(D25,AF6:AO12,7)</f>
        <v>20</v>
      </c>
      <c r="W8">
        <f>0.1*C4*D25</f>
        <v>4000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4</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1005</v>
      </c>
      <c r="U9">
        <f>150000000*T9</f>
        <v>150750000000</v>
      </c>
      <c r="V9">
        <f>HLOOKUP(D25,AF6:AO14,9)</f>
        <v>23</v>
      </c>
      <c r="W9">
        <f>0.1*C4*D25</f>
        <v>4000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4</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1</v>
      </c>
      <c r="Q10" s="137"/>
      <c r="R10" s="22"/>
      <c r="S10" s="80" t="s">
        <v>58</v>
      </c>
      <c r="T10" s="22">
        <f>IF(C4*HLOOKUP(D25,AF6:AO16,6)&gt;19.99,C4*HLOOKUP(D25,AF6:AO16,6),20)</f>
        <v>1000</v>
      </c>
      <c r="U10" s="22">
        <f>(T10)*3000000</f>
        <v>3000000000</v>
      </c>
      <c r="V10" s="22">
        <f>HLOOKUP(D25,AF6:AO16,7)</f>
        <v>20</v>
      </c>
      <c r="W10" s="137">
        <f>0.5*C4*D25</f>
        <v>20000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4</v>
      </c>
      <c r="BA10" s="22">
        <f>IF(BA4&gt;0.224,9,IF(BA4&gt;0.199,8,IF(BA4&gt;0.174,7,IF(BA4&gt;0.149,6,IF(BA4&gt;0.124,5,IF(BA4&gt;0.099,4,IF(BA4&gt;0.074,3,IF(BA4&gt;0.049,2,IF(BA4&gt;0.024,1,0)))))))))</f>
        <v>0</v>
      </c>
      <c r="BB10" s="22"/>
      <c r="BC10" s="834">
        <f>$H$11/0.01</f>
        <v>10000</v>
      </c>
      <c r="BD10" s="821"/>
      <c r="BE10" s="820">
        <f>H11/0.02</f>
        <v>5000</v>
      </c>
      <c r="BF10" s="821"/>
      <c r="BG10" s="820">
        <f>$H$11/0.03</f>
        <v>3333.3333333333335</v>
      </c>
      <c r="BH10" s="821"/>
      <c r="BI10" s="820">
        <f>$H$11/0.04</f>
        <v>2500</v>
      </c>
      <c r="BJ10" s="821"/>
      <c r="BK10" s="820">
        <f>$H$11/0.05</f>
        <v>2000</v>
      </c>
      <c r="BL10" s="821"/>
      <c r="BM10" s="820">
        <f>$H$11/0.06</f>
        <v>1666.6666666666667</v>
      </c>
      <c r="BN10" s="821"/>
      <c r="BO10" s="820">
        <f>$H$11/0.07</f>
        <v>1428.5714285714284</v>
      </c>
      <c r="BP10" s="821"/>
      <c r="BQ10" s="820">
        <f>$H$11/0.08</f>
        <v>1250</v>
      </c>
      <c r="BR10" s="821"/>
      <c r="BS10" s="820">
        <f>$H$11/0.09</f>
        <v>1111.1111111111111</v>
      </c>
      <c r="BT10" s="821"/>
      <c r="BU10" s="820">
        <f>$H$11/0.1</f>
        <v>1000</v>
      </c>
      <c r="BV10" s="821"/>
      <c r="BW10" s="820">
        <f>$H$11/0.11</f>
        <v>909.09090909090912</v>
      </c>
      <c r="BX10" s="821"/>
      <c r="BY10" s="377"/>
      <c r="BZ10" s="378"/>
      <c r="CA10" s="379"/>
      <c r="CB10" s="378"/>
      <c r="CC10" s="379"/>
      <c r="CD10" s="378"/>
      <c r="CE10" s="379"/>
      <c r="CF10" s="378"/>
      <c r="CG10" s="379"/>
      <c r="CH10" s="380"/>
    </row>
    <row r="11" spans="1:86" ht="16" thickBot="1">
      <c r="A11" s="102" t="s">
        <v>842</v>
      </c>
      <c r="B11" s="254" t="s">
        <v>50</v>
      </c>
      <c r="C11" s="102" t="s">
        <v>51</v>
      </c>
      <c r="D11" s="205">
        <v>1</v>
      </c>
      <c r="E11" s="22">
        <f>VLOOKUP(B11,S2:V4,4)+SUM(E15:E17)</f>
        <v>12</v>
      </c>
      <c r="F11" s="23">
        <f>VLOOKUP(B11,S2:U4,3)*'Ship Info'!G31</f>
        <v>400000000</v>
      </c>
      <c r="G11" s="22"/>
      <c r="H11" s="359">
        <f>VLOOKUP(B11,S2:T4,2)</f>
        <v>100</v>
      </c>
      <c r="I11" s="27"/>
      <c r="J11" s="22"/>
      <c r="K11" s="324">
        <f>VLOOKUP(B11,S2:W4,5)</f>
        <v>1000</v>
      </c>
      <c r="L11" s="22"/>
      <c r="M11" s="78"/>
      <c r="P11" s="2"/>
      <c r="Q11" s="46"/>
      <c r="S11" s="86" t="s">
        <v>59</v>
      </c>
      <c r="T11" s="28">
        <f>C4*HLOOKUP(D25,AF6:AO8,2)</f>
        <v>1600</v>
      </c>
      <c r="U11" s="28">
        <f>2000000*(T11)</f>
        <v>3200000000</v>
      </c>
      <c r="V11" s="28">
        <f>HLOOKUP(D25,AF6:AO8,3)</f>
        <v>21</v>
      </c>
      <c r="W11" s="79">
        <f>T11+H28</f>
        <v>1600</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4</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99</v>
      </c>
      <c r="D12" s="27"/>
      <c r="E12" s="22"/>
      <c r="F12" s="23" t="str">
        <f>IF(C12=S13,0.5*(SUM(F11,F14,F15))," ")</f>
        <v xml:space="preserve"> </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1</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4000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4</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4000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40000</v>
      </c>
      <c r="BD14" s="821"/>
      <c r="BE14" s="820">
        <f>($H$25-5)/0.05</f>
        <v>20000</v>
      </c>
      <c r="BF14" s="821"/>
      <c r="BG14" s="820">
        <f>($H$25-5)/0.075</f>
        <v>13333.333333333334</v>
      </c>
      <c r="BH14" s="821"/>
      <c r="BI14" s="820">
        <f>($H$25-5)/0.1</f>
        <v>10000</v>
      </c>
      <c r="BJ14" s="821"/>
      <c r="BK14" s="820">
        <f>($H$25-5)/0.125</f>
        <v>8000</v>
      </c>
      <c r="BL14" s="821"/>
      <c r="BM14" s="820">
        <f>($H$25-5)/0.15</f>
        <v>6666.666666666667</v>
      </c>
      <c r="BN14" s="821"/>
      <c r="BO14" s="820">
        <f>($H$25-5)/0.175</f>
        <v>5714.2857142857147</v>
      </c>
      <c r="BP14" s="821"/>
      <c r="BQ14" s="820">
        <f>($H$25-5)/0.2</f>
        <v>5000</v>
      </c>
      <c r="BR14" s="821"/>
      <c r="BS14" s="820">
        <f>($H$25-5)/0.225</f>
        <v>4444.4444444444443</v>
      </c>
      <c r="BT14" s="821"/>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200000000</v>
      </c>
      <c r="G15" s="22"/>
      <c r="H15" s="359">
        <f>IF(B11=S2,0,VLOOKUP(B15,S24:W48,2)+VLOOKUP(B16,S24:W48,2)+VLOOKUP(B17,S24:W48,2))</f>
        <v>-10</v>
      </c>
      <c r="I15" s="22"/>
      <c r="J15" s="22"/>
      <c r="K15" s="324">
        <f>IF(B11=S2,0,VLOOKUP(B15,S24:W48,5)+VLOOKUP(B16,S24:W48,5)+VLOOKUP(B17,S24:W48,5))</f>
        <v>-250</v>
      </c>
      <c r="L15" s="22"/>
      <c r="M15" s="78"/>
      <c r="P15" s="2"/>
      <c r="Q15" s="46"/>
      <c r="S15" t="s">
        <v>120</v>
      </c>
      <c r="T15">
        <f>C4*HLOOKUP(D33,AF1:AV5,4)</f>
        <v>100</v>
      </c>
      <c r="U15">
        <f>200000*(T15+H35)</f>
        <v>20000000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500</v>
      </c>
      <c r="U17">
        <f>200000*T17</f>
        <v>100000000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4</v>
      </c>
      <c r="E25" s="22">
        <f>VLOOKUP(B25,S5:W11,4)+SUM(E28:E30)</f>
        <v>14</v>
      </c>
      <c r="F25" s="23">
        <f>IF(D25=0,0,VLOOKUP(B25,S5:W11,3))*'Ship Info'!G31</f>
        <v>3015000000</v>
      </c>
      <c r="G25" s="22"/>
      <c r="H25" s="359">
        <f>IF(D25=0,0,VLOOKUP(B25,S5:W11,2))</f>
        <v>1005</v>
      </c>
      <c r="I25" s="27"/>
      <c r="J25" s="22"/>
      <c r="K25" s="324">
        <f>VLOOKUP(B25,S5:W11,5)</f>
        <v>4000</v>
      </c>
      <c r="L25" s="22"/>
      <c r="M25" s="95" t="s">
        <v>867</v>
      </c>
      <c r="N25" s="93" t="s">
        <v>1</v>
      </c>
      <c r="O25" s="57" t="s">
        <v>55</v>
      </c>
      <c r="P25" s="96" t="s">
        <v>67</v>
      </c>
      <c r="Q25" s="93" t="s">
        <v>26</v>
      </c>
      <c r="R25" s="96" t="s">
        <v>860</v>
      </c>
      <c r="S25" s="78" t="s">
        <v>830</v>
      </c>
      <c r="T25">
        <f>0.25*T3</f>
        <v>25</v>
      </c>
      <c r="U25">
        <f>-0.25*F11</f>
        <v>-100000000</v>
      </c>
      <c r="V25">
        <v>0</v>
      </c>
      <c r="W25">
        <v>0</v>
      </c>
      <c r="X25" s="78">
        <f>0.25*T70</f>
        <v>12.5</v>
      </c>
      <c r="Y25" t="e">
        <f>-0.25*(F42+F46)</f>
        <v>#VALUE!</v>
      </c>
      <c r="Z25" s="88">
        <v>0</v>
      </c>
      <c r="AA25" s="90">
        <v>3</v>
      </c>
      <c r="AB25" s="78" t="s">
        <v>830</v>
      </c>
      <c r="AE25">
        <f>0.25*VLOOKUP(B25,S5:W11,2)</f>
        <v>251.25</v>
      </c>
      <c r="AF25">
        <f>-0.25*F25</f>
        <v>-753750000</v>
      </c>
      <c r="AG25">
        <v>0</v>
      </c>
      <c r="AH25">
        <v>0</v>
      </c>
      <c r="AI25">
        <v>0</v>
      </c>
      <c r="AJ25">
        <v>3</v>
      </c>
      <c r="AK25">
        <f>0.25*VLOOKUP(B51,X10:AB16,2)</f>
        <v>0</v>
      </c>
      <c r="AL25">
        <f>-0.25*F51</f>
        <v>0</v>
      </c>
      <c r="AM25" s="46">
        <v>0</v>
      </c>
      <c r="AN25" s="78" t="s">
        <v>830</v>
      </c>
      <c r="AS25">
        <f>0.25*T4</f>
        <v>25</v>
      </c>
      <c r="AT25">
        <f>-0.25*U4</f>
        <v>-5000000</v>
      </c>
      <c r="AU25">
        <v>0</v>
      </c>
      <c r="AV25" s="46">
        <v>0</v>
      </c>
      <c r="AW25" s="2">
        <v>3</v>
      </c>
      <c r="AX25" s="92">
        <f>0.25*T15</f>
        <v>25</v>
      </c>
      <c r="AY25" s="2">
        <f>-0.25*U15</f>
        <v>-5000000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-100000000</v>
      </c>
      <c r="V26">
        <v>0</v>
      </c>
      <c r="W26">
        <f>0.3*W3</f>
        <v>300</v>
      </c>
      <c r="X26" s="78">
        <v>0</v>
      </c>
      <c r="Y26" t="e">
        <f>-0.25*(F42+F46)</f>
        <v>#VALUE!</v>
      </c>
      <c r="Z26" s="88">
        <f>0.3*VLOOKUP(B42,S69:W71,5)</f>
        <v>0</v>
      </c>
      <c r="AA26" s="90">
        <v>3</v>
      </c>
      <c r="AB26" s="78" t="s">
        <v>871</v>
      </c>
      <c r="AE26">
        <v>0</v>
      </c>
      <c r="AF26">
        <f>-0.25*F25</f>
        <v>-753750000</v>
      </c>
      <c r="AG26">
        <v>0</v>
      </c>
      <c r="AH26">
        <v>0</v>
      </c>
      <c r="AI26">
        <f>0.3*VLOOKUP(B25,S5:W11,5)</f>
        <v>1200</v>
      </c>
      <c r="AJ26">
        <v>3</v>
      </c>
      <c r="AK26">
        <v>0</v>
      </c>
      <c r="AL26">
        <f>-0.25*F51</f>
        <v>0</v>
      </c>
      <c r="AM26" s="46">
        <f>0.3*VLOOKUP(B51,S5:W11,5)</f>
        <v>0</v>
      </c>
      <c r="AN26" s="78" t="s">
        <v>848</v>
      </c>
      <c r="AS26">
        <v>0</v>
      </c>
      <c r="AT26">
        <f>-0.25*U4</f>
        <v>-5000000</v>
      </c>
      <c r="AU26">
        <v>0.25</v>
      </c>
      <c r="AV26" s="46">
        <v>0</v>
      </c>
      <c r="AW26" s="2">
        <v>3</v>
      </c>
      <c r="AX26" s="92">
        <v>0</v>
      </c>
      <c r="AY26" s="2">
        <f>-0.25*U15</f>
        <v>-5000000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-100000000</v>
      </c>
      <c r="V27">
        <v>0</v>
      </c>
      <c r="W27">
        <v>0</v>
      </c>
      <c r="X27" s="78">
        <v>0</v>
      </c>
      <c r="Y27" t="e">
        <f>-0.25*(F42+F46)</f>
        <v>#VALUE!</v>
      </c>
      <c r="Z27" s="88">
        <v>0</v>
      </c>
      <c r="AA27" s="90">
        <v>3</v>
      </c>
      <c r="AB27" s="78" t="s">
        <v>833</v>
      </c>
      <c r="AE27">
        <v>0</v>
      </c>
      <c r="AF27">
        <f>-0.1*F25</f>
        <v>-301500000</v>
      </c>
      <c r="AG27">
        <v>0</v>
      </c>
      <c r="AH27">
        <v>1</v>
      </c>
      <c r="AI27">
        <v>0</v>
      </c>
      <c r="AJ27">
        <v>3</v>
      </c>
      <c r="AK27">
        <v>0</v>
      </c>
      <c r="AL27">
        <f>-0.1*F51</f>
        <v>0</v>
      </c>
      <c r="AM27" s="46">
        <v>0</v>
      </c>
      <c r="AN27" s="78" t="s">
        <v>833</v>
      </c>
      <c r="AS27">
        <v>0</v>
      </c>
      <c r="AT27">
        <f>-0.1*U4</f>
        <v>-2000000</v>
      </c>
      <c r="AU27">
        <v>0</v>
      </c>
      <c r="AV27" s="46">
        <v>1</v>
      </c>
      <c r="AW27" s="2">
        <v>3</v>
      </c>
      <c r="AX27" s="92">
        <v>0</v>
      </c>
      <c r="AY27" s="2">
        <f>-0.1*U15</f>
        <v>-2000000</v>
      </c>
      <c r="AZ27" s="88">
        <v>0</v>
      </c>
    </row>
    <row r="28" spans="1:86" ht="16" thickBot="1">
      <c r="A28" s="102" t="s">
        <v>126</v>
      </c>
      <c r="B28" s="206" t="s">
        <v>829</v>
      </c>
      <c r="C28" s="22"/>
      <c r="D28" s="22"/>
      <c r="E28" s="22">
        <f>VLOOKUP(B28,AB24:AM48,7)</f>
        <v>0</v>
      </c>
      <c r="F28" s="23">
        <f>AE51</f>
        <v>301500000</v>
      </c>
      <c r="G28" s="22"/>
      <c r="H28" s="359">
        <f>IF(D25=0,0,VLOOKUP(B28,AB24:AM48,4)+VLOOKUP(B29,AB24:AM48,4)+VLOOKUP(B30,AB24:AM48,4))</f>
        <v>0</v>
      </c>
      <c r="I28" s="22"/>
      <c r="J28" s="22"/>
      <c r="K28" s="324">
        <f>IF(B25=S5,0,VLOOKUP(B28,AB24:AM48,8)+VLOOKUP(B29,AB24:AM48,8)+VLOOKUP(B30,AB24:AM48,8))</f>
        <v>0</v>
      </c>
      <c r="L28" s="22"/>
      <c r="S28" s="78" t="s">
        <v>833</v>
      </c>
      <c r="T28">
        <v>0</v>
      </c>
      <c r="U28">
        <f>-0.1*F11</f>
        <v>-40000000</v>
      </c>
      <c r="V28">
        <v>1</v>
      </c>
      <c r="W28">
        <v>0</v>
      </c>
      <c r="X28" s="78">
        <v>0</v>
      </c>
      <c r="Y28" t="e">
        <f>-0.1*(F42+F46)</f>
        <v>#VALUE!</v>
      </c>
      <c r="Z28" s="88">
        <v>0</v>
      </c>
      <c r="AA28" s="90">
        <v>3</v>
      </c>
      <c r="AB28" s="78" t="s">
        <v>834</v>
      </c>
      <c r="AE28">
        <v>0</v>
      </c>
      <c r="AF28">
        <f>-0.2*F25</f>
        <v>-603000000</v>
      </c>
      <c r="AG28">
        <v>0</v>
      </c>
      <c r="AH28">
        <v>2</v>
      </c>
      <c r="AI28">
        <v>0</v>
      </c>
      <c r="AJ28">
        <v>3</v>
      </c>
      <c r="AK28">
        <v>0</v>
      </c>
      <c r="AL28">
        <f>-0.2*F51</f>
        <v>0</v>
      </c>
      <c r="AM28" s="46">
        <v>0</v>
      </c>
      <c r="AN28" s="78" t="s">
        <v>834</v>
      </c>
      <c r="AS28">
        <v>0</v>
      </c>
      <c r="AT28">
        <f>-0.15*U4</f>
        <v>-3000000</v>
      </c>
      <c r="AU28">
        <v>0</v>
      </c>
      <c r="AV28" s="46">
        <v>2</v>
      </c>
      <c r="AW28" s="2">
        <v>3</v>
      </c>
      <c r="AX28" s="92">
        <v>0</v>
      </c>
      <c r="AY28" s="2">
        <f>-0.15*U15</f>
        <v>-3000000</v>
      </c>
      <c r="AZ28" s="88">
        <v>0</v>
      </c>
    </row>
    <row r="29" spans="1:86" ht="16" thickBot="1">
      <c r="A29" s="22"/>
      <c r="B29" s="206" t="s">
        <v>879</v>
      </c>
      <c r="C29" s="22"/>
      <c r="D29" s="104" t="s">
        <v>818</v>
      </c>
      <c r="E29" s="22">
        <f>VLOOKUP(B29,AB24:AM48,7)</f>
        <v>1</v>
      </c>
      <c r="F29" s="22"/>
      <c r="G29" s="22"/>
      <c r="H29" s="23"/>
      <c r="I29" s="22"/>
      <c r="J29" s="22"/>
      <c r="K29" s="22"/>
      <c r="L29" s="22"/>
      <c r="M29" t="s">
        <v>868</v>
      </c>
      <c r="S29" s="78" t="s">
        <v>834</v>
      </c>
      <c r="T29">
        <v>0</v>
      </c>
      <c r="U29">
        <f>-0.15*F11</f>
        <v>-60000000</v>
      </c>
      <c r="V29">
        <v>2</v>
      </c>
      <c r="W29">
        <v>0</v>
      </c>
      <c r="X29" s="78">
        <v>0</v>
      </c>
      <c r="Y29" t="e">
        <f>-0.15*(F42+F46)</f>
        <v>#VALUE!</v>
      </c>
      <c r="Z29" s="88">
        <v>0</v>
      </c>
      <c r="AA29" s="90">
        <v>3</v>
      </c>
      <c r="AB29" s="78" t="s">
        <v>835</v>
      </c>
      <c r="AE29">
        <v>0</v>
      </c>
      <c r="AF29">
        <f>-0.3*F25</f>
        <v>-904500000</v>
      </c>
      <c r="AG29">
        <v>0</v>
      </c>
      <c r="AH29">
        <v>3</v>
      </c>
      <c r="AI29">
        <v>0</v>
      </c>
      <c r="AJ29">
        <v>3</v>
      </c>
      <c r="AK29">
        <v>0</v>
      </c>
      <c r="AL29">
        <f>-0.3*F51</f>
        <v>0</v>
      </c>
      <c r="AM29" s="46">
        <v>0</v>
      </c>
      <c r="AN29" s="78" t="s">
        <v>835</v>
      </c>
      <c r="AS29">
        <v>0</v>
      </c>
      <c r="AT29">
        <f>-0.2*U4</f>
        <v>-4000000</v>
      </c>
      <c r="AU29">
        <v>0</v>
      </c>
      <c r="AV29" s="46">
        <v>3</v>
      </c>
      <c r="AW29" s="2">
        <v>3</v>
      </c>
      <c r="AX29" s="92">
        <v>0</v>
      </c>
      <c r="AY29" s="2">
        <f>-0.2*U15</f>
        <v>-4000000</v>
      </c>
      <c r="AZ29" s="88">
        <v>0</v>
      </c>
    </row>
    <row r="30" spans="1:86" ht="16" thickBot="1">
      <c r="A30" s="22"/>
      <c r="B30" s="206" t="s">
        <v>829</v>
      </c>
      <c r="C30" s="22"/>
      <c r="D30" s="27">
        <f>VLOOKUP(B28,AB24:AM48,9)+VLOOKUP(B29,AB24:AM48,9)+VLOOKUP(B30,AB24:AM48,9)</f>
        <v>1</v>
      </c>
      <c r="E30" s="22">
        <f>VLOOKUP(B30,AB24:AM48,7)</f>
        <v>0</v>
      </c>
      <c r="F30" s="22"/>
      <c r="G30" s="22"/>
      <c r="H30" s="23"/>
      <c r="I30" s="22"/>
      <c r="J30" s="22"/>
      <c r="K30" s="22"/>
      <c r="L30" s="22"/>
      <c r="M30" s="83" t="s">
        <v>857</v>
      </c>
      <c r="N30" s="839"/>
      <c r="O30" s="839"/>
      <c r="P30" s="839"/>
      <c r="Q30" s="839"/>
      <c r="R30" s="839"/>
      <c r="S30" t="s">
        <v>835</v>
      </c>
      <c r="T30">
        <v>0</v>
      </c>
      <c r="U30">
        <f>-0.2*F11</f>
        <v>-80000000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-250</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-10</v>
      </c>
      <c r="AT31">
        <v>0</v>
      </c>
      <c r="AU31">
        <v>0</v>
      </c>
      <c r="AV31" s="46">
        <v>1</v>
      </c>
      <c r="AW31" s="2">
        <v>1</v>
      </c>
      <c r="AX31" s="92">
        <f>-0.1*T15</f>
        <v>-10</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-10</v>
      </c>
      <c r="U32">
        <v>0</v>
      </c>
      <c r="V32">
        <v>1</v>
      </c>
      <c r="W32">
        <v>0</v>
      </c>
      <c r="X32" s="78">
        <f>-0.1*T70</f>
        <v>-5</v>
      </c>
      <c r="Y32">
        <v>0</v>
      </c>
      <c r="Z32" s="88">
        <v>0</v>
      </c>
      <c r="AA32" s="90">
        <v>1</v>
      </c>
      <c r="AB32" s="78" t="s">
        <v>877</v>
      </c>
      <c r="AE32">
        <v>0</v>
      </c>
      <c r="AF32">
        <v>0</v>
      </c>
      <c r="AG32">
        <v>0</v>
      </c>
      <c r="AH32">
        <v>1</v>
      </c>
      <c r="AI32">
        <f>-0.25*VLOOKUP(B25,S5:W11,5)</f>
        <v>-1000</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-100.5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25</v>
      </c>
      <c r="AT34">
        <f>5*U4</f>
        <v>100000000</v>
      </c>
      <c r="AU34">
        <v>0</v>
      </c>
      <c r="AV34" s="46">
        <v>-1</v>
      </c>
      <c r="AW34" s="2">
        <v>3</v>
      </c>
      <c r="AX34" s="92">
        <f>0.25*T15</f>
        <v>25</v>
      </c>
      <c r="AY34" s="2">
        <f>5*U15</f>
        <v>100000000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150</v>
      </c>
      <c r="U35">
        <v>-1.0000000000000001E-9</v>
      </c>
      <c r="V35">
        <f>INDEX(AF1:AV3,3,MATCH(D11*2,AF1:AV1,0))-INDEX(AF1:AV3,3,MATCH(D11,AF1:AV1,0))</f>
        <v>1</v>
      </c>
      <c r="W35">
        <v>0</v>
      </c>
      <c r="X35" s="78">
        <f>INDEX(AF1:AQ3,2,MATCH(D42*2,AF1:AQ1,0))*Tonnage-H42+0.25*INDEX(AF1:AQ3,2,MATCH(D42*2,AF1:AQ1,0))*Tonnage</f>
        <v>62.5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100000000</v>
      </c>
      <c r="AU35">
        <v>0.25</v>
      </c>
      <c r="AV35" s="46">
        <v>-1</v>
      </c>
      <c r="AW35" s="2">
        <v>3</v>
      </c>
      <c r="AX35" s="92">
        <v>0</v>
      </c>
      <c r="AY35" s="2">
        <f>5*U15</f>
        <v>100000000</v>
      </c>
      <c r="AZ35" s="88">
        <v>0.25</v>
      </c>
    </row>
    <row r="36" spans="1:53" ht="16" thickBot="1">
      <c r="B36" s="197" t="s">
        <v>829</v>
      </c>
      <c r="D36" s="52" t="s">
        <v>818</v>
      </c>
      <c r="E36">
        <f>VLOOKUP(B36,AN24:AV42,9)</f>
        <v>0</v>
      </c>
      <c r="H36" s="4"/>
      <c r="M36" t="s">
        <v>868</v>
      </c>
      <c r="S36" s="78" t="s">
        <v>840</v>
      </c>
      <c r="T36">
        <f>0.25*T3</f>
        <v>25</v>
      </c>
      <c r="U36">
        <f>5*F11</f>
        <v>2000000000</v>
      </c>
      <c r="V36">
        <v>-1</v>
      </c>
      <c r="W36">
        <v>0</v>
      </c>
      <c r="X36" s="78">
        <f>0.25*T70</f>
        <v>12.5</v>
      </c>
      <c r="Y36" t="e">
        <f>5*(F42+F46)</f>
        <v>#VALUE!</v>
      </c>
      <c r="Z36" s="88">
        <v>0</v>
      </c>
      <c r="AA36" s="90">
        <v>3</v>
      </c>
      <c r="AB36" s="78" t="s">
        <v>840</v>
      </c>
      <c r="AE36">
        <f>0.25*VLOOKUP(B25,S5:W11,2)</f>
        <v>251.25</v>
      </c>
      <c r="AF36">
        <f>5*F25</f>
        <v>15075000000</v>
      </c>
      <c r="AG36">
        <v>0</v>
      </c>
      <c r="AH36">
        <v>-1</v>
      </c>
      <c r="AI36">
        <v>0</v>
      </c>
      <c r="AJ36">
        <v>3</v>
      </c>
      <c r="AK36">
        <f>0.25*VLOOKUP(B51,X10:AB16,2)</f>
        <v>0</v>
      </c>
      <c r="AL36">
        <f>5*F51</f>
        <v>0</v>
      </c>
      <c r="AM36" s="46">
        <v>0</v>
      </c>
      <c r="AN36" s="78" t="s">
        <v>850</v>
      </c>
      <c r="AS36">
        <f>1.5*T4</f>
        <v>150</v>
      </c>
      <c r="AT36">
        <f>10*U4</f>
        <v>200000000</v>
      </c>
      <c r="AU36">
        <v>0</v>
      </c>
      <c r="AV36" s="46">
        <v>-2</v>
      </c>
      <c r="AW36" s="2">
        <v>3</v>
      </c>
      <c r="AX36" s="92">
        <f>1.5*T15</f>
        <v>150</v>
      </c>
      <c r="AY36" s="2">
        <f>10*U15</f>
        <v>200000000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2000000000</v>
      </c>
      <c r="V37">
        <v>-1</v>
      </c>
      <c r="W37">
        <f>0.3*W3</f>
        <v>300</v>
      </c>
      <c r="X37" s="78">
        <f>-0.2*VLOOKUP(B42,S69:T71,2)</f>
        <v>0</v>
      </c>
      <c r="Y37" t="e">
        <f>5*(F42+F46)</f>
        <v>#VALUE!</v>
      </c>
      <c r="Z37" s="88">
        <f>0.3*VLOOKUP(B42,S69:W71,5)</f>
        <v>0</v>
      </c>
      <c r="AA37" s="90">
        <v>3</v>
      </c>
      <c r="AB37" s="78" t="s">
        <v>847</v>
      </c>
      <c r="AE37">
        <v>0</v>
      </c>
      <c r="AF37">
        <f>5*F25</f>
        <v>15075000000</v>
      </c>
      <c r="AG37">
        <v>0</v>
      </c>
      <c r="AH37">
        <v>-1</v>
      </c>
      <c r="AI37">
        <f>0.3*VLOOKUP(B25,S5:W11,5)</f>
        <v>1200</v>
      </c>
      <c r="AJ37">
        <v>3</v>
      </c>
      <c r="AK37">
        <v>0</v>
      </c>
      <c r="AL37">
        <f>5*F51</f>
        <v>0</v>
      </c>
      <c r="AM37" s="46">
        <f>0.3*VLOOKUP(B51,S5:W11,5)</f>
        <v>0</v>
      </c>
      <c r="AN37" s="78" t="s">
        <v>851</v>
      </c>
      <c r="AS37">
        <f>1*T4</f>
        <v>100</v>
      </c>
      <c r="AT37">
        <f>10*U4</f>
        <v>200000000</v>
      </c>
      <c r="AU37">
        <v>0.5</v>
      </c>
      <c r="AV37" s="46">
        <v>-2</v>
      </c>
      <c r="AW37" s="2">
        <v>3</v>
      </c>
      <c r="AX37" s="92">
        <f>T15</f>
        <v>100</v>
      </c>
      <c r="AY37" s="2">
        <f>10*U15</f>
        <v>200000000</v>
      </c>
      <c r="AZ37" s="88">
        <v>0.5</v>
      </c>
    </row>
    <row r="38" spans="1:53">
      <c r="B38" s="77"/>
      <c r="H38" s="4"/>
      <c r="M38" s="83"/>
      <c r="N38" s="838" t="s">
        <v>866</v>
      </c>
      <c r="O38" s="838"/>
      <c r="P38" s="94"/>
      <c r="Q38" s="57"/>
      <c r="R38" s="94"/>
      <c r="S38" t="s">
        <v>841</v>
      </c>
      <c r="T38">
        <v>0</v>
      </c>
      <c r="U38">
        <f>5*F11</f>
        <v>2000000000</v>
      </c>
      <c r="V38">
        <v>-1</v>
      </c>
      <c r="W38">
        <v>0</v>
      </c>
      <c r="X38" s="78">
        <v>0</v>
      </c>
      <c r="Y38" t="e">
        <f>5*(F42+F46)</f>
        <v>#VALUE!</v>
      </c>
      <c r="Z38" s="88">
        <v>0</v>
      </c>
      <c r="AA38" s="90">
        <v>3</v>
      </c>
      <c r="AB38" s="78" t="s">
        <v>862</v>
      </c>
      <c r="AE38">
        <v>0</v>
      </c>
      <c r="AF38">
        <f>5*F25</f>
        <v>15075000000</v>
      </c>
      <c r="AG38">
        <v>0</v>
      </c>
      <c r="AH38">
        <v>-1</v>
      </c>
      <c r="AI38">
        <v>0</v>
      </c>
      <c r="AJ38">
        <v>3</v>
      </c>
      <c r="AK38">
        <v>0</v>
      </c>
      <c r="AL38">
        <f>5*F51</f>
        <v>0</v>
      </c>
      <c r="AM38" s="46">
        <v>0</v>
      </c>
      <c r="AN38" s="78" t="s">
        <v>852</v>
      </c>
      <c r="AS38">
        <f>1*T4</f>
        <v>100</v>
      </c>
      <c r="AT38">
        <f>10*U4</f>
        <v>200000000</v>
      </c>
      <c r="AU38">
        <v>0.25</v>
      </c>
      <c r="AV38" s="46">
        <v>-2</v>
      </c>
      <c r="AW38" s="2">
        <v>3</v>
      </c>
      <c r="AX38" s="92">
        <f>T15</f>
        <v>100</v>
      </c>
      <c r="AY38" s="2">
        <f>10*U15</f>
        <v>200000000</v>
      </c>
      <c r="AZ38" s="88">
        <v>0.25</v>
      </c>
    </row>
    <row r="39" spans="1:53" ht="16" thickBot="1">
      <c r="F39" s="4"/>
      <c r="H39" s="10"/>
      <c r="K39" s="2"/>
      <c r="M39" s="95" t="s">
        <v>867</v>
      </c>
      <c r="N39" s="93" t="s">
        <v>1</v>
      </c>
      <c r="O39" s="57" t="s">
        <v>55</v>
      </c>
      <c r="P39" s="96" t="s">
        <v>67</v>
      </c>
      <c r="Q39" s="93" t="s">
        <v>26</v>
      </c>
      <c r="R39" s="96" t="s">
        <v>860</v>
      </c>
      <c r="S39" s="78" t="s">
        <v>825</v>
      </c>
      <c r="T39">
        <f>1*T3</f>
        <v>100</v>
      </c>
      <c r="U39">
        <f>10*F11</f>
        <v>4000000000</v>
      </c>
      <c r="V39">
        <v>-2</v>
      </c>
      <c r="W39">
        <v>0</v>
      </c>
      <c r="X39" s="78">
        <f>1*T70</f>
        <v>50</v>
      </c>
      <c r="Y39" t="e">
        <f>10*(F42+F46)</f>
        <v>#VALUE!</v>
      </c>
      <c r="Z39" s="88">
        <v>0</v>
      </c>
      <c r="AA39" s="90">
        <v>3</v>
      </c>
      <c r="AB39" s="78" t="s">
        <v>863</v>
      </c>
      <c r="AE39">
        <f>1*VLOOKUP(B25,S5:W11,2)</f>
        <v>1005</v>
      </c>
      <c r="AF39">
        <f>10*F25</f>
        <v>30150000000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150</v>
      </c>
      <c r="U40">
        <f>10*F11</f>
        <v>4000000000</v>
      </c>
      <c r="V40">
        <v>-2</v>
      </c>
      <c r="W40">
        <v>0</v>
      </c>
      <c r="X40" s="78">
        <f>1.5*T70</f>
        <v>75</v>
      </c>
      <c r="Y40" t="e">
        <f>10*(F42+F46)</f>
        <v>#VALUE!</v>
      </c>
      <c r="Z40" s="88">
        <v>0</v>
      </c>
      <c r="AA40" s="90">
        <v>3</v>
      </c>
      <c r="AB40" s="78" t="s">
        <v>826</v>
      </c>
      <c r="AE40">
        <f>1.5*VLOOKUP(B25,S5:W11,2)</f>
        <v>1507.5</v>
      </c>
      <c r="AF40">
        <f>10*F25</f>
        <v>30150000000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100</v>
      </c>
      <c r="U41">
        <f>10*F11</f>
        <v>4000000000</v>
      </c>
      <c r="V41">
        <v>-2</v>
      </c>
      <c r="W41">
        <f>0.6*W3</f>
        <v>600</v>
      </c>
      <c r="X41" s="78">
        <f>1*T70</f>
        <v>50</v>
      </c>
      <c r="Y41" t="e">
        <f>10*(F42+F46)</f>
        <v>#VALUE!</v>
      </c>
      <c r="Z41" s="88">
        <f>0.6*VLOOKUP(B42,S69:W71,5)</f>
        <v>0</v>
      </c>
      <c r="AA41" s="90">
        <v>3</v>
      </c>
      <c r="AB41" s="78" t="s">
        <v>861</v>
      </c>
      <c r="AE41">
        <f>1*VLOOKUP(B25,S5:W11,2)</f>
        <v>1005</v>
      </c>
      <c r="AF41">
        <f>10*F25</f>
        <v>30150000000</v>
      </c>
      <c r="AG41">
        <v>0</v>
      </c>
      <c r="AH41">
        <v>-2</v>
      </c>
      <c r="AI41">
        <f>0.6*VLOOKUP(B25,S5:W11,5)</f>
        <v>2400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125</v>
      </c>
      <c r="U42">
        <f>10*F11</f>
        <v>4000000000</v>
      </c>
      <c r="V42">
        <v>-2</v>
      </c>
      <c r="W42">
        <f>0.3*W3</f>
        <v>300</v>
      </c>
      <c r="X42" s="78">
        <f>1.25*T70</f>
        <v>62.5</v>
      </c>
      <c r="Y42" t="e">
        <f>10*(F42+F46)</f>
        <v>#VALUE!</v>
      </c>
      <c r="Z42" s="88">
        <v>0</v>
      </c>
      <c r="AA42" s="90">
        <v>3</v>
      </c>
      <c r="AB42" s="78" t="s">
        <v>827</v>
      </c>
      <c r="AE42">
        <f>1.25*VLOOKUP(B25,S5:W11,2)</f>
        <v>1256.25</v>
      </c>
      <c r="AF42">
        <f>10*F25</f>
        <v>30150000000</v>
      </c>
      <c r="AG42">
        <v>0</v>
      </c>
      <c r="AH42">
        <v>-2</v>
      </c>
      <c r="AI42">
        <f>0.3*VLOOKUP(B25,S5:W11,5)</f>
        <v>1200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125</v>
      </c>
      <c r="U43">
        <f>10*F11</f>
        <v>4000000000</v>
      </c>
      <c r="V43">
        <v>-2</v>
      </c>
      <c r="W43">
        <v>0</v>
      </c>
      <c r="X43" s="78">
        <f>1.25*T70</f>
        <v>62.5</v>
      </c>
      <c r="Y43" t="e">
        <f>10*(F42+F46)</f>
        <v>#VALUE!</v>
      </c>
      <c r="Z43" s="88">
        <v>0</v>
      </c>
      <c r="AA43" s="90">
        <v>3</v>
      </c>
      <c r="AB43" s="78" t="s">
        <v>864</v>
      </c>
      <c r="AE43">
        <f>1*VLOOKUP(B25,S5:W11,2)</f>
        <v>1005</v>
      </c>
      <c r="AF43">
        <f>10*F25</f>
        <v>30150000000</v>
      </c>
      <c r="AG43">
        <v>0</v>
      </c>
      <c r="AH43">
        <v>-2</v>
      </c>
      <c r="AI43">
        <f>0.3*VLOOKUP(B25,S5:W11,5)</f>
        <v>1200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100</v>
      </c>
      <c r="U44">
        <f>10*F11</f>
        <v>4000000000</v>
      </c>
      <c r="V44">
        <v>-2</v>
      </c>
      <c r="W44">
        <f>0.3*W3</f>
        <v>300</v>
      </c>
      <c r="X44" s="78">
        <f>1*T70</f>
        <v>50</v>
      </c>
      <c r="Y44" s="2" t="e">
        <f>10*(F42+F46)</f>
        <v>#VALUE!</v>
      </c>
      <c r="Z44" s="88">
        <f>0.3*VLOOKUP(B42,S69:W71,5)</f>
        <v>0</v>
      </c>
      <c r="AA44" s="90">
        <v>3</v>
      </c>
      <c r="AB44" s="78" t="s">
        <v>865</v>
      </c>
      <c r="AE44">
        <f>1.25*VLOOKUP(B25,S5:W11,2)</f>
        <v>1256.25</v>
      </c>
      <c r="AF44">
        <f>10*F25</f>
        <v>30150000000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200000000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301500000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4</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4</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1095</v>
      </c>
      <c r="U63" t="s">
        <v>922</v>
      </c>
      <c r="V63">
        <f>SUM('6-Comp'!Y14)</f>
        <v>0</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No</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4750</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50</v>
      </c>
      <c r="U70">
        <f>2000000*(T70+H47)</f>
        <v>100000000</v>
      </c>
      <c r="V70">
        <f>HLOOKUP(D42,AF1:AQ3,3)</f>
        <v>9</v>
      </c>
      <c r="W70">
        <f>IF(D42&gt;0,D42*0.1*C4,0.1*C4*0.25)</f>
        <v>250</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90</v>
      </c>
      <c r="U90" s="115">
        <f>SUM(F11:F23,F33:F49)</f>
        <v>600000000</v>
      </c>
      <c r="Z90" s="78" t="str">
        <f>VLOOKUP(B22,AE88:AF106,2)</f>
        <v/>
      </c>
      <c r="AA90" s="46"/>
      <c r="AE90" s="78" t="s">
        <v>848</v>
      </c>
      <c r="AF90" t="s">
        <v>974</v>
      </c>
    </row>
    <row r="91" spans="19:43">
      <c r="S91" t="str">
        <f>IF(B11=S2,"","M-Drive: "&amp;D11&amp;" "&amp;Z67&amp;AA67&amp;Z68&amp;AA68&amp;Z69&amp;IF(AC66="No","",", DSMS "&amp;D14)&amp;IF(AC64="No","",", EMP")&amp;IF(AC65="No","",", Armored"))</f>
        <v>M-Drive: 1 Efficient, Small, Easy to Repair</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1 Efficient, Small, Easy to Repair,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1005</v>
      </c>
      <c r="U100" s="4">
        <f>SUM(F25:F28,F51:F54)</f>
        <v>3316500000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4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4 Easy to Repair</v>
      </c>
      <c r="AE105" t="str">
        <f>M37&amp;" "&amp;N37</f>
        <v xml:space="preserve">X3 </v>
      </c>
      <c r="AF105">
        <f>N37</f>
        <v>0</v>
      </c>
    </row>
    <row r="106" spans="19:32">
      <c r="AE106" t="str">
        <f>M44&amp;" "&amp;N44</f>
        <v xml:space="preserve">X4 </v>
      </c>
      <c r="AF106">
        <f>N44</f>
        <v>0</v>
      </c>
    </row>
    <row r="107" spans="19:32">
      <c r="S107" t="s">
        <v>1009</v>
      </c>
      <c r="T107">
        <f>'1-Hull'!B4</f>
        <v>10000</v>
      </c>
      <c r="U107">
        <f>IF(C9=S107,T107,T108)</f>
        <v>10000</v>
      </c>
    </row>
    <row r="108" spans="19:32">
      <c r="S108" t="s">
        <v>1010</v>
      </c>
      <c r="T108">
        <f>IF(P8=0,B4,P8)</f>
        <v>10000</v>
      </c>
      <c r="AE108" t="s">
        <v>52</v>
      </c>
    </row>
    <row r="109" spans="19:32">
      <c r="Z109" t="s">
        <v>992</v>
      </c>
      <c r="AE109" s="44" t="s">
        <v>829</v>
      </c>
      <c r="AF109" t="str">
        <f>""</f>
        <v/>
      </c>
    </row>
    <row r="110" spans="19:32">
      <c r="Z110" s="44" t="str">
        <f>VLOOKUP(B28,AE109:AF133,2)</f>
        <v/>
      </c>
      <c r="AA110" s="47"/>
      <c r="AE110" s="78" t="s">
        <v>830</v>
      </c>
      <c r="AF110" t="s">
        <v>955</v>
      </c>
    </row>
    <row r="111" spans="19:32">
      <c r="Z111" s="78" t="str">
        <f>VLOOKUP(B29,AE109:AF133,2)</f>
        <v>Easy to Repair</v>
      </c>
      <c r="AA111" s="46"/>
      <c r="AB111" t="s">
        <v>995</v>
      </c>
      <c r="AC111" t="str">
        <f>C26</f>
        <v>No</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
      </c>
      <c r="AA114" s="46" t="str">
        <f>IF(Z114="","",IF(AND(Z110=Z111,Z110=Z112)," x3",IF(OR(Z110=Z111,Z110=Z112)," x2","")))</f>
        <v/>
      </c>
      <c r="AE114" s="78" t="s">
        <v>835</v>
      </c>
      <c r="AF114" t="s">
        <v>972</v>
      </c>
    </row>
    <row r="115" spans="26:32">
      <c r="Z115" s="78" t="str">
        <f>IF(OR(Z114="",Z111="",Z111=Z110),"",", ")&amp;IF(OR(Z111=Z110,Z111=AE109),"",Z111)</f>
        <v>Easy to Repair</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48" priority="937">
      <formula>$C$9=$S$107</formula>
    </cfRule>
  </conditionalFormatting>
  <conditionalFormatting sqref="B11">
    <cfRule type="cellIs" dxfId="647" priority="16" operator="equal">
      <formula>$S$2</formula>
    </cfRule>
  </conditionalFormatting>
  <conditionalFormatting sqref="B19">
    <cfRule type="cellIs" dxfId="646" priority="15" operator="equal">
      <formula>$S$2</formula>
    </cfRule>
  </conditionalFormatting>
  <conditionalFormatting sqref="B21:B23 B15:B17 B28:B30 B35:B37 B47:B49 B54:B56">
    <cfRule type="cellIs" dxfId="645" priority="938" operator="notEqual">
      <formula>$S$24</formula>
    </cfRule>
  </conditionalFormatting>
  <conditionalFormatting sqref="B25 B51">
    <cfRule type="expression" dxfId="644" priority="944" stopIfTrue="1">
      <formula>$X$83=3</formula>
    </cfRule>
  </conditionalFormatting>
  <conditionalFormatting sqref="B25">
    <cfRule type="cellIs" dxfId="642" priority="966" operator="equal">
      <formula>$S$5</formula>
    </cfRule>
  </conditionalFormatting>
  <conditionalFormatting sqref="B33">
    <cfRule type="cellIs" dxfId="641" priority="968" operator="equal">
      <formula>$S$14</formula>
    </cfRule>
  </conditionalFormatting>
  <conditionalFormatting sqref="B40">
    <cfRule type="expression" dxfId="640" priority="1">
      <formula>$H$40&gt;0</formula>
    </cfRule>
  </conditionalFormatting>
  <conditionalFormatting sqref="B42">
    <cfRule type="cellIs" dxfId="639" priority="948" operator="equal">
      <formula>$S$69</formula>
    </cfRule>
  </conditionalFormatting>
  <conditionalFormatting sqref="B51">
    <cfRule type="cellIs" dxfId="637" priority="1196" operator="equal">
      <formula>$S$5</formula>
    </cfRule>
  </conditionalFormatting>
  <conditionalFormatting sqref="B19:E23">
    <cfRule type="expression" dxfId="636" priority="25">
      <formula>$E$19&gt;$E$2</formula>
    </cfRule>
  </conditionalFormatting>
  <conditionalFormatting sqref="C7">
    <cfRule type="expression" dxfId="635" priority="27">
      <formula>$C$7="Yes"</formula>
    </cfRule>
  </conditionalFormatting>
  <conditionalFormatting sqref="C8">
    <cfRule type="expression" dxfId="634" priority="26">
      <formula>$C$8="Yes"</formula>
    </cfRule>
  </conditionalFormatting>
  <conditionalFormatting sqref="C12:C14 C20 C26:C27 C34 C43:C46 C52:C53">
    <cfRule type="cellIs" dxfId="633" priority="21" operator="equal">
      <formula>"Yes"</formula>
    </cfRule>
  </conditionalFormatting>
  <conditionalFormatting sqref="D11">
    <cfRule type="expression" dxfId="632" priority="24">
      <formula>AND($B$11=$S$2,$D$11&gt;0)</formula>
    </cfRule>
  </conditionalFormatting>
  <conditionalFormatting sqref="D16:D17">
    <cfRule type="expression" dxfId="631" priority="57">
      <formula>$D$17&gt;3</formula>
    </cfRule>
  </conditionalFormatting>
  <conditionalFormatting sqref="D22:D23">
    <cfRule type="expression" dxfId="630" priority="51">
      <formula>$D$23&gt;3</formula>
    </cfRule>
  </conditionalFormatting>
  <conditionalFormatting sqref="D25">
    <cfRule type="expression" dxfId="629" priority="37">
      <formula>AND($B$25=$S$5,$D$25&gt;0)</formula>
    </cfRule>
    <cfRule type="expression" dxfId="628" priority="23">
      <formula>AND($B$25&lt;&gt;$S$5,$D$25=0)</formula>
    </cfRule>
  </conditionalFormatting>
  <conditionalFormatting sqref="D29:D30">
    <cfRule type="expression" dxfId="627" priority="35">
      <formula>$D$30&gt;3</formula>
    </cfRule>
  </conditionalFormatting>
  <conditionalFormatting sqref="D33">
    <cfRule type="expression" dxfId="626" priority="972">
      <formula>AND($B$33=$S$14,$D$33&gt;0)</formula>
    </cfRule>
  </conditionalFormatting>
  <conditionalFormatting sqref="D36:D37">
    <cfRule type="expression" dxfId="625" priority="31">
      <formula>$D$37&gt;3</formula>
    </cfRule>
  </conditionalFormatting>
  <conditionalFormatting sqref="D42">
    <cfRule type="expression" dxfId="624" priority="954">
      <formula>AND($B$42=$S$69,$D$42&gt;0)</formula>
    </cfRule>
  </conditionalFormatting>
  <conditionalFormatting sqref="D48:D49">
    <cfRule type="expression" dxfId="623" priority="32">
      <formula>$D$49&gt;3</formula>
    </cfRule>
  </conditionalFormatting>
  <conditionalFormatting sqref="D51">
    <cfRule type="expression" dxfId="622" priority="18">
      <formula>AND($B$51=$S$5,$D$51&gt;0)</formula>
    </cfRule>
  </conditionalFormatting>
  <conditionalFormatting sqref="D55:D56">
    <cfRule type="expression" dxfId="621" priority="30">
      <formula>$D$56&gt;3</formula>
    </cfRule>
  </conditionalFormatting>
  <conditionalFormatting sqref="E2">
    <cfRule type="expression" dxfId="620" priority="956">
      <formula>$T$74&gt;0</formula>
    </cfRule>
  </conditionalFormatting>
  <conditionalFormatting sqref="E11">
    <cfRule type="expression" dxfId="619" priority="355">
      <formula>$E$11&gt;$E$2</formula>
    </cfRule>
  </conditionalFormatting>
  <conditionalFormatting sqref="E25">
    <cfRule type="expression" dxfId="618" priority="69">
      <formula>$E$25&gt;$E$2</formula>
    </cfRule>
  </conditionalFormatting>
  <conditionalFormatting sqref="E28">
    <cfRule type="expression" dxfId="617" priority="393">
      <formula>AND($B$28=#REF!,OR($B$29=#REF!,$B$30=#REF!))</formula>
    </cfRule>
    <cfRule type="expression" dxfId="616" priority="395">
      <formula>$E$28&gt;$E$2</formula>
    </cfRule>
    <cfRule type="expression" dxfId="615" priority="394">
      <formula>AND($B$25=$S$7,$B$28=#REF!)</formula>
    </cfRule>
  </conditionalFormatting>
  <conditionalFormatting sqref="E29">
    <cfRule type="expression" dxfId="614" priority="396">
      <formula>AND($B$29=#REF!,OR($B$28=#REF!,$B$30=#REF!))</formula>
    </cfRule>
    <cfRule type="expression" dxfId="613" priority="397">
      <formula>AND($B$25=$S$7,$B$29=#REF!)</formula>
    </cfRule>
  </conditionalFormatting>
  <conditionalFormatting sqref="E30">
    <cfRule type="expression" dxfId="612" priority="398">
      <formula>AND($B$30=#REF!,OR($B$28=#REF!,$B$29=#REF!))</formula>
    </cfRule>
    <cfRule type="expression" dxfId="611" priority="399">
      <formula>AND($B$25=$S$7,$B$30=#REF!)</formula>
    </cfRule>
  </conditionalFormatting>
  <conditionalFormatting sqref="E42">
    <cfRule type="expression" dxfId="610" priority="28">
      <formula>$E$42&gt;$E$2</formula>
    </cfRule>
  </conditionalFormatting>
  <conditionalFormatting sqref="E51">
    <cfRule type="expression" dxfId="609" priority="60">
      <formula>$E$51&gt;$E$2</formula>
    </cfRule>
  </conditionalFormatting>
  <conditionalFormatting sqref="G9:I9">
    <cfRule type="expression" dxfId="607" priority="964">
      <formula>$T$73</formula>
    </cfRule>
  </conditionalFormatting>
  <conditionalFormatting sqref="H6">
    <cfRule type="expression" dxfId="606" priority="74">
      <formula>$H$6&lt;0</formula>
    </cfRule>
  </conditionalFormatting>
  <conditionalFormatting sqref="K6">
    <cfRule type="expression" dxfId="605" priority="73">
      <formula>$K$6&lt;0</formula>
    </cfRule>
  </conditionalFormatting>
  <conditionalFormatting sqref="N23:R23 M26:R26 R27 N30:R30 M33:R33 R34 N37:R37 M40:R40 R41 N44:R44 M47:R47 R48">
    <cfRule type="cellIs" dxfId="604" priority="17" operator="greaterThan">
      <formula>0</formula>
    </cfRule>
  </conditionalFormatting>
  <conditionalFormatting sqref="P8:Q8">
    <cfRule type="expression" dxfId="603" priority="965">
      <formula>$C$9=$S$108</formula>
    </cfRule>
  </conditionalFormatting>
  <conditionalFormatting sqref="R26">
    <cfRule type="expression" dxfId="602" priority="50">
      <formula>$N$26&lt;&gt;0</formula>
    </cfRule>
  </conditionalFormatting>
  <conditionalFormatting sqref="R33">
    <cfRule type="expression" dxfId="601" priority="49">
      <formula>$N$33&lt;&gt;0</formula>
    </cfRule>
  </conditionalFormatting>
  <conditionalFormatting sqref="R40">
    <cfRule type="expression" dxfId="600" priority="48">
      <formula>$N$40&lt;&gt;0</formula>
    </cfRule>
  </conditionalFormatting>
  <conditionalFormatting sqref="R47 T55:W55">
    <cfRule type="expression" dxfId="599" priority="47">
      <formula>$N$47&lt;&gt;0</formula>
    </cfRule>
  </conditionalFormatting>
  <conditionalFormatting sqref="BC14:BT14">
    <cfRule type="expression" dxfId="598" priority="5">
      <formula>$D$25=0</formula>
    </cfRule>
  </conditionalFormatting>
  <conditionalFormatting sqref="BC20:BT20">
    <cfRule type="expression" dxfId="597" priority="1379">
      <formula>$D$51=0</formula>
    </cfRule>
  </conditionalFormatting>
  <conditionalFormatting sqref="BC10:BX10">
    <cfRule type="expression" dxfId="596" priority="7">
      <formula>$D$11=0</formula>
    </cfRule>
  </conditionalFormatting>
  <conditionalFormatting sqref="BC18:BX18">
    <cfRule type="expression" dxfId="595" priority="3">
      <formula>$D$42=0</formula>
    </cfRule>
  </conditionalFormatting>
  <conditionalFormatting sqref="BC12:CH12">
    <cfRule type="expression" dxfId="594" priority="6">
      <formula>$D$19=0</formula>
    </cfRule>
  </conditionalFormatting>
  <conditionalFormatting sqref="BC16:CH16">
    <cfRule type="expression" dxfId="593"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C16" sqref="C1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f>'Ship Info'!B1</f>
        <v>0</v>
      </c>
      <c r="D1" s="2"/>
      <c r="E1" s="2"/>
      <c r="F1" s="8" t="s">
        <v>1</v>
      </c>
      <c r="S1" s="3" t="s">
        <v>65</v>
      </c>
      <c r="T1" s="3" t="s">
        <v>2</v>
      </c>
      <c r="U1" s="3" t="s">
        <v>1</v>
      </c>
      <c r="V1" s="3" t="s">
        <v>26</v>
      </c>
      <c r="W1" s="3" t="s">
        <v>66</v>
      </c>
      <c r="X1" s="3" t="s">
        <v>67</v>
      </c>
    </row>
    <row r="2" spans="1:27">
      <c r="A2" s="3" t="s">
        <v>432</v>
      </c>
      <c r="B2" t="str">
        <f>'Ship Info'!B2</f>
        <v>Expeditionary Base Ship</v>
      </c>
      <c r="D2" t="s">
        <v>0</v>
      </c>
      <c r="E2" s="2">
        <f>Tech_Level</f>
        <v>14</v>
      </c>
      <c r="F2" s="4">
        <f>'Ship Info'!G2</f>
        <v>9839492100.0000038</v>
      </c>
      <c r="S2" t="s">
        <v>68</v>
      </c>
      <c r="T2">
        <f>D11/W2</f>
        <v>75</v>
      </c>
      <c r="U2">
        <f>10000000*(T2)</f>
        <v>750000000</v>
      </c>
      <c r="V2">
        <v>20</v>
      </c>
      <c r="W2">
        <v>100</v>
      </c>
      <c r="X2">
        <f>IF(T2=0,0,IF(T2&lt;10,IF(AND(B4&lt;100,'4-Fuel'!C5=S14),0.1*(T2+H12),1),0.1*(T2+H12)))</f>
        <v>2.5</v>
      </c>
    </row>
    <row r="3" spans="1:27">
      <c r="B3" s="24" t="str">
        <f>'1-Hull'!B3</f>
        <v>High Automation - Costs x 2</v>
      </c>
      <c r="D3" s="2"/>
      <c r="E3" s="2"/>
      <c r="G3" s="28"/>
      <c r="H3" s="506">
        <f>S38</f>
        <v>450</v>
      </c>
      <c r="I3" s="78"/>
      <c r="S3" t="s">
        <v>69</v>
      </c>
      <c r="T3">
        <f>D11/W3</f>
        <v>1500</v>
      </c>
      <c r="U3">
        <f>(T3)*0.25*1000000</f>
        <v>375000000</v>
      </c>
      <c r="V3">
        <v>7</v>
      </c>
      <c r="W3">
        <v>5</v>
      </c>
      <c r="X3">
        <f>20*(T3+H12)</f>
        <v>29000</v>
      </c>
      <c r="Z3" t="s">
        <v>968</v>
      </c>
    </row>
    <row r="4" spans="1:27">
      <c r="A4" t="s">
        <v>2</v>
      </c>
      <c r="B4" s="263">
        <f>'1-Hull'!B4</f>
        <v>10000</v>
      </c>
      <c r="D4" s="2"/>
      <c r="E4" s="2"/>
      <c r="F4" s="508" t="s">
        <v>45</v>
      </c>
      <c r="H4" s="787" t="s">
        <v>46</v>
      </c>
      <c r="I4" s="787"/>
      <c r="K4" s="787" t="s">
        <v>47</v>
      </c>
      <c r="L4" s="787"/>
      <c r="S4" t="s">
        <v>70</v>
      </c>
      <c r="T4">
        <f>D11/W4</f>
        <v>937.5</v>
      </c>
      <c r="U4">
        <f>(T4)*400000</f>
        <v>375000000</v>
      </c>
      <c r="V4">
        <v>6</v>
      </c>
      <c r="W4">
        <v>8</v>
      </c>
      <c r="X4">
        <f>IF(T4=0,0,IF((T4+$H$12)&lt;10,IF(AND($B$4&lt;100,'4-Fuel'!C5=$S$14),0.1*(T4+$H$12),1),0.1*(T4+$H$12)))</f>
        <v>88.75</v>
      </c>
      <c r="Z4" s="44" t="str">
        <f>VLOOKUP(B12,S16:Z29,8)</f>
        <v>Small</v>
      </c>
      <c r="AA4" s="47"/>
    </row>
    <row r="5" spans="1:27">
      <c r="F5" s="505">
        <f>SUM(F11:F22)</f>
        <v>1250000000</v>
      </c>
      <c r="H5" s="1" t="s">
        <v>403</v>
      </c>
      <c r="I5" s="1" t="s">
        <v>27</v>
      </c>
      <c r="K5" s="1" t="s">
        <v>403</v>
      </c>
      <c r="L5" s="1" t="s">
        <v>27</v>
      </c>
      <c r="S5" t="s">
        <v>71</v>
      </c>
      <c r="T5">
        <f>D11/W5</f>
        <v>750</v>
      </c>
      <c r="U5">
        <f>(T5)*500000</f>
        <v>375000000</v>
      </c>
      <c r="V5">
        <v>8</v>
      </c>
      <c r="W5">
        <v>10</v>
      </c>
      <c r="X5">
        <f>IF(T5=0,0,IF((T5+$H$12)&lt;10,IF(AND($B$4&lt;100,'4-Fuel'!C5=$S$14),0.1*(T5+$H$12),1),0.1*(T5+$H$12)))</f>
        <v>70</v>
      </c>
      <c r="Z5" s="78" t="str">
        <f>VLOOKUP(B13,S16:Z29,8)</f>
        <v>Easy to repair</v>
      </c>
      <c r="AA5" s="46"/>
    </row>
    <row r="6" spans="1:27">
      <c r="H6" s="10">
        <f>'Ship Info'!I3</f>
        <v>42.25</v>
      </c>
      <c r="I6" s="270">
        <f>'1-Hull'!I6</f>
        <v>10000</v>
      </c>
      <c r="K6" s="270">
        <f>'Ship Info'!L3</f>
        <v>-23</v>
      </c>
      <c r="L6" s="270">
        <f>SUM(D11,L12)</f>
        <v>7500</v>
      </c>
      <c r="S6" t="s">
        <v>72</v>
      </c>
      <c r="T6">
        <f>D11/W6</f>
        <v>500</v>
      </c>
      <c r="U6">
        <f>(T6)*1000000</f>
        <v>500000000</v>
      </c>
      <c r="V6">
        <v>12</v>
      </c>
      <c r="W6">
        <v>15</v>
      </c>
      <c r="X6">
        <f>IF(T6=0,0,IF((T6+$H$12)&lt;10,IF(AND($B$4&lt;100,'4-Fuel'!C5=$S$14),0.1*(T6+$H$12),1),0.1*(T6+$H$12)))</f>
        <v>45</v>
      </c>
      <c r="Z6" s="78" t="str">
        <f>VLOOKUP(B14,S16:Z29,8)</f>
        <v/>
      </c>
      <c r="AA6" s="46"/>
    </row>
    <row r="7" spans="1:27">
      <c r="B7" s="3"/>
      <c r="C7" s="2"/>
      <c r="H7" s="1" t="s">
        <v>48</v>
      </c>
      <c r="I7" s="2"/>
      <c r="K7" s="2"/>
      <c r="L7" s="2"/>
      <c r="S7" t="s">
        <v>73</v>
      </c>
      <c r="T7">
        <f>D11/W7</f>
        <v>375</v>
      </c>
      <c r="U7">
        <f>(T7)*2000000</f>
        <v>750000000</v>
      </c>
      <c r="V7">
        <v>15</v>
      </c>
      <c r="W7">
        <v>20</v>
      </c>
      <c r="X7">
        <f>IF(T7=0,0,IF((T7+$H$12)&lt;10,IF(AND($B$4&lt;100,'4-Fuel'!C5=$S$14),0.1*(T7+$H$12),1),0.1*(T7+$H$12)))</f>
        <v>32.5</v>
      </c>
      <c r="Z7" s="78"/>
      <c r="AA7" s="46"/>
    </row>
    <row r="8" spans="1:27">
      <c r="H8" s="2"/>
      <c r="I8" s="2"/>
      <c r="K8" s="2"/>
      <c r="L8" s="2"/>
      <c r="N8" s="3" t="s">
        <v>945</v>
      </c>
      <c r="Z8" s="78" t="str">
        <f>IF(Z4=Z16,"",Z4)</f>
        <v>Small</v>
      </c>
      <c r="AA8" s="46" t="str">
        <f>IF(Z8="","",IF(AND(Z4=Z5,Z4=Z6)," x3",IF(OR(Z4=Z5,Z4=Z6)," x2","")))</f>
        <v/>
      </c>
    </row>
    <row r="9" spans="1:27">
      <c r="A9" s="5" t="s">
        <v>49</v>
      </c>
      <c r="E9" s="5" t="s">
        <v>26</v>
      </c>
      <c r="N9" s="108" t="s">
        <v>930</v>
      </c>
      <c r="O9" s="327">
        <f>'1-Hull'!K10</f>
        <v>2000</v>
      </c>
      <c r="S9">
        <f>VLOOKUP(B11,S2:V7,4)</f>
        <v>12</v>
      </c>
      <c r="Z9" s="78" t="str">
        <f>IF(OR(Z8="",Z5="",Z5=Z4),"",", ")&amp;IF(OR(Z5=Z4,Z5=Z16),"",Z5)</f>
        <v>, Easy to repair</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7500</v>
      </c>
      <c r="E11">
        <f>VLOOKUP(B11,S2:V7,4)+SUM(E12:E14)</f>
        <v>14</v>
      </c>
      <c r="F11" s="4">
        <f>VLOOKUP(B11,S2:U7,3)*'Ship Info'!G31</f>
        <v>1000000000</v>
      </c>
      <c r="H11" s="4">
        <f>VLOOKUP(B11,S2:T7,2)</f>
        <v>500</v>
      </c>
      <c r="L11" s="2"/>
      <c r="N11" s="108" t="s">
        <v>931</v>
      </c>
      <c r="O11" s="327">
        <f>'2-Drives'!K11+'2-Drives'!K15</f>
        <v>750</v>
      </c>
      <c r="S11" t="s">
        <v>105</v>
      </c>
      <c r="T11">
        <v>100000</v>
      </c>
      <c r="U11">
        <v>40</v>
      </c>
      <c r="V11">
        <v>10</v>
      </c>
    </row>
    <row r="12" spans="1:27" ht="16" thickBot="1">
      <c r="A12" s="7" t="s">
        <v>123</v>
      </c>
      <c r="B12" s="252" t="s">
        <v>2424</v>
      </c>
      <c r="C12" s="2"/>
      <c r="D12" t="str">
        <f>IF(T45,"Error: Module","")</f>
        <v/>
      </c>
      <c r="E12">
        <f>VLOOKUP(B12,S16:V29,4)</f>
        <v>1</v>
      </c>
      <c r="F12" s="4">
        <f>U33</f>
        <v>250000000</v>
      </c>
      <c r="H12" s="4">
        <f>VLOOKUP(B12,S16:W29,2)+VLOOKUP(B13,S16:W29,2)+VLOOKUP(B14,S16:W29,2)</f>
        <v>-50</v>
      </c>
      <c r="L12" s="270">
        <f>VLOOKUP(B12,S16:Y29,5)+VLOOKUP(B13,S16:Y29,5)+VLOOKUP(B14,S16:Y29,5)</f>
        <v>0</v>
      </c>
      <c r="N12" s="105" t="s">
        <v>932</v>
      </c>
      <c r="O12" s="328">
        <f>'2-Drives'!K25+'2-Drives'!K28</f>
        <v>4000</v>
      </c>
      <c r="S12" t="s">
        <v>106</v>
      </c>
      <c r="T12">
        <v>200000</v>
      </c>
      <c r="U12">
        <v>60</v>
      </c>
      <c r="V12">
        <v>12</v>
      </c>
      <c r="Z12" t="str">
        <f>Z8&amp;AA8&amp;Z9&amp;AA9&amp;Z10</f>
        <v>Small, Easy to repair</v>
      </c>
    </row>
    <row r="13" spans="1:27" ht="16" thickBot="1">
      <c r="B13" s="252" t="s">
        <v>2425</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200</v>
      </c>
    </row>
    <row r="16" spans="1:27" ht="16" thickBot="1">
      <c r="B16" s="7" t="s">
        <v>98</v>
      </c>
      <c r="C16" s="253" t="s">
        <v>99</v>
      </c>
      <c r="F16" s="4" t="str">
        <f>IF(C16=S14,200000*H16*'Ship Info'!G31,"")</f>
        <v/>
      </c>
      <c r="H16" t="str">
        <f>IF(C16=S14,0.1*(H11+H12+H18+H20),"")</f>
        <v/>
      </c>
      <c r="L16" s="2"/>
      <c r="N16" s="105" t="s">
        <v>609</v>
      </c>
      <c r="O16" s="331">
        <f>'7-Sensors'!S17</f>
        <v>257</v>
      </c>
      <c r="S16" t="s">
        <v>829</v>
      </c>
      <c r="T16">
        <v>0</v>
      </c>
      <c r="U16">
        <v>0</v>
      </c>
      <c r="V16">
        <v>0</v>
      </c>
      <c r="W16">
        <v>0</v>
      </c>
      <c r="Y16">
        <v>0</v>
      </c>
      <c r="Z16" t="str">
        <f>""</f>
        <v/>
      </c>
    </row>
    <row r="17" spans="1:26" ht="16" thickBot="1">
      <c r="C17" s="2"/>
      <c r="D17" s="1" t="s">
        <v>108</v>
      </c>
      <c r="L17" s="2"/>
      <c r="N17" s="108" t="s">
        <v>935</v>
      </c>
      <c r="O17" s="327">
        <f>'8a-Weapons'!Q9</f>
        <v>160</v>
      </c>
      <c r="S17" t="s">
        <v>830</v>
      </c>
      <c r="T17">
        <f>0.25*H11</f>
        <v>125</v>
      </c>
      <c r="U17">
        <f>-0.25*F11</f>
        <v>-250000000</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125</v>
      </c>
      <c r="S18" t="s">
        <v>903</v>
      </c>
      <c r="T18">
        <v>0</v>
      </c>
      <c r="U18">
        <f>-0.25*F11</f>
        <v>-250000000</v>
      </c>
      <c r="V18">
        <v>0</v>
      </c>
      <c r="W18">
        <f>-0.25*D11</f>
        <v>-1875</v>
      </c>
      <c r="Y18">
        <v>3</v>
      </c>
      <c r="Z18" t="s">
        <v>956</v>
      </c>
    </row>
    <row r="19" spans="1:26" ht="16" thickBot="1">
      <c r="C19" s="2"/>
      <c r="D19" s="1" t="s">
        <v>1709</v>
      </c>
      <c r="H19" s="4"/>
      <c r="L19" s="270"/>
      <c r="N19" s="108" t="s">
        <v>637</v>
      </c>
      <c r="O19" s="330">
        <f>SUM('9b-Optional'!K9:K33,'9a-Optional'!K10:K66)</f>
        <v>12</v>
      </c>
      <c r="S19" t="s">
        <v>833</v>
      </c>
      <c r="T19">
        <v>0</v>
      </c>
      <c r="U19">
        <f>-0.1*F11</f>
        <v>-100000000</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-150000000</v>
      </c>
      <c r="V20">
        <v>2</v>
      </c>
      <c r="W20">
        <v>0</v>
      </c>
      <c r="Y20">
        <v>3</v>
      </c>
      <c r="Z20" t="s">
        <v>958</v>
      </c>
    </row>
    <row r="21" spans="1:26" ht="16" thickBot="1">
      <c r="D21" s="1" t="s">
        <v>1657</v>
      </c>
      <c r="L21" s="263"/>
      <c r="N21" s="108" t="s">
        <v>610</v>
      </c>
      <c r="O21" s="330">
        <f>SUM('12-Cargo'!K9:K50)</f>
        <v>11</v>
      </c>
      <c r="S21" t="s">
        <v>835</v>
      </c>
      <c r="T21">
        <v>0</v>
      </c>
      <c r="U21">
        <f>-0.2*F11</f>
        <v>-200000000</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-50</v>
      </c>
      <c r="U22">
        <v>0</v>
      </c>
      <c r="V22">
        <v>1</v>
      </c>
      <c r="W22">
        <v>0</v>
      </c>
      <c r="Y22">
        <v>1</v>
      </c>
      <c r="Z22" t="s">
        <v>961</v>
      </c>
    </row>
    <row r="23" spans="1:26">
      <c r="N23" s="105" t="s">
        <v>943</v>
      </c>
      <c r="O23" s="332">
        <f>SUM(O9:O10,O11,O13,MAX(O12,O14),O15:O22)</f>
        <v>7515</v>
      </c>
      <c r="S23" t="s">
        <v>2425</v>
      </c>
      <c r="T23">
        <v>0</v>
      </c>
      <c r="U23">
        <v>0</v>
      </c>
      <c r="V23">
        <v>1</v>
      </c>
      <c r="W23">
        <v>0</v>
      </c>
      <c r="Y23">
        <v>1</v>
      </c>
      <c r="Z23" t="s">
        <v>962</v>
      </c>
    </row>
    <row r="24" spans="1:26">
      <c r="S24" t="s">
        <v>2423</v>
      </c>
      <c r="T24">
        <v>0</v>
      </c>
      <c r="U24">
        <v>0</v>
      </c>
      <c r="V24">
        <v>2</v>
      </c>
      <c r="W24">
        <f>0.1*D11</f>
        <v>750</v>
      </c>
      <c r="Y24">
        <v>2</v>
      </c>
      <c r="Z24" t="s">
        <v>2426</v>
      </c>
    </row>
    <row r="25" spans="1:26">
      <c r="B25" t="s">
        <v>940</v>
      </c>
      <c r="N25" s="840" t="s">
        <v>946</v>
      </c>
      <c r="O25" s="841"/>
      <c r="S25" t="s">
        <v>840</v>
      </c>
      <c r="T25">
        <f>0.25*H11</f>
        <v>125</v>
      </c>
      <c r="U25">
        <f>5*F11</f>
        <v>5000000000</v>
      </c>
      <c r="V25">
        <v>-1</v>
      </c>
      <c r="W25">
        <v>0</v>
      </c>
      <c r="Y25">
        <v>3</v>
      </c>
      <c r="Z25" t="s">
        <v>963</v>
      </c>
    </row>
    <row r="26" spans="1:26">
      <c r="B26" t="s">
        <v>939</v>
      </c>
      <c r="N26" s="114" t="s">
        <v>944</v>
      </c>
      <c r="O26" s="331">
        <f>SUM(O9/2,O11,IF(P13="Yes",O13,0),O16:O18)</f>
        <v>2292</v>
      </c>
      <c r="S26" t="s">
        <v>847</v>
      </c>
      <c r="T26">
        <v>0</v>
      </c>
      <c r="U26">
        <f>5*F11</f>
        <v>5000000000</v>
      </c>
      <c r="V26">
        <v>-1</v>
      </c>
      <c r="W26">
        <f>-0.25*D11</f>
        <v>-1875</v>
      </c>
      <c r="Y26">
        <v>3</v>
      </c>
      <c r="Z26" t="s">
        <v>964</v>
      </c>
    </row>
    <row r="27" spans="1:26">
      <c r="B27" t="s">
        <v>941</v>
      </c>
      <c r="M27" t="s">
        <v>947</v>
      </c>
      <c r="N27" s="110" t="str">
        <f>"+10%"</f>
        <v>+10%</v>
      </c>
      <c r="O27" s="330">
        <f>ROUNDUP(O26/0.9,0)</f>
        <v>2547</v>
      </c>
      <c r="S27" t="s">
        <v>850</v>
      </c>
      <c r="T27">
        <f>1.5*H11</f>
        <v>750</v>
      </c>
      <c r="U27">
        <f>10*F11</f>
        <v>10000000000</v>
      </c>
      <c r="V27">
        <v>-2</v>
      </c>
      <c r="W27">
        <v>0</v>
      </c>
      <c r="Y27">
        <v>3</v>
      </c>
      <c r="Z27" t="s">
        <v>965</v>
      </c>
    </row>
    <row r="28" spans="1:26">
      <c r="M28" t="s">
        <v>948</v>
      </c>
      <c r="N28" s="109" t="str">
        <f>"+20%"</f>
        <v>+20%</v>
      </c>
      <c r="O28" s="328">
        <f>ROUNDUP(O26/0.8,0)</f>
        <v>2865</v>
      </c>
      <c r="S28" t="s">
        <v>904</v>
      </c>
      <c r="T28">
        <f>1*H11</f>
        <v>500</v>
      </c>
      <c r="U28">
        <f>10*F11</f>
        <v>10000000000</v>
      </c>
      <c r="V28">
        <v>-2</v>
      </c>
      <c r="W28">
        <f>-0.5*D11</f>
        <v>-3750</v>
      </c>
      <c r="Y28">
        <v>3</v>
      </c>
      <c r="Z28" t="s">
        <v>966</v>
      </c>
    </row>
    <row r="29" spans="1:26">
      <c r="B29" t="s">
        <v>942</v>
      </c>
      <c r="M29" t="s">
        <v>949</v>
      </c>
      <c r="N29" s="110" t="str">
        <f>"+70%"</f>
        <v>+70%</v>
      </c>
      <c r="O29" s="330">
        <f>ROUNDUP(O26/0.3,0)</f>
        <v>7640</v>
      </c>
      <c r="S29" t="s">
        <v>852</v>
      </c>
      <c r="T29">
        <f>1.25*H11</f>
        <v>625</v>
      </c>
      <c r="U29">
        <f>10*F11</f>
        <v>10000000000</v>
      </c>
      <c r="V29">
        <v>-3</v>
      </c>
      <c r="W29">
        <f>-0.25*D11</f>
        <v>-1875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7500, Small, Easy to repair</v>
      </c>
    </row>
    <row r="32" spans="1:26">
      <c r="B32" t="s">
        <v>951</v>
      </c>
    </row>
    <row r="33" spans="19:24">
      <c r="T33" t="s">
        <v>123</v>
      </c>
      <c r="U33">
        <f>IF(SUM(U34:U36)=0,VLOOKUP(SUM(E12:E14),V40:X43,3)*F11,SUM(U34:U36))</f>
        <v>250000000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450</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2" priority="6" stopIfTrue="1">
      <formula>AND($C$20="Yes",$S$54=0)</formula>
    </cfRule>
  </conditionalFormatting>
  <conditionalFormatting sqref="B11">
    <cfRule type="expression" dxfId="591" priority="139">
      <formula>$S$9&gt;$E$2</formula>
    </cfRule>
  </conditionalFormatting>
  <conditionalFormatting sqref="B12:B14">
    <cfRule type="cellIs" priority="20" operator="equal">
      <formula>$S$16</formula>
    </cfRule>
    <cfRule type="cellIs" dxfId="590" priority="17" operator="equal">
      <formula>$S$16</formula>
    </cfRule>
  </conditionalFormatting>
  <conditionalFormatting sqref="C7">
    <cfRule type="cellIs" dxfId="589" priority="1" operator="equal">
      <formula>$S$10</formula>
    </cfRule>
  </conditionalFormatting>
  <conditionalFormatting sqref="C15:C16">
    <cfRule type="cellIs" dxfId="588" priority="15" operator="equal">
      <formula>$S$10</formula>
    </cfRule>
  </conditionalFormatting>
  <conditionalFormatting sqref="C18">
    <cfRule type="cellIs" dxfId="587" priority="14" operator="equal">
      <formula>$S$10</formula>
    </cfRule>
  </conditionalFormatting>
  <conditionalFormatting sqref="C20">
    <cfRule type="cellIs" dxfId="586" priority="11" operator="equal">
      <formula>$S$10</formula>
    </cfRule>
  </conditionalFormatting>
  <conditionalFormatting sqref="C22:D22">
    <cfRule type="expression" dxfId="585" priority="4">
      <formula>$H$22=0</formula>
    </cfRule>
    <cfRule type="expression" dxfId="584" priority="2">
      <formula>AND($C$22&lt;&gt;$S$48,$D$22=0)</formula>
    </cfRule>
  </conditionalFormatting>
  <conditionalFormatting sqref="D11">
    <cfRule type="expression" dxfId="583" priority="10">
      <formula>$T$45</formula>
    </cfRule>
    <cfRule type="expression" dxfId="582" priority="25">
      <formula>$D$11=0</formula>
    </cfRule>
  </conditionalFormatting>
  <conditionalFormatting sqref="D13:D14">
    <cfRule type="expression" dxfId="581" priority="24">
      <formula>$D$14&gt;3</formula>
    </cfRule>
  </conditionalFormatting>
  <conditionalFormatting sqref="D18">
    <cfRule type="expression" dxfId="580" priority="12" stopIfTrue="1">
      <formula>AND($C$18=$S$10,$D$18&gt;0)</formula>
    </cfRule>
    <cfRule type="expression" dxfId="579" priority="13" stopIfTrue="1">
      <formula>AND($C$18&lt;&gt;$S$10,$D$18=0)</formula>
    </cfRule>
    <cfRule type="cellIs" dxfId="578" priority="31" operator="equal">
      <formula>0</formula>
    </cfRule>
  </conditionalFormatting>
  <conditionalFormatting sqref="D20">
    <cfRule type="expression" dxfId="577" priority="5" stopIfTrue="1">
      <formula>AND($C$20=$S$14,$D$20=0)</formula>
    </cfRule>
    <cfRule type="expression" dxfId="576" priority="9">
      <formula>AND($C$20=$S$13,$D$20&gt;0)</formula>
    </cfRule>
    <cfRule type="cellIs" dxfId="575" priority="23" operator="equal">
      <formula>0</formula>
    </cfRule>
  </conditionalFormatting>
  <conditionalFormatting sqref="D22">
    <cfRule type="expression" dxfId="574" priority="3">
      <formula>AND($H$22=0,$D$22&gt;0)</formula>
    </cfRule>
  </conditionalFormatting>
  <conditionalFormatting sqref="E11">
    <cfRule type="expression" dxfId="573" priority="27">
      <formula>$E$11&gt;$E$2</formula>
    </cfRule>
  </conditionalFormatting>
  <conditionalFormatting sqref="E12">
    <cfRule type="expression" dxfId="572" priority="140">
      <formula>$E$12&gt;$E$2</formula>
    </cfRule>
  </conditionalFormatting>
  <conditionalFormatting sqref="E18">
    <cfRule type="expression" dxfId="571" priority="26">
      <formula>$E$18&gt;$E$2</formula>
    </cfRule>
  </conditionalFormatting>
  <conditionalFormatting sqref="E20">
    <cfRule type="expression" dxfId="570" priority="22">
      <formula>$E$20&gt;$E$2</formula>
    </cfRule>
  </conditionalFormatting>
  <conditionalFormatting sqref="H6">
    <cfRule type="expression" dxfId="569" priority="29">
      <formula>$H$6&lt;0</formula>
    </cfRule>
  </conditionalFormatting>
  <conditionalFormatting sqref="K6 N23:O23">
    <cfRule type="expression" dxfId="568" priority="28">
      <formula>$K$6&lt;0</formula>
    </cfRule>
  </conditionalFormatting>
  <conditionalFormatting sqref="L6 N26:O26">
    <cfRule type="expression" dxfId="567"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6" sqref="C1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f>'Ship Info'!B1</f>
        <v>0</v>
      </c>
      <c r="F1" s="1" t="s">
        <v>1</v>
      </c>
      <c r="S1" s="3" t="s">
        <v>111</v>
      </c>
      <c r="U1" s="121" t="s">
        <v>1014</v>
      </c>
    </row>
    <row r="2" spans="1:22">
      <c r="A2" s="3" t="s">
        <v>432</v>
      </c>
      <c r="B2" t="str">
        <f>'Ship Info'!B2</f>
        <v>Expeditionary Base Ship</v>
      </c>
      <c r="D2" s="3" t="s">
        <v>0</v>
      </c>
      <c r="E2" s="2">
        <f>Tech_Level</f>
        <v>14</v>
      </c>
      <c r="F2" s="10">
        <f>'Ship Info'!G2</f>
        <v>9839492100.0000038</v>
      </c>
      <c r="S2" t="s">
        <v>112</v>
      </c>
      <c r="U2" s="122">
        <f>IF('3-Pwr Plant'!B11='3-Pwr Plant'!S3,1,0)</f>
        <v>0</v>
      </c>
    </row>
    <row r="3" spans="1:22">
      <c r="F3" s="10"/>
      <c r="G3" s="28"/>
      <c r="H3" s="506">
        <f>S20</f>
        <v>4290</v>
      </c>
      <c r="I3" s="28"/>
      <c r="J3" s="28"/>
      <c r="K3" s="507">
        <f>S23</f>
        <v>200</v>
      </c>
      <c r="S3" t="s">
        <v>113</v>
      </c>
    </row>
    <row r="4" spans="1:22" ht="16" thickBot="1">
      <c r="F4" s="508" t="s">
        <v>45</v>
      </c>
      <c r="H4" s="787" t="s">
        <v>46</v>
      </c>
      <c r="I4" s="787"/>
      <c r="K4" s="787" t="s">
        <v>47</v>
      </c>
      <c r="L4" s="787"/>
      <c r="S4" t="s">
        <v>114</v>
      </c>
      <c r="U4" t="str">
        <f>B13</f>
        <v>Included Free w/ Streamlining</v>
      </c>
    </row>
    <row r="5" spans="1:22" ht="16" thickBot="1">
      <c r="B5" s="3" t="s">
        <v>2321</v>
      </c>
      <c r="C5" s="253" t="s">
        <v>100</v>
      </c>
      <c r="F5" s="506">
        <f>SUM(F7:F39)</f>
        <v>10000000</v>
      </c>
      <c r="H5" s="1" t="s">
        <v>403</v>
      </c>
      <c r="I5" s="1" t="s">
        <v>27</v>
      </c>
      <c r="K5" s="1" t="s">
        <v>403</v>
      </c>
      <c r="L5" s="1" t="s">
        <v>27</v>
      </c>
      <c r="S5" s="3" t="s">
        <v>21</v>
      </c>
    </row>
    <row r="6" spans="1:22" ht="16" thickBot="1">
      <c r="F6" s="10"/>
      <c r="H6" s="26">
        <f>'Ship Info'!I3</f>
        <v>42.25</v>
      </c>
      <c r="I6" s="270">
        <f>'1-Hull'!I6</f>
        <v>10000</v>
      </c>
      <c r="K6" s="270">
        <f>'Ship Info'!L3</f>
        <v>-23</v>
      </c>
      <c r="L6" s="270">
        <f>'3-Pwr Plant'!L6</f>
        <v>7500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4</v>
      </c>
      <c r="D9" s="2"/>
      <c r="F9" s="10"/>
      <c r="H9" s="333">
        <f>IF(LEFT('2-Drives'!B25,10)="Jump Drive",'2-Drives'!U107*0.1*B9,0)*'2-Drives'!AC57</f>
        <v>4000</v>
      </c>
      <c r="J9" s="2"/>
      <c r="L9" s="2"/>
      <c r="M9" s="2"/>
      <c r="S9" t="str">
        <f>'2-Drives'!B25</f>
        <v>Jump Drive</v>
      </c>
      <c r="T9" t="str">
        <f>IF(RIGHT(S9,3)="op)","Hops",IF(RIGHT(S9,3)="ip)","Skips","Jumps"))</f>
        <v>Jumps</v>
      </c>
      <c r="U9">
        <f>IF(T9="Skips",100,IF(T9="Hops",10,1))</f>
        <v>1</v>
      </c>
    </row>
    <row r="10" spans="1:22" ht="16" thickBot="1">
      <c r="A10" s="3" t="s">
        <v>64</v>
      </c>
      <c r="B10" s="7" t="s">
        <v>76</v>
      </c>
      <c r="C10" s="235">
        <v>8</v>
      </c>
      <c r="D10" s="118" t="s">
        <v>1013</v>
      </c>
      <c r="F10" s="10"/>
      <c r="H10" s="10">
        <f>IF('3-Pwr Plant'!D11=0,0,IF(U2=0,IF(AND(Tonnage&lt;100,$C$5=$T$8),C10*ROUNDUP(VLOOKUP('3-Pwr Plant'!B11,'3-Pwr Plant'!S2:X7,6)/4,2),MAX(,1,C10*ROUNDUP(VLOOKUP('3-Pwr Plant'!B11,'3-Pwr Plant'!S2:X7,6),0)/4)),C10*VLOOKUP('3-Pwr Plant'!B11,'3-Pwr Plant'!S2:X7,6)/4))</f>
        <v>90</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4000</v>
      </c>
      <c r="C16" s="334">
        <v>200</v>
      </c>
      <c r="D16" s="333">
        <f>SUM(H9:H11)</f>
        <v>4090</v>
      </c>
      <c r="F16" s="10">
        <f>50000*C16</f>
        <v>10000000</v>
      </c>
      <c r="H16" s="333">
        <f>C16</f>
        <v>200</v>
      </c>
      <c r="K16" s="270">
        <f>C16</f>
        <v>200</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1000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4290</v>
      </c>
      <c r="U20">
        <f>SUM(H8:H11)</f>
        <v>4090</v>
      </c>
    </row>
    <row r="21" spans="1:22" ht="30.75" customHeight="1" thickBot="1">
      <c r="A21" s="311" t="s">
        <v>1713</v>
      </c>
      <c r="B21" s="12" t="str">
        <f>"(Requires Cargo Bay, Direct Feed to Jump Drives) Cargo: "&amp;SUM('12-Cargo'!D18,'12-Cargo'!D22,'12-Cargo'!D26)</f>
        <v>(Requires Cargo Bay, Direct Feed to Jump Drives) Cargo: 1000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200</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4090 tons, 8 Weeks, 4 Jumps, 200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6" priority="14" operator="equal">
      <formula>$S$13</formula>
    </cfRule>
  </conditionalFormatting>
  <conditionalFormatting sqref="A32">
    <cfRule type="cellIs" dxfId="564" priority="13" operator="equal">
      <formula>$S$13</formula>
    </cfRule>
  </conditionalFormatting>
  <conditionalFormatting sqref="B8">
    <cfRule type="expression" dxfId="562" priority="46">
      <formula>AND($S$8="Manoeuvre Drive",$S$10&lt;&gt;"High Burn Thruster",$S$11&lt;&gt;"Reaction Drive")</formula>
    </cfRule>
  </conditionalFormatting>
  <conditionalFormatting sqref="B9">
    <cfRule type="expression" dxfId="561" priority="44">
      <formula>LEFT($S$9,10)&lt;&gt;"Jump Drive"</formula>
    </cfRule>
  </conditionalFormatting>
  <conditionalFormatting sqref="B13">
    <cfRule type="expression" dxfId="560" priority="45">
      <formula>AND(B13&lt;&gt;S2,S6="Streamlined")</formula>
    </cfRule>
  </conditionalFormatting>
  <conditionalFormatting sqref="C5">
    <cfRule type="cellIs" dxfId="554" priority="1" operator="equal">
      <formula>$T$7</formula>
    </cfRule>
  </conditionalFormatting>
  <conditionalFormatting sqref="C11">
    <cfRule type="cellIs" dxfId="553" priority="12" operator="equal">
      <formula>0</formula>
    </cfRule>
  </conditionalFormatting>
  <conditionalFormatting sqref="C12">
    <cfRule type="cellIs" dxfId="552" priority="11" operator="equal">
      <formula>$T$7</formula>
    </cfRule>
  </conditionalFormatting>
  <conditionalFormatting sqref="C16">
    <cfRule type="cellIs" dxfId="551" priority="16" operator="equal">
      <formula>0</formula>
    </cfRule>
  </conditionalFormatting>
  <conditionalFormatting sqref="C19">
    <cfRule type="expression" dxfId="550" priority="22" stopIfTrue="1">
      <formula>AND($A$19=$S$13,$C$19&gt;0)</formula>
    </cfRule>
    <cfRule type="expression" dxfId="549" priority="42">
      <formula>$A$19=$S$13</formula>
    </cfRule>
  </conditionalFormatting>
  <conditionalFormatting sqref="C22">
    <cfRule type="expression" dxfId="548" priority="31" stopIfTrue="1">
      <formula>AND($A$22=$S$13,$C$22&gt;0)</formula>
    </cfRule>
    <cfRule type="expression" dxfId="547" priority="40">
      <formula>$A$22=$S$13</formula>
    </cfRule>
  </conditionalFormatting>
  <conditionalFormatting sqref="C25">
    <cfRule type="expression" dxfId="546" priority="10">
      <formula>$B$25=0</formula>
    </cfRule>
    <cfRule type="expression" dxfId="545" priority="9">
      <formula>AND($B$25=0,$C$25&gt;0)</formula>
    </cfRule>
  </conditionalFormatting>
  <conditionalFormatting sqref="C26:C28">
    <cfRule type="cellIs" dxfId="544" priority="7" operator="equal">
      <formula>$T$7</formula>
    </cfRule>
    <cfRule type="expression" dxfId="543" priority="2">
      <formula>AND($H$25=0,$C26&lt;&gt;"No")</formula>
    </cfRule>
  </conditionalFormatting>
  <conditionalFormatting sqref="C32">
    <cfRule type="expression" dxfId="542" priority="37" stopIfTrue="1">
      <formula>AND($A$32=$S$13,$C$32&gt;0)</formula>
    </cfRule>
    <cfRule type="expression" dxfId="541" priority="38">
      <formula>$A$32=$S$13</formula>
    </cfRule>
  </conditionalFormatting>
  <conditionalFormatting sqref="C35">
    <cfRule type="expression" dxfId="540" priority="18">
      <formula>$C$35&gt;SUM($H$8:$H$11)</formula>
    </cfRule>
    <cfRule type="cellIs" dxfId="539" priority="15" operator="equal">
      <formula>0</formula>
    </cfRule>
  </conditionalFormatting>
  <conditionalFormatting sqref="D8">
    <cfRule type="expression" dxfId="538" priority="34">
      <formula>AND($D$8&lt;&gt;"N/A",$S$8="Manoeuvre Drive",$S$10&lt;&gt;"High Burn Thruster",$S$11&lt;&gt;"Reaction Drive",$D$8&gt;0)</formula>
    </cfRule>
  </conditionalFormatting>
  <conditionalFormatting sqref="D17">
    <cfRule type="expression" dxfId="537" priority="20">
      <formula>$T$25&gt;0</formula>
    </cfRule>
    <cfRule type="expression" dxfId="536" priority="21">
      <formula>$T$25=0</formula>
    </cfRule>
  </conditionalFormatting>
  <conditionalFormatting sqref="E7">
    <cfRule type="expression" dxfId="534" priority="148">
      <formula>$E$7&gt;$E$2</formula>
    </cfRule>
  </conditionalFormatting>
  <conditionalFormatting sqref="H6">
    <cfRule type="expression" dxfId="533" priority="36">
      <formula>$H$6&lt;0</formula>
    </cfRule>
  </conditionalFormatting>
  <conditionalFormatting sqref="K6">
    <cfRule type="expression" dxfId="532"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f>'Ship Info'!B1</f>
        <v>0</v>
      </c>
      <c r="D1" s="2"/>
      <c r="E1" s="2"/>
      <c r="F1" s="6" t="s">
        <v>1</v>
      </c>
      <c r="S1" t="s">
        <v>78</v>
      </c>
      <c r="T1" t="s">
        <v>2</v>
      </c>
      <c r="U1" t="s">
        <v>1</v>
      </c>
      <c r="V1" t="s">
        <v>80</v>
      </c>
      <c r="AB1" s="2"/>
      <c r="AC1" s="2"/>
      <c r="AD1" s="2"/>
      <c r="AE1" s="2"/>
      <c r="AF1" s="2"/>
      <c r="AG1" s="2"/>
    </row>
    <row r="2" spans="1:34">
      <c r="A2" s="3" t="s">
        <v>432</v>
      </c>
      <c r="B2" t="str">
        <f>'Ship Info'!B2</f>
        <v>Expeditionary Base Ship</v>
      </c>
      <c r="D2" t="s">
        <v>0</v>
      </c>
      <c r="E2" s="2">
        <f>Tech_Level</f>
        <v>14</v>
      </c>
      <c r="F2" s="4">
        <f>'Ship Info'!G2</f>
        <v>9839492100.0000038</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60</v>
      </c>
      <c r="S3" t="str">
        <f>IF('Ship Info'!F6,"Command Center (Mil)","")</f>
        <v/>
      </c>
      <c r="T3">
        <f>IF('Ship Info'!F5,0,T4)</f>
        <v>0</v>
      </c>
      <c r="U3">
        <f>200000*ROUNDUP(Tonnage/100,0)</f>
        <v>20000000</v>
      </c>
      <c r="W3" t="str">
        <f>IF('Ship Info'!F6,"DM+1 to all Tactics (naval) checks","Error, Wrong selection for type")</f>
        <v>Error, Wrong selection for type</v>
      </c>
    </row>
    <row r="4" spans="1:34">
      <c r="A4" t="s">
        <v>2</v>
      </c>
      <c r="B4" s="263">
        <f>'1-Hull'!B4</f>
        <v>10000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10000000</v>
      </c>
      <c r="W4" t="str">
        <f>IF('Ship Info'!F6,"No Modifiers","Error, Wrong selection for type")</f>
        <v>Error, Wrong selection for type</v>
      </c>
    </row>
    <row r="5" spans="1:34">
      <c r="F5" s="505">
        <f>SUM(F9:F30)</f>
        <v>62500000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5 additional Virtual Crew to be a Drone Ship</v>
      </c>
      <c r="B6" s="119"/>
      <c r="H6" s="10">
        <f>'Ship Info'!I3</f>
        <v>42.25</v>
      </c>
      <c r="I6" s="270">
        <f>'1-Hull'!I6</f>
        <v>10000</v>
      </c>
      <c r="K6" s="270">
        <f>'Ship Info'!L3</f>
        <v>-23</v>
      </c>
      <c r="L6" s="270">
        <f>'3-Pwr Plant'!L6</f>
        <v>7500</v>
      </c>
      <c r="S6" t="str">
        <f>IF('Ship Info'!F5,"Command Bridge","")</f>
        <v>Command Bridge</v>
      </c>
      <c r="T6">
        <f>IF('Ship Info'!F6,0,T10+40)</f>
        <v>100</v>
      </c>
      <c r="U6">
        <f>U30</f>
        <v>80000000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72</v>
      </c>
      <c r="U7">
        <f>1.5*U10</f>
        <v>75000000</v>
      </c>
      <c r="V7">
        <f>IF(B4&lt;51,1,IF(B4&lt;100,2,IF(B4&lt;201,3,IF(B4&lt;1001,4,IF(B4&lt;2001,5,IF(B4&lt;100001,6,7))))))</f>
        <v>6</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50000000</v>
      </c>
      <c r="H9" s="270">
        <f>IFERROR(INDEX(S2:W10,MATCH(A9,S2:S10,0),2),IF('Ship Info'!F7,1,0))</f>
        <v>60</v>
      </c>
      <c r="J9" s="2"/>
      <c r="L9" s="2"/>
      <c r="S9" t="str">
        <f>IF('Ship Info'!F5,"Small Bridge","")</f>
        <v>Small Bridge</v>
      </c>
      <c r="T9">
        <f>IF('Ship Info'!F6,0,HLOOKUP(V9,AA8:AH9,2))</f>
        <v>40</v>
      </c>
      <c r="U9">
        <f>ROUNDUP(B4/100,0)*250000</f>
        <v>25000000</v>
      </c>
      <c r="V9">
        <f>V10-1</f>
        <v>5</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12500000</v>
      </c>
      <c r="H10" s="2"/>
      <c r="J10" s="2"/>
      <c r="L10" s="2"/>
      <c r="S10" t="str">
        <f>IF('Ship Info'!F5,"Standard Bridge","")</f>
        <v>Standard Bridge</v>
      </c>
      <c r="T10">
        <f>IF('Ship Info'!F6,0,HLOOKUP(V10,AB8:AH9,2))</f>
        <v>60</v>
      </c>
      <c r="U10">
        <f>ROUNDUP(B4/100,0)*500000</f>
        <v>50000000</v>
      </c>
      <c r="V10">
        <f>IF(B4&lt;51,1,IF(B4&lt;100,2,IF(B4&lt;201,3,IF(B4&lt;1001,4,IF(B4&lt;2001,5,IF(B4&lt;100001,6,7))))))</f>
        <v>6</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12500000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60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5</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100</v>
      </c>
      <c r="U30">
        <f>U33+30000000</f>
        <v>80000000</v>
      </c>
      <c r="W30" t="s">
        <v>83</v>
      </c>
    </row>
    <row r="31" spans="1:23">
      <c r="S31" t="s">
        <v>129</v>
      </c>
      <c r="T31">
        <f>T33*1.2</f>
        <v>72</v>
      </c>
      <c r="U31">
        <f>1.5*U33</f>
        <v>75000000</v>
      </c>
      <c r="V31">
        <f>IF(B4&lt;51,1,IF(B4&lt;100,2,IF(B4&lt;201,3,IF(B4&lt;1001,4,IF(B4&lt;2001,5,IF(B4&lt;100001,6,7))))))</f>
        <v>6</v>
      </c>
      <c r="W31" t="s">
        <v>130</v>
      </c>
    </row>
    <row r="32" spans="1:23">
      <c r="S32" t="s">
        <v>85</v>
      </c>
      <c r="T32">
        <f>HLOOKUP(V32,AA8:AH9,2)</f>
        <v>40</v>
      </c>
      <c r="U32">
        <f>ROUNDUP(B4/100,0)*250000</f>
        <v>25000000</v>
      </c>
      <c r="V32">
        <f>V33-1</f>
        <v>5</v>
      </c>
      <c r="W32" t="s">
        <v>86</v>
      </c>
    </row>
    <row r="33" spans="19:23">
      <c r="S33" t="s">
        <v>79</v>
      </c>
      <c r="T33">
        <f>HLOOKUP(V33,AB8:AH9,2)</f>
        <v>60</v>
      </c>
      <c r="U33">
        <f>ROUNDUP(B4/100,0)*500000</f>
        <v>50000000</v>
      </c>
      <c r="V33">
        <f>IF(B4&lt;51,1,IF(B4&lt;100,2,IF(B4&lt;201,3,IF(B4&lt;1001,4,IF(B4&lt;2001,5,IF(B4&lt;100001,6,7))))))</f>
        <v>6</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1" priority="10">
      <formula>$T$43</formula>
    </cfRule>
  </conditionalFormatting>
  <conditionalFormatting sqref="A9">
    <cfRule type="expression" dxfId="529" priority="11">
      <formula>$T$44</formula>
    </cfRule>
    <cfRule type="expression" dxfId="528" priority="864">
      <formula>AND(B4&lt;5000,A9=S6)</formula>
    </cfRule>
    <cfRule type="expression" dxfId="527" priority="863">
      <formula>AND($B$4&gt;99,$A$9=$S$5)</formula>
    </cfRule>
    <cfRule type="expression" dxfId="526" priority="862">
      <formula>AND($B$4&gt;99,$A$9=$S$8)</formula>
    </cfRule>
  </conditionalFormatting>
  <conditionalFormatting sqref="A13 C13">
    <cfRule type="expression" dxfId="525" priority="160">
      <formula>$B$4&lt;5000</formula>
    </cfRule>
  </conditionalFormatting>
  <conditionalFormatting sqref="A13">
    <cfRule type="expression" dxfId="524" priority="866" stopIfTrue="1">
      <formula>AND(B4&lt;5000,$A$13=$AA$6)</formula>
    </cfRule>
  </conditionalFormatting>
  <conditionalFormatting sqref="A14 C13">
    <cfRule type="expression" dxfId="523" priority="870">
      <formula>$A$13=$AA$5</formula>
    </cfRule>
  </conditionalFormatting>
  <conditionalFormatting sqref="A14">
    <cfRule type="expression" dxfId="522" priority="865" stopIfTrue="1">
      <formula>AND($A$13=$AA$5,$A$14=$S$13)</formula>
    </cfRule>
  </conditionalFormatting>
  <conditionalFormatting sqref="A17">
    <cfRule type="expression" dxfId="521" priority="867">
      <formula>AND(B4&lt;5000,$A$17=$S$30)</formula>
    </cfRule>
  </conditionalFormatting>
  <conditionalFormatting sqref="A18">
    <cfRule type="expression" dxfId="520" priority="869">
      <formula>AND($A$17=$S$29,$A$18=$S$13)</formula>
    </cfRule>
    <cfRule type="expression" dxfId="519" priority="868">
      <formula>$A$17=$S$29</formula>
    </cfRule>
  </conditionalFormatting>
  <conditionalFormatting sqref="A24">
    <cfRule type="expression" dxfId="518" priority="8">
      <formula>$F$24&gt;0</formula>
    </cfRule>
  </conditionalFormatting>
  <conditionalFormatting sqref="A30:F30">
    <cfRule type="expression" dxfId="516" priority="1060">
      <formula>$A$27=$S$50</formula>
    </cfRule>
  </conditionalFormatting>
  <conditionalFormatting sqref="C17">
    <cfRule type="expression" dxfId="515" priority="15">
      <formula>$A$17=" N/A"</formula>
    </cfRule>
    <cfRule type="expression" dxfId="514" priority="9" stopIfTrue="1">
      <formula>AND($C$17&gt;0,$H$17=0)</formula>
    </cfRule>
  </conditionalFormatting>
  <conditionalFormatting sqref="C20">
    <cfRule type="expression" dxfId="512" priority="5">
      <formula>$A$17=" N/A"</formula>
    </cfRule>
    <cfRule type="expression" dxfId="511" priority="4" stopIfTrue="1">
      <formula>AND($C$17&gt;0,$H$17=0)</formula>
    </cfRule>
    <cfRule type="expression" dxfId="510" priority="3">
      <formula>$C$20&gt;$C$17</formula>
    </cfRule>
  </conditionalFormatting>
  <conditionalFormatting sqref="C22">
    <cfRule type="cellIs" dxfId="509" priority="872" operator="equal">
      <formula>$S$25</formula>
    </cfRule>
    <cfRule type="cellIs" dxfId="508" priority="873" operator="equal">
      <formula>"""No"""</formula>
    </cfRule>
  </conditionalFormatting>
  <conditionalFormatting sqref="E27 E30">
    <cfRule type="expression" dxfId="507" priority="7">
      <formula>$E27&gt;TL</formula>
    </cfRule>
  </conditionalFormatting>
  <conditionalFormatting sqref="H6">
    <cfRule type="expression" dxfId="506" priority="30">
      <formula>$H$6&lt;0</formula>
    </cfRule>
  </conditionalFormatting>
  <conditionalFormatting sqref="K6">
    <cfRule type="expression" dxfId="505"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2024-12-07T02:01:19Z</cp:lastPrinted>
  <dcterms:created xsi:type="dcterms:W3CDTF">2021-03-17T18:55:02Z</dcterms:created>
  <dcterms:modified xsi:type="dcterms:W3CDTF">2025-02-23T19:31:10Z</dcterms:modified>
</cp:coreProperties>
</file>