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kazmierski/Documents/GitHub/Zdetl/Zhodani Notes/"/>
    </mc:Choice>
  </mc:AlternateContent>
  <xr:revisionPtr revIDLastSave="0" documentId="13_ncr:1_{30B9511D-9BCE-CD42-AC56-76B744352449}" xr6:coauthVersionLast="47" xr6:coauthVersionMax="47" xr10:uidLastSave="{00000000-0000-0000-0000-000000000000}"/>
  <bookViews>
    <workbookView xWindow="0" yWindow="500" windowWidth="33600" windowHeight="19380" xr2:uid="{ADF65EEA-B356-454A-B9FA-F4ACDFA2097D}"/>
  </bookViews>
  <sheets>
    <sheet name="Orbital mechanics" sheetId="1" r:id="rId1"/>
    <sheet name="Eclipse" sheetId="2" r:id="rId2"/>
    <sheet name="Climate and Geograph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3" l="1"/>
  <c r="H15" i="3"/>
  <c r="H16" i="3"/>
  <c r="H17" i="3"/>
  <c r="H18" i="3"/>
  <c r="H19" i="3"/>
  <c r="H20" i="3"/>
  <c r="H10" i="3"/>
  <c r="H11" i="3"/>
  <c r="H12" i="3"/>
  <c r="H13" i="3"/>
  <c r="G14" i="3"/>
  <c r="G15" i="3"/>
  <c r="G16" i="3"/>
  <c r="G17" i="3"/>
  <c r="G18" i="3"/>
  <c r="G19" i="3"/>
  <c r="G20" i="3"/>
  <c r="G10" i="3"/>
  <c r="G11" i="3"/>
  <c r="G12" i="3"/>
  <c r="G13" i="3"/>
  <c r="F15" i="3"/>
  <c r="F16" i="3" s="1"/>
  <c r="F17" i="3" s="1"/>
  <c r="F18" i="3" s="1"/>
  <c r="F19" i="3" s="1"/>
  <c r="F20" i="3" s="1"/>
  <c r="F14" i="3"/>
  <c r="F11" i="3"/>
  <c r="F10" i="3" s="1"/>
  <c r="F12" i="3"/>
  <c r="F13" i="3"/>
  <c r="B21" i="3"/>
  <c r="B20" i="3"/>
  <c r="B18" i="3"/>
  <c r="B16" i="3"/>
  <c r="B15" i="3"/>
  <c r="B14" i="3"/>
  <c r="H3" i="3"/>
  <c r="C14" i="2"/>
  <c r="C11" i="2"/>
  <c r="F8" i="2"/>
  <c r="G8" i="2" s="1"/>
  <c r="C8" i="2"/>
  <c r="F5" i="2"/>
  <c r="G5" i="2" s="1"/>
  <c r="D5" i="2"/>
  <c r="G2" i="2"/>
  <c r="H2" i="2" s="1"/>
  <c r="H5" i="2" s="1"/>
  <c r="F14" i="1"/>
  <c r="C14" i="1"/>
  <c r="I15" i="1"/>
  <c r="F15" i="1"/>
  <c r="C15" i="1"/>
  <c r="D12" i="1"/>
  <c r="F7" i="1"/>
  <c r="C4" i="1"/>
  <c r="C5" i="1" s="1"/>
  <c r="F4" i="1"/>
  <c r="F5" i="1" s="1"/>
  <c r="E2" i="1"/>
  <c r="H8" i="2" l="1"/>
  <c r="G11" i="2"/>
  <c r="F11" i="2"/>
  <c r="F14" i="2" s="1"/>
  <c r="C13" i="1"/>
  <c r="F8" i="1"/>
  <c r="G14" i="2" l="1"/>
  <c r="H14" i="2" s="1"/>
  <c r="H11" i="2"/>
</calcChain>
</file>

<file path=xl/sharedStrings.xml><?xml version="1.0" encoding="utf-8"?>
<sst xmlns="http://schemas.openxmlformats.org/spreadsheetml/2006/main" count="95" uniqueCount="79">
  <si>
    <t>Zhdant</t>
  </si>
  <si>
    <t>Viepchakl</t>
  </si>
  <si>
    <t>Size</t>
  </si>
  <si>
    <t>Mass</t>
  </si>
  <si>
    <t>Density</t>
  </si>
  <si>
    <t>Gravity</t>
  </si>
  <si>
    <t>Orbital Period</t>
  </si>
  <si>
    <t>Orbital Distance</t>
  </si>
  <si>
    <t>km</t>
  </si>
  <si>
    <t>Axial Tilt</t>
  </si>
  <si>
    <t>Luna</t>
  </si>
  <si>
    <t>days, standard</t>
  </si>
  <si>
    <t>UWP</t>
  </si>
  <si>
    <t>A6547C8-F Ag</t>
  </si>
  <si>
    <t>A200</t>
  </si>
  <si>
    <t>A4304C8-F Ni</t>
  </si>
  <si>
    <t>Barycenter</t>
  </si>
  <si>
    <t>Mass Ratio</t>
  </si>
  <si>
    <t>Circum.</t>
  </si>
  <si>
    <t>Diam. Ratio</t>
  </si>
  <si>
    <t>Star</t>
  </si>
  <si>
    <t>Class</t>
  </si>
  <si>
    <t>Magnitude</t>
  </si>
  <si>
    <t>Luminosity</t>
  </si>
  <si>
    <t>Temp</t>
  </si>
  <si>
    <t>Radius (stellar)</t>
  </si>
  <si>
    <t>Radius (km)</t>
  </si>
  <si>
    <t>Diameter (km)</t>
  </si>
  <si>
    <t>Pliebr</t>
  </si>
  <si>
    <t>K0 V</t>
  </si>
  <si>
    <t>Orbit</t>
  </si>
  <si>
    <t>Dist (AU)</t>
  </si>
  <si>
    <t>Dist (km)</t>
  </si>
  <si>
    <t>Angular dist (km)</t>
  </si>
  <si>
    <t>1 deg of arc</t>
  </si>
  <si>
    <t>Apparent angular size of Pliebr</t>
  </si>
  <si>
    <t>Distance</t>
  </si>
  <si>
    <t>Radius</t>
  </si>
  <si>
    <t>Diameter</t>
  </si>
  <si>
    <t>Apparent angular size of V.</t>
  </si>
  <si>
    <t>If Viepchakl were the size of Luna at the same distance:</t>
  </si>
  <si>
    <t>UWP Size 2</t>
  </si>
  <si>
    <t>Size of Viepchakl needed for "perfect" solar eclipse as observed on Terra:</t>
  </si>
  <si>
    <t>UWP Size 3</t>
  </si>
  <si>
    <t>Climate and Geography data for Zhdant</t>
  </si>
  <si>
    <t>Admo</t>
  </si>
  <si>
    <t>Hydro</t>
  </si>
  <si>
    <t>Eccentricity</t>
  </si>
  <si>
    <t>Seismic Stress Factor</t>
  </si>
  <si>
    <t>Thin</t>
  </si>
  <si>
    <t>V Thin</t>
  </si>
  <si>
    <t>Lumionsity</t>
  </si>
  <si>
    <t>Orbit Factor</t>
  </si>
  <si>
    <t>Atmospherics:</t>
  </si>
  <si>
    <t>Composition</t>
  </si>
  <si>
    <t>Pressure at Sea Level</t>
  </si>
  <si>
    <t>Energy absorption</t>
  </si>
  <si>
    <t>Greenhouse effect</t>
  </si>
  <si>
    <t>Surface Temp (K)</t>
  </si>
  <si>
    <t>R - L Factor</t>
  </si>
  <si>
    <t>Axial tilt base increase</t>
  </si>
  <si>
    <t>Axial tilt base decrease</t>
  </si>
  <si>
    <t>Daytime + per hour</t>
  </si>
  <si>
    <t>Nighttime - per hour</t>
  </si>
  <si>
    <t>Max increase</t>
  </si>
  <si>
    <t>Max decrease</t>
  </si>
  <si>
    <t>Hydrospherics:</t>
  </si>
  <si>
    <t>Percentage</t>
  </si>
  <si>
    <t>Tectonic Plates</t>
  </si>
  <si>
    <t>Continents</t>
  </si>
  <si>
    <t>Volcanoes</t>
  </si>
  <si>
    <t>Dleqiats</t>
  </si>
  <si>
    <t>Qiknavra</t>
  </si>
  <si>
    <t>Liquid water</t>
  </si>
  <si>
    <t>O-N mix</t>
  </si>
  <si>
    <t>Latitude</t>
  </si>
  <si>
    <t>Ave Temp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</si>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</sst>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1706</xdr:colOff>
      <xdr:row>3</xdr:row>
      <xdr:rowOff>181171</xdr:rowOff>
    </xdr:from>
    <xdr:to>
      <xdr:col>9</xdr:col>
      <xdr:colOff>643691</xdr:colOff>
      <xdr:row>7</xdr:row>
      <xdr:rowOff>74097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235A2A0-A461-4387-B582-86697AF93F62}"/>
            </a:ext>
          </a:extLst>
        </xdr:cNvPr>
        <xdr:cNvSpPr/>
      </xdr:nvSpPr>
      <xdr:spPr>
        <a:xfrm>
          <a:off x="8717081" y="722191"/>
          <a:ext cx="640080" cy="61873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402415</xdr:colOff>
      <xdr:row>4</xdr:row>
      <xdr:rowOff>13137</xdr:rowOff>
    </xdr:from>
    <xdr:to>
      <xdr:col>9</xdr:col>
      <xdr:colOff>450316</xdr:colOff>
      <xdr:row>8</xdr:row>
      <xdr:rowOff>56177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ED667F0-DE39-4866-AC97-6DA539F7719D}"/>
            </a:ext>
          </a:extLst>
        </xdr:cNvPr>
        <xdr:cNvSpPr/>
      </xdr:nvSpPr>
      <xdr:spPr>
        <a:xfrm>
          <a:off x="8371030" y="740847"/>
          <a:ext cx="792756" cy="766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383A-7AAF-4127-96D2-F263B922DE87}">
  <dimension ref="A1:J15"/>
  <sheetViews>
    <sheetView tabSelected="1" workbookViewId="0">
      <selection activeCell="N36" sqref="N36"/>
    </sheetView>
  </sheetViews>
  <sheetFormatPr baseColWidth="10" defaultColWidth="8.83203125" defaultRowHeight="15" x14ac:dyDescent="0.2"/>
  <cols>
    <col min="6" max="6" width="10" bestFit="1" customWidth="1"/>
  </cols>
  <sheetData>
    <row r="1" spans="1:10" x14ac:dyDescent="0.2">
      <c r="B1" s="1" t="s">
        <v>0</v>
      </c>
      <c r="E1" s="1" t="s">
        <v>1</v>
      </c>
      <c r="H1" s="2" t="s">
        <v>10</v>
      </c>
      <c r="I1" s="2"/>
      <c r="J1" s="2"/>
    </row>
    <row r="2" spans="1:10" x14ac:dyDescent="0.2">
      <c r="A2" s="1" t="s">
        <v>2</v>
      </c>
      <c r="B2">
        <v>9620</v>
      </c>
      <c r="C2">
        <v>6</v>
      </c>
      <c r="E2">
        <f>F2*1620</f>
        <v>6480</v>
      </c>
      <c r="F2">
        <v>4</v>
      </c>
      <c r="H2" s="3">
        <v>3475</v>
      </c>
      <c r="I2" s="3">
        <v>2</v>
      </c>
      <c r="J2" s="3"/>
    </row>
    <row r="3" spans="1:10" x14ac:dyDescent="0.2">
      <c r="A3" s="1" t="s">
        <v>4</v>
      </c>
      <c r="C3">
        <v>1.1200000000000001</v>
      </c>
      <c r="F3">
        <v>0.6</v>
      </c>
      <c r="H3" s="3"/>
      <c r="I3" s="3">
        <v>0.6</v>
      </c>
      <c r="J3" s="3"/>
    </row>
    <row r="4" spans="1:10" x14ac:dyDescent="0.2">
      <c r="A4" s="1" t="s">
        <v>3</v>
      </c>
      <c r="C4">
        <f>C3*(C2/8)^3</f>
        <v>0.47250000000000003</v>
      </c>
      <c r="F4">
        <f>F3*(F2/8)^3</f>
        <v>7.4999999999999997E-2</v>
      </c>
      <c r="H4" s="3"/>
      <c r="I4" s="3">
        <v>1.23E-2</v>
      </c>
      <c r="J4" s="3"/>
    </row>
    <row r="5" spans="1:10" x14ac:dyDescent="0.2">
      <c r="A5" s="1" t="s">
        <v>5</v>
      </c>
      <c r="C5">
        <f>C4*(64/C2^2)</f>
        <v>0.84</v>
      </c>
      <c r="F5">
        <f>F4*(64/F2^2)</f>
        <v>0.3</v>
      </c>
      <c r="H5" s="3"/>
      <c r="I5" s="3">
        <v>0.16500000000000001</v>
      </c>
      <c r="J5" s="3"/>
    </row>
    <row r="6" spans="1:10" x14ac:dyDescent="0.2">
      <c r="A6" s="1" t="s">
        <v>9</v>
      </c>
      <c r="C6">
        <v>18</v>
      </c>
      <c r="H6" s="3"/>
      <c r="I6" s="3"/>
      <c r="J6" s="3"/>
    </row>
    <row r="7" spans="1:10" x14ac:dyDescent="0.2">
      <c r="A7" s="1" t="s">
        <v>6</v>
      </c>
      <c r="F7">
        <f>40.7*27.02/24</f>
        <v>45.821416666666671</v>
      </c>
      <c r="G7" t="s">
        <v>11</v>
      </c>
      <c r="H7" s="3"/>
      <c r="I7" s="3">
        <v>28</v>
      </c>
      <c r="J7" s="3" t="s">
        <v>11</v>
      </c>
    </row>
    <row r="8" spans="1:10" x14ac:dyDescent="0.2">
      <c r="A8" s="1" t="s">
        <v>7</v>
      </c>
      <c r="F8">
        <f>400000*(((F7^2*C4)/793.64)^(1/3))</f>
        <v>430888.68281137425</v>
      </c>
      <c r="G8" t="s">
        <v>8</v>
      </c>
      <c r="H8" s="3"/>
      <c r="I8" s="3">
        <v>378000</v>
      </c>
      <c r="J8" s="3" t="s">
        <v>8</v>
      </c>
    </row>
    <row r="9" spans="1:10" x14ac:dyDescent="0.2">
      <c r="A9" s="1" t="s">
        <v>12</v>
      </c>
      <c r="B9" t="s">
        <v>13</v>
      </c>
      <c r="E9" t="s">
        <v>15</v>
      </c>
      <c r="I9" t="s">
        <v>14</v>
      </c>
    </row>
    <row r="12" spans="1:10" x14ac:dyDescent="0.2">
      <c r="A12" s="1" t="s">
        <v>16</v>
      </c>
      <c r="C12">
        <v>59025</v>
      </c>
      <c r="D12">
        <f>C12/B2</f>
        <v>6.135654885654886</v>
      </c>
    </row>
    <row r="13" spans="1:10" x14ac:dyDescent="0.2">
      <c r="A13" s="1" t="s">
        <v>17</v>
      </c>
      <c r="C13">
        <f>C4/F4</f>
        <v>6.3000000000000007</v>
      </c>
    </row>
    <row r="14" spans="1:10" x14ac:dyDescent="0.2">
      <c r="A14" s="1" t="s">
        <v>19</v>
      </c>
      <c r="C14">
        <f>B2/E2</f>
        <v>1.4845679012345678</v>
      </c>
      <c r="F14">
        <f>E2/B2</f>
        <v>0.67359667359667363</v>
      </c>
    </row>
    <row r="15" spans="1:10" x14ac:dyDescent="0.2">
      <c r="A15" t="s">
        <v>18</v>
      </c>
      <c r="C15">
        <f>B2*3.14159</f>
        <v>30222.095799999999</v>
      </c>
      <c r="F15">
        <f>E2*3.14159</f>
        <v>20357.503199999999</v>
      </c>
      <c r="I15">
        <f>H2*3.14159</f>
        <v>10917.025249999999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AFF5-5E03-4D24-AC5D-82F8B4844F84}">
  <dimension ref="A1:I14"/>
  <sheetViews>
    <sheetView zoomScale="145" zoomScaleNormal="145" workbookViewId="0">
      <selection activeCell="C23" sqref="C23"/>
    </sheetView>
  </sheetViews>
  <sheetFormatPr baseColWidth="10" defaultColWidth="10.83203125" defaultRowHeight="15" x14ac:dyDescent="0.2"/>
  <cols>
    <col min="6" max="6" width="16" customWidth="1"/>
    <col min="7" max="7" width="17.83203125" customWidth="1"/>
    <col min="8" max="8" width="28.1640625" customWidth="1"/>
  </cols>
  <sheetData>
    <row r="1" spans="1:9" s="1" customFormat="1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3</v>
      </c>
    </row>
    <row r="2" spans="1:9" x14ac:dyDescent="0.2">
      <c r="A2" s="1" t="s">
        <v>28</v>
      </c>
      <c r="B2" t="s">
        <v>29</v>
      </c>
      <c r="C2">
        <v>5.7</v>
      </c>
      <c r="D2">
        <v>0.42</v>
      </c>
      <c r="E2">
        <v>4900</v>
      </c>
      <c r="F2">
        <v>0.90800000000000003</v>
      </c>
      <c r="G2">
        <f>695700*F2</f>
        <v>631695.6</v>
      </c>
      <c r="H2">
        <f>G2*2</f>
        <v>1263391.2</v>
      </c>
      <c r="I2">
        <v>0.82499999999999996</v>
      </c>
    </row>
    <row r="4" spans="1:9" s="1" customFormat="1" x14ac:dyDescent="0.2">
      <c r="B4" s="1" t="s">
        <v>30</v>
      </c>
      <c r="C4" s="1" t="s">
        <v>31</v>
      </c>
      <c r="D4" s="1" t="s">
        <v>32</v>
      </c>
      <c r="F4" s="1" t="s">
        <v>33</v>
      </c>
      <c r="G4" s="1" t="s">
        <v>34</v>
      </c>
      <c r="H4" s="1" t="s">
        <v>35</v>
      </c>
    </row>
    <row r="5" spans="1:9" x14ac:dyDescent="0.2">
      <c r="A5" s="1" t="s">
        <v>0</v>
      </c>
      <c r="B5">
        <v>2</v>
      </c>
      <c r="C5">
        <v>0.7</v>
      </c>
      <c r="D5">
        <f>150000000*C5</f>
        <v>105000000</v>
      </c>
      <c r="F5">
        <f>3.14159*D5*2</f>
        <v>659733900</v>
      </c>
      <c r="G5">
        <f>F5/360</f>
        <v>1832594.1666666667</v>
      </c>
      <c r="H5" s="4">
        <f>H2/G5</f>
        <v>0.68940042644466193</v>
      </c>
    </row>
    <row r="7" spans="1:9" s="1" customFormat="1" x14ac:dyDescent="0.2">
      <c r="B7" s="1" t="s">
        <v>36</v>
      </c>
      <c r="C7" s="1" t="s">
        <v>37</v>
      </c>
      <c r="D7" s="1" t="s">
        <v>38</v>
      </c>
      <c r="F7" s="1" t="s">
        <v>33</v>
      </c>
      <c r="G7" s="1" t="s">
        <v>34</v>
      </c>
      <c r="H7" s="1" t="s">
        <v>39</v>
      </c>
    </row>
    <row r="8" spans="1:9" x14ac:dyDescent="0.2">
      <c r="A8" s="1" t="s">
        <v>1</v>
      </c>
      <c r="B8">
        <v>430888</v>
      </c>
      <c r="C8">
        <f>D8/2</f>
        <v>3240</v>
      </c>
      <c r="D8">
        <v>6480</v>
      </c>
      <c r="F8">
        <f>3.14159*B8*2</f>
        <v>2707346.8638399998</v>
      </c>
      <c r="G8">
        <f>F8/360</f>
        <v>7520.4079551111108</v>
      </c>
      <c r="H8" s="4">
        <f>D8/G8</f>
        <v>0.86165538341520209</v>
      </c>
    </row>
    <row r="10" spans="1:9" x14ac:dyDescent="0.2">
      <c r="A10" t="s">
        <v>40</v>
      </c>
    </row>
    <row r="11" spans="1:9" x14ac:dyDescent="0.2">
      <c r="A11" t="s">
        <v>41</v>
      </c>
      <c r="B11">
        <v>430888</v>
      </c>
      <c r="C11">
        <f>D11/2</f>
        <v>1737.5</v>
      </c>
      <c r="D11">
        <v>3475</v>
      </c>
      <c r="F11">
        <f>F8</f>
        <v>2707346.8638399998</v>
      </c>
      <c r="G11">
        <f>G8</f>
        <v>7520.4079551111108</v>
      </c>
      <c r="H11" s="4">
        <f>D11/G11</f>
        <v>0.46207599650738074</v>
      </c>
    </row>
    <row r="13" spans="1:9" x14ac:dyDescent="0.2">
      <c r="A13" t="s">
        <v>42</v>
      </c>
    </row>
    <row r="14" spans="1:9" x14ac:dyDescent="0.2">
      <c r="A14" t="s">
        <v>43</v>
      </c>
      <c r="B14">
        <v>430888</v>
      </c>
      <c r="C14">
        <f>D14/2</f>
        <v>2592</v>
      </c>
      <c r="D14">
        <v>5184</v>
      </c>
      <c r="F14">
        <f>F11</f>
        <v>2707346.8638399998</v>
      </c>
      <c r="G14">
        <f>G11</f>
        <v>7520.4079551111108</v>
      </c>
      <c r="H14" s="4">
        <f>D14/G14</f>
        <v>0.68932430673216161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E2EA-BD00-4313-9A6C-F0BDEE09A710}">
  <dimension ref="A1:H29"/>
  <sheetViews>
    <sheetView zoomScale="130" zoomScaleNormal="130" workbookViewId="0">
      <selection activeCell="L25" sqref="L25"/>
    </sheetView>
  </sheetViews>
  <sheetFormatPr baseColWidth="10" defaultColWidth="8.83203125" defaultRowHeight="15" x14ac:dyDescent="0.2"/>
  <cols>
    <col min="1" max="1" width="21.1640625" style="1" customWidth="1"/>
    <col min="3" max="3" width="10.5" customWidth="1"/>
    <col min="4" max="4" width="11.1640625" customWidth="1"/>
    <col min="6" max="6" width="10.83203125" customWidth="1"/>
    <col min="7" max="7" width="10.83203125" bestFit="1" customWidth="1"/>
    <col min="8" max="8" width="19" bestFit="1" customWidth="1"/>
  </cols>
  <sheetData>
    <row r="1" spans="1:8" x14ac:dyDescent="0.2">
      <c r="A1" s="1" t="s">
        <v>44</v>
      </c>
    </row>
    <row r="2" spans="1:8" s="1" customFormat="1" x14ac:dyDescent="0.2">
      <c r="B2" s="1" t="s">
        <v>2</v>
      </c>
      <c r="C2" s="1" t="s">
        <v>45</v>
      </c>
      <c r="D2" s="1" t="s">
        <v>46</v>
      </c>
      <c r="E2" s="1" t="s">
        <v>30</v>
      </c>
      <c r="F2" s="1" t="s">
        <v>9</v>
      </c>
      <c r="G2" s="1" t="s">
        <v>47</v>
      </c>
      <c r="H2" s="1" t="s">
        <v>48</v>
      </c>
    </row>
    <row r="3" spans="1:8" x14ac:dyDescent="0.2">
      <c r="A3" s="1" t="s">
        <v>0</v>
      </c>
      <c r="B3">
        <v>9720</v>
      </c>
      <c r="C3" t="s">
        <v>49</v>
      </c>
      <c r="D3">
        <v>0.4</v>
      </c>
      <c r="E3">
        <v>2</v>
      </c>
      <c r="F3">
        <v>18</v>
      </c>
      <c r="G3">
        <v>5.0000000000000001E-3</v>
      </c>
      <c r="H3">
        <f>ROUND(1+2+(B4/(E4*64)+0.825/0.7),3)</f>
        <v>6.48</v>
      </c>
    </row>
    <row r="4" spans="1:8" x14ac:dyDescent="0.2">
      <c r="A4" s="1" t="s">
        <v>1</v>
      </c>
      <c r="B4">
        <v>6480</v>
      </c>
      <c r="C4" t="s">
        <v>50</v>
      </c>
      <c r="D4">
        <v>0</v>
      </c>
      <c r="E4">
        <v>44</v>
      </c>
    </row>
    <row r="6" spans="1:8" x14ac:dyDescent="0.2">
      <c r="B6" s="1" t="s">
        <v>21</v>
      </c>
      <c r="C6" s="1" t="s">
        <v>51</v>
      </c>
      <c r="D6" s="1" t="s">
        <v>52</v>
      </c>
    </row>
    <row r="7" spans="1:8" x14ac:dyDescent="0.2">
      <c r="A7" s="1" t="s">
        <v>28</v>
      </c>
      <c r="B7" t="s">
        <v>29</v>
      </c>
      <c r="C7">
        <v>0.81</v>
      </c>
      <c r="D7">
        <v>447.04500000000002</v>
      </c>
    </row>
    <row r="9" spans="1:8" x14ac:dyDescent="0.2">
      <c r="A9" s="1" t="s">
        <v>53</v>
      </c>
      <c r="E9" s="1" t="s">
        <v>75</v>
      </c>
      <c r="F9" s="1" t="s">
        <v>76</v>
      </c>
      <c r="G9" s="1" t="s">
        <v>77</v>
      </c>
      <c r="H9" s="1" t="s">
        <v>78</v>
      </c>
    </row>
    <row r="10" spans="1:8" x14ac:dyDescent="0.2">
      <c r="A10" s="1" t="s">
        <v>54</v>
      </c>
      <c r="B10" t="s">
        <v>74</v>
      </c>
      <c r="E10">
        <v>1</v>
      </c>
      <c r="F10">
        <f t="shared" ref="F10:F11" si="0">F11+6</f>
        <v>39.283999999999992</v>
      </c>
      <c r="G10">
        <f t="shared" ref="G10:G12" si="1">F10+$B$17</f>
        <v>21.283999999999992</v>
      </c>
      <c r="H10">
        <f t="shared" ref="H10:H12" si="2">F10+$B$16</f>
        <v>50.083999999999989</v>
      </c>
    </row>
    <row r="11" spans="1:8" x14ac:dyDescent="0.2">
      <c r="A11" s="1" t="s">
        <v>55</v>
      </c>
      <c r="B11">
        <v>0.5</v>
      </c>
      <c r="E11">
        <v>2</v>
      </c>
      <c r="F11">
        <f t="shared" si="0"/>
        <v>33.283999999999992</v>
      </c>
      <c r="G11">
        <f t="shared" si="1"/>
        <v>15.283999999999992</v>
      </c>
      <c r="H11">
        <f t="shared" si="2"/>
        <v>44.083999999999989</v>
      </c>
    </row>
    <row r="12" spans="1:8" x14ac:dyDescent="0.2">
      <c r="A12" s="1" t="s">
        <v>56</v>
      </c>
      <c r="B12">
        <v>0.77400000000000002</v>
      </c>
      <c r="E12">
        <v>3</v>
      </c>
      <c r="F12">
        <f>F13+6</f>
        <v>27.283999999999992</v>
      </c>
      <c r="G12">
        <f t="shared" si="1"/>
        <v>9.2839999999999918</v>
      </c>
      <c r="H12">
        <f t="shared" si="2"/>
        <v>38.083999999999989</v>
      </c>
    </row>
    <row r="13" spans="1:8" x14ac:dyDescent="0.2">
      <c r="A13" s="1" t="s">
        <v>57</v>
      </c>
      <c r="B13">
        <v>1.05</v>
      </c>
      <c r="E13">
        <v>4</v>
      </c>
      <c r="F13">
        <f>B14-273</f>
        <v>21.283999999999992</v>
      </c>
      <c r="G13">
        <f>F13+$B$17</f>
        <v>3.2839999999999918</v>
      </c>
      <c r="H13">
        <f>F13+$B$16</f>
        <v>32.083999999999989</v>
      </c>
    </row>
    <row r="14" spans="1:8" x14ac:dyDescent="0.2">
      <c r="A14" s="1" t="s">
        <v>58</v>
      </c>
      <c r="B14">
        <f>ROUND(C7*D7*B12*B13,3)</f>
        <v>294.28399999999999</v>
      </c>
      <c r="E14">
        <v>5</v>
      </c>
      <c r="F14">
        <f>F13-6</f>
        <v>15.283999999999992</v>
      </c>
      <c r="G14">
        <f t="shared" ref="G14:G20" si="3">F14+$B$17</f>
        <v>-2.7160000000000082</v>
      </c>
      <c r="H14">
        <f t="shared" ref="H14:H20" si="4">F14+$B$16</f>
        <v>26.083999999999989</v>
      </c>
    </row>
    <row r="15" spans="1:8" x14ac:dyDescent="0.2">
      <c r="A15" s="1" t="s">
        <v>59</v>
      </c>
      <c r="B15">
        <f>ROUND(C7/SQRT(0.7),3)</f>
        <v>0.96799999999999997</v>
      </c>
      <c r="E15">
        <v>6</v>
      </c>
      <c r="F15">
        <f t="shared" ref="F15:F20" si="5">F14-6</f>
        <v>9.2839999999999918</v>
      </c>
      <c r="G15">
        <f t="shared" si="3"/>
        <v>-8.7160000000000082</v>
      </c>
      <c r="H15">
        <f t="shared" si="4"/>
        <v>20.083999999999989</v>
      </c>
    </row>
    <row r="16" spans="1:8" x14ac:dyDescent="0.2">
      <c r="A16" s="1" t="s">
        <v>60</v>
      </c>
      <c r="B16">
        <f>F3*0.6</f>
        <v>10.799999999999999</v>
      </c>
      <c r="E16">
        <v>7</v>
      </c>
      <c r="F16">
        <f t="shared" si="5"/>
        <v>3.2839999999999918</v>
      </c>
      <c r="G16">
        <f t="shared" si="3"/>
        <v>-14.716000000000008</v>
      </c>
      <c r="H16">
        <f t="shared" si="4"/>
        <v>14.083999999999991</v>
      </c>
    </row>
    <row r="17" spans="1:8" x14ac:dyDescent="0.2">
      <c r="A17" s="1" t="s">
        <v>61</v>
      </c>
      <c r="B17">
        <v>-18</v>
      </c>
      <c r="E17">
        <v>8</v>
      </c>
      <c r="F17">
        <f t="shared" si="5"/>
        <v>-2.7160000000000082</v>
      </c>
      <c r="G17">
        <f t="shared" si="3"/>
        <v>-20.716000000000008</v>
      </c>
      <c r="H17">
        <f t="shared" si="4"/>
        <v>8.0839999999999907</v>
      </c>
    </row>
    <row r="18" spans="1:8" x14ac:dyDescent="0.2">
      <c r="A18" s="1" t="s">
        <v>62</v>
      </c>
      <c r="B18">
        <f>0.6*B15</f>
        <v>0.58079999999999998</v>
      </c>
      <c r="E18">
        <v>9</v>
      </c>
      <c r="F18">
        <f t="shared" si="5"/>
        <v>-8.7160000000000082</v>
      </c>
      <c r="G18">
        <f t="shared" si="3"/>
        <v>-26.716000000000008</v>
      </c>
      <c r="H18">
        <f t="shared" si="4"/>
        <v>2.0839999999999907</v>
      </c>
    </row>
    <row r="19" spans="1:8" x14ac:dyDescent="0.2">
      <c r="A19" s="1" t="s">
        <v>63</v>
      </c>
      <c r="B19">
        <v>-3</v>
      </c>
      <c r="E19">
        <v>10</v>
      </c>
      <c r="F19">
        <f t="shared" si="5"/>
        <v>-14.716000000000008</v>
      </c>
      <c r="G19">
        <f t="shared" si="3"/>
        <v>-32.716000000000008</v>
      </c>
      <c r="H19">
        <f t="shared" si="4"/>
        <v>-3.9160000000000093</v>
      </c>
    </row>
    <row r="20" spans="1:8" x14ac:dyDescent="0.2">
      <c r="A20" s="1" t="s">
        <v>64</v>
      </c>
      <c r="B20" s="5">
        <f>B18*15</f>
        <v>8.7119999999999997</v>
      </c>
      <c r="E20">
        <v>11</v>
      </c>
      <c r="F20">
        <f t="shared" si="5"/>
        <v>-20.716000000000008</v>
      </c>
      <c r="G20">
        <f t="shared" si="3"/>
        <v>-38.716000000000008</v>
      </c>
      <c r="H20">
        <f t="shared" si="4"/>
        <v>-9.9160000000000093</v>
      </c>
    </row>
    <row r="21" spans="1:8" x14ac:dyDescent="0.2">
      <c r="A21" s="1" t="s">
        <v>65</v>
      </c>
      <c r="B21" s="5">
        <f>B19*15</f>
        <v>-45</v>
      </c>
    </row>
    <row r="23" spans="1:8" x14ac:dyDescent="0.2">
      <c r="A23" s="1" t="s">
        <v>66</v>
      </c>
    </row>
    <row r="24" spans="1:8" x14ac:dyDescent="0.2">
      <c r="A24" s="1" t="s">
        <v>67</v>
      </c>
      <c r="B24">
        <v>40</v>
      </c>
    </row>
    <row r="25" spans="1:8" x14ac:dyDescent="0.2">
      <c r="A25" s="1" t="s">
        <v>54</v>
      </c>
      <c r="B25" t="s">
        <v>73</v>
      </c>
    </row>
    <row r="26" spans="1:8" x14ac:dyDescent="0.2">
      <c r="A26" s="1" t="s">
        <v>68</v>
      </c>
      <c r="B26">
        <v>6</v>
      </c>
    </row>
    <row r="27" spans="1:8" x14ac:dyDescent="0.2">
      <c r="A27" s="1" t="s">
        <v>69</v>
      </c>
      <c r="B27">
        <v>2</v>
      </c>
    </row>
    <row r="28" spans="1:8" x14ac:dyDescent="0.2">
      <c r="A28" s="1" t="s">
        <v>70</v>
      </c>
      <c r="B28">
        <v>7</v>
      </c>
      <c r="C28" t="s">
        <v>71</v>
      </c>
    </row>
    <row r="29" spans="1:8" x14ac:dyDescent="0.2">
      <c r="B29">
        <v>2</v>
      </c>
      <c r="C29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Orbital mechanics</vt:lpstr>
      <vt:lpstr>Eclipse</vt:lpstr>
      <vt:lpstr>Climate and 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2022-08-14T04:07:50Z</dcterms:created>
  <dcterms:modified xsi:type="dcterms:W3CDTF">2025-02-21T02:19:54Z</dcterms:modified>
</cp:coreProperties>
</file>