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B7A2EE98-7B77-4DFD-B2ED-C08E1C44791C}" xr6:coauthVersionLast="47" xr6:coauthVersionMax="47" xr10:uidLastSave="{00000000-0000-0000-0000-000000000000}"/>
  <bookViews>
    <workbookView xWindow="2040" yWindow="977" windowWidth="30403" windowHeight="16886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34" i="1"/>
  <c r="E34" i="1"/>
  <c r="E40" i="1" s="1"/>
  <c r="H40" i="1"/>
  <c r="H59" i="1" s="1"/>
  <c r="H49" i="1"/>
  <c r="H51" i="1" s="1"/>
  <c r="H47" i="1"/>
  <c r="H56" i="1" s="1"/>
  <c r="H45" i="1"/>
  <c r="H28" i="1"/>
  <c r="H30" i="1" s="1"/>
  <c r="H32" i="1" s="1"/>
  <c r="E49" i="1"/>
  <c r="E51" i="1" s="1"/>
  <c r="E47" i="1"/>
  <c r="E56" i="1" s="1"/>
  <c r="E28" i="1"/>
  <c r="H53" i="1" l="1"/>
  <c r="H37" i="1"/>
  <c r="E59" i="1"/>
  <c r="E30" i="1"/>
  <c r="E37" i="1"/>
  <c r="H62" i="1" l="1"/>
  <c r="H67" i="1" s="1"/>
  <c r="E32" i="1"/>
  <c r="H66" i="1" l="1"/>
  <c r="E53" i="1"/>
  <c r="E45" i="1"/>
  <c r="E62" i="1" l="1"/>
  <c r="E67" i="1" s="1"/>
  <c r="E66" i="1" l="1"/>
</calcChain>
</file>

<file path=xl/sharedStrings.xml><?xml version="1.0" encoding="utf-8"?>
<sst xmlns="http://schemas.openxmlformats.org/spreadsheetml/2006/main" count="116" uniqueCount="75">
  <si>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</si>
  <si>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</si>
  <si>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</si>
  <si>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</si>
  <si>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</si>
  <si>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</si>
  <si>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</si>
  <si>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</si>
  <si>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</si>
  <si>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</si>
  <si>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</si>
  <si>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</si>
  <si>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</si>
  <si>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</si>
  <si>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</si>
  <si>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</si>
  <si>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</si>
  <si>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</si>
  <si>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temperature at launch site</t>
  </si>
  <si>
    <t>launch site altitude (ASL)</t>
  </si>
  <si>
    <t>in</t>
  </si>
  <si>
    <t>Imperial Units</t>
  </si>
  <si>
    <t>TLS</t>
  </si>
  <si>
    <t>Launch Site Data</t>
  </si>
  <si>
    <t>LSA</t>
  </si>
  <si>
    <t>SI Units</t>
  </si>
  <si>
    <t>cm</t>
  </si>
  <si>
    <t>TC</t>
  </si>
  <si>
    <t>RC</t>
  </si>
  <si>
    <t>SSL</t>
  </si>
  <si>
    <t>meters/sec</t>
  </si>
  <si>
    <t>meters</t>
  </si>
  <si>
    <t>deg C</t>
  </si>
  <si>
    <t>Calculated Values</t>
  </si>
  <si>
    <t>maximum predicted rocket velocity</t>
  </si>
  <si>
    <t>Fin Geometry Data</t>
  </si>
  <si>
    <t>KPa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</si>
  <si>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</si>
  <si>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</si>
  <si>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</si>
  <si>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</si>
  <si>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</si>
  <si>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</si>
  <si>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</si>
  <si>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</si>
  <si>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</si>
  <si>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</si>
  <si>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t>Shear Modulus (doubled in calculation if tip-to-tip reinforcement)</t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</si>
  <si>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</si>
  <si>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</si>
  <si>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</si>
  <si>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</si>
  <si>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</si>
  <si>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</si>
  <si>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</si>
  <si>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</si>
  <si>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</si>
  <si>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</si>
  <si>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</si>
  <si>
    <r>
      <t>A</t>
    </r>
    <r>
      <rPr>
        <sz val="11"/>
        <color theme="1"/>
        <rFont val="Calibri"/>
        <family val="2"/>
        <scheme val="minor"/>
      </rPr>
      <t xml:space="preserve"> (aspect ratio)</t>
    </r>
  </si>
  <si>
    <r>
      <t xml:space="preserve">t/c </t>
    </r>
    <r>
      <rPr>
        <sz val="11"/>
        <color theme="1"/>
        <rFont val="Calibri"/>
        <family val="2"/>
        <scheme val="minor"/>
      </rPr>
      <t>(thickness ratio)</t>
    </r>
  </si>
  <si>
    <r>
      <t>λ</t>
    </r>
    <r>
      <rPr>
        <sz val="11"/>
        <color theme="1"/>
        <rFont val="Calibri"/>
        <family val="2"/>
        <scheme val="minor"/>
      </rPr>
      <t xml:space="preserve"> (lambda) (taper ratio)</t>
    </r>
  </si>
  <si>
    <r>
      <t>(semi-span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</si>
  <si>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 xml:space="preserve">semi span length (height) </t>
  </si>
  <si>
    <t>predicted altitude at predicted maximum rocket velocity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</si>
  <si>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 xml:space="preserve"> for implementation details and limitations.</t>
    </r>
  </si>
  <si>
    <t>Due to slight differences in atmospheric model constants, as well as rounding differences, Imperial and SI calculations for the same geometry and conditions may differ slightly.</t>
  </si>
  <si>
    <t>Calculation of Fin Flutter Velocity v1.1</t>
  </si>
  <si>
    <r>
      <t>Use Default Sea-Level Temp (</t>
    </r>
    <r>
      <rPr>
        <b/>
        <sz val="11"/>
        <color theme="1"/>
        <rFont val="Calibri"/>
        <family val="2"/>
        <scheme val="minor"/>
      </rPr>
      <t>DST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</si>
  <si>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DST</t>
  </si>
  <si>
    <t>DST or LST</t>
  </si>
  <si>
    <t>Use Default Temp?</t>
  </si>
  <si>
    <t>© 2023 John K. Bennett; BSD 2-Clause License (details at https://github.com/jkb-git/Fin-Flutter-Velocity-Calculator/blob/main/LICENSE)</t>
  </si>
  <si>
    <t>December 2023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</si>
  <si>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 (shear modulus)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</si>
</sst>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166" fontId="0" fillId="0" borderId="0" xfId="0" applyNumberFormat="1"/>
    <xf numFmtId="166" fontId="1" fillId="0" borderId="0" xfId="0" applyNumberFormat="1" applyFont="1"/>
    <xf numFmtId="2" fontId="7" fillId="0" borderId="0" xfId="0" applyNumberFormat="1" applyFont="1"/>
    <xf numFmtId="0" fontId="5" fillId="6" borderId="0" xfId="0" applyFont="1" applyFill="1"/>
    <xf numFmtId="0" fontId="1" fillId="3" borderId="0" xfId="0" applyFont="1" applyFill="1"/>
    <xf numFmtId="166" fontId="7" fillId="0" borderId="1" xfId="0" applyNumberFormat="1" applyFont="1" applyBorder="1"/>
    <xf numFmtId="165" fontId="0" fillId="0" borderId="0" xfId="0" applyNumberFormat="1"/>
    <xf numFmtId="166" fontId="7" fillId="3" borderId="3" xfId="0" applyNumberFormat="1" applyFont="1" applyFill="1" applyBorder="1"/>
    <xf numFmtId="2" fontId="7" fillId="3" borderId="3" xfId="0" applyNumberFormat="1" applyFont="1" applyFill="1" applyBorder="1"/>
    <xf numFmtId="0" fontId="0" fillId="3" borderId="0" xfId="0" applyFill="1"/>
    <xf numFmtId="17" fontId="0" fillId="0" borderId="0" xfId="0" quotePrefix="1" applyNumberFormat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  <xf numFmtId="1" fontId="13" fillId="2" borderId="0" xfId="0" applyNumberFormat="1" applyFont="1" applyFill="1" applyAlignment="1">
      <alignment horizontal="right"/>
    </xf>
    <xf numFmtId="2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2" fontId="7" fillId="3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7" fillId="3" borderId="3" xfId="0" applyNumberFormat="1" applyFont="1" applyFill="1" applyBorder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2" fontId="1" fillId="3" borderId="4" xfId="0" applyNumberFormat="1" applyFont="1" applyFill="1" applyBorder="1"/>
    <xf numFmtId="166" fontId="1" fillId="0" borderId="2" xfId="0" applyNumberFormat="1" applyFont="1" applyBorder="1"/>
    <xf numFmtId="166" fontId="1" fillId="3" borderId="4" xfId="0" applyNumberFormat="1" applyFont="1" applyFill="1" applyBorder="1"/>
    <xf numFmtId="0" fontId="1" fillId="3" borderId="4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3</xdr:col>
      <xdr:colOff>571500</xdr:colOff>
      <xdr:row>57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57</xdr:row>
      <xdr:rowOff>152400</xdr:rowOff>
    </xdr:from>
    <xdr:to>
      <xdr:col>3</xdr:col>
      <xdr:colOff>419101</xdr:colOff>
      <xdr:row>59</xdr:row>
      <xdr:rowOff>162875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6218</xdr:rowOff>
    </xdr:from>
    <xdr:to>
      <xdr:col>3</xdr:col>
      <xdr:colOff>3495644</xdr:colOff>
      <xdr:row>29</xdr:row>
      <xdr:rowOff>21771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1</xdr:rowOff>
    </xdr:from>
    <xdr:to>
      <xdr:col>3</xdr:col>
      <xdr:colOff>1072243</xdr:colOff>
      <xdr:row>30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30</xdr:row>
      <xdr:rowOff>168729</xdr:rowOff>
    </xdr:from>
    <xdr:to>
      <xdr:col>3</xdr:col>
      <xdr:colOff>1534887</xdr:colOff>
      <xdr:row>32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32</xdr:row>
      <xdr:rowOff>163286</xdr:rowOff>
    </xdr:from>
    <xdr:to>
      <xdr:col>3</xdr:col>
      <xdr:colOff>2371332</xdr:colOff>
      <xdr:row>35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36</xdr:row>
      <xdr:rowOff>0</xdr:rowOff>
    </xdr:from>
    <xdr:to>
      <xdr:col>3</xdr:col>
      <xdr:colOff>1967276</xdr:colOff>
      <xdr:row>39</xdr:row>
      <xdr:rowOff>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39</xdr:row>
      <xdr:rowOff>10885</xdr:rowOff>
    </xdr:from>
    <xdr:to>
      <xdr:col>3</xdr:col>
      <xdr:colOff>2269081</xdr:colOff>
      <xdr:row>43</xdr:row>
      <xdr:rowOff>103412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3363685</xdr:colOff>
      <xdr:row>65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1088571</xdr:colOff>
      <xdr:row>54</xdr:row>
      <xdr:rowOff>153677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3548742</xdr:colOff>
      <xdr:row>49</xdr:row>
      <xdr:rowOff>182052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D9B45-E5EF-AC85-CE4E-16899BB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8746671"/>
          <a:ext cx="3548742" cy="367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1099458</xdr:colOff>
      <xdr:row>65</xdr:row>
      <xdr:rowOff>174172</xdr:rowOff>
    </xdr:from>
    <xdr:to>
      <xdr:col>3</xdr:col>
      <xdr:colOff>3820885</xdr:colOff>
      <xdr:row>67</xdr:row>
      <xdr:rowOff>4128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48D59-4587-749E-8EF6-EB24E4D0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2601" y="12507686"/>
          <a:ext cx="5285013" cy="2109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17</xdr:col>
      <xdr:colOff>499966</xdr:colOff>
      <xdr:row>33</xdr:row>
      <xdr:rowOff>121776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26C479-E35A-4FAC-B6CC-19D4C910D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54409" y="4338734"/>
          <a:ext cx="5219700" cy="201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R69"/>
  <sheetViews>
    <sheetView tabSelected="1" zoomScale="70" zoomScaleNormal="70" workbookViewId="0">
      <selection activeCell="N49" sqref="N49"/>
    </sheetView>
  </sheetViews>
  <sheetFormatPr defaultRowHeight="14.6" x14ac:dyDescent="0.4"/>
  <cols>
    <col min="2" max="2" width="25.4609375" customWidth="1"/>
    <col min="3" max="3" width="10.69140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69140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67</v>
      </c>
    </row>
    <row r="2" spans="2:10" x14ac:dyDescent="0.4">
      <c r="B2" t="s">
        <v>72</v>
      </c>
    </row>
    <row r="3" spans="2:10" x14ac:dyDescent="0.4">
      <c r="B3" s="27" t="s">
        <v>73</v>
      </c>
      <c r="C3" s="1"/>
    </row>
    <row r="4" spans="2:10" x14ac:dyDescent="0.4">
      <c r="B4" t="s">
        <v>14</v>
      </c>
    </row>
    <row r="5" spans="2:10" x14ac:dyDescent="0.4">
      <c r="B5" t="s">
        <v>65</v>
      </c>
    </row>
    <row r="6" spans="2:10" x14ac:dyDescent="0.4">
      <c r="B6" s="21" t="s">
        <v>66</v>
      </c>
      <c r="C6" s="21"/>
      <c r="D6" s="21"/>
      <c r="E6" s="21"/>
      <c r="F6" s="21"/>
      <c r="G6" s="21"/>
      <c r="H6" s="21"/>
      <c r="I6" s="26"/>
      <c r="J6" s="26"/>
    </row>
    <row r="8" spans="2:10" x14ac:dyDescent="0.4">
      <c r="B8" s="29" t="s">
        <v>57</v>
      </c>
      <c r="C8" s="29"/>
      <c r="D8" s="29"/>
    </row>
    <row r="10" spans="2:10" x14ac:dyDescent="0.4">
      <c r="B10" s="31" t="s">
        <v>7</v>
      </c>
      <c r="C10" s="31"/>
      <c r="D10" s="31"/>
      <c r="E10" s="28" t="s">
        <v>21</v>
      </c>
      <c r="F10" s="28"/>
      <c r="H10" s="28" t="s">
        <v>25</v>
      </c>
      <c r="I10" s="28"/>
    </row>
    <row r="11" spans="2:10" x14ac:dyDescent="0.4">
      <c r="B11" s="3" t="s">
        <v>23</v>
      </c>
    </row>
    <row r="12" spans="2:10" x14ac:dyDescent="0.4">
      <c r="B12" s="1" t="s">
        <v>13</v>
      </c>
      <c r="C12" s="2" t="s">
        <v>2</v>
      </c>
      <c r="D12" t="s">
        <v>34</v>
      </c>
      <c r="E12" s="5">
        <v>1500</v>
      </c>
      <c r="F12" s="1" t="s">
        <v>5</v>
      </c>
      <c r="G12" s="9"/>
      <c r="H12" s="16">
        <v>457.20000000000005</v>
      </c>
      <c r="I12" s="9" t="s">
        <v>30</v>
      </c>
    </row>
    <row r="13" spans="2:10" x14ac:dyDescent="0.4">
      <c r="B13" s="1" t="s">
        <v>54</v>
      </c>
      <c r="C13" s="2" t="s">
        <v>2</v>
      </c>
      <c r="D13" t="s">
        <v>64</v>
      </c>
      <c r="E13" s="5">
        <v>14000</v>
      </c>
      <c r="F13" s="1" t="s">
        <v>8</v>
      </c>
      <c r="H13" s="16">
        <v>4267.2</v>
      </c>
      <c r="I13" s="1" t="s">
        <v>31</v>
      </c>
    </row>
    <row r="14" spans="2:10" x14ac:dyDescent="0.4">
      <c r="B14" s="1" t="s">
        <v>24</v>
      </c>
      <c r="C14" s="2" t="s">
        <v>2</v>
      </c>
      <c r="D14" t="s">
        <v>19</v>
      </c>
      <c r="E14" s="5">
        <v>4500</v>
      </c>
      <c r="F14" s="1" t="s">
        <v>8</v>
      </c>
      <c r="H14" s="16">
        <v>1371.6000000000001</v>
      </c>
      <c r="I14" s="1" t="s">
        <v>31</v>
      </c>
    </row>
    <row r="15" spans="2:10" x14ac:dyDescent="0.4">
      <c r="B15" s="1" t="s">
        <v>22</v>
      </c>
      <c r="C15" s="2" t="s">
        <v>2</v>
      </c>
      <c r="D15" t="s">
        <v>18</v>
      </c>
      <c r="E15" s="5">
        <v>65</v>
      </c>
      <c r="F15" s="1" t="s">
        <v>12</v>
      </c>
      <c r="H15" s="16">
        <v>18.332999999999998</v>
      </c>
      <c r="I15" s="1" t="s">
        <v>32</v>
      </c>
    </row>
    <row r="16" spans="2:10" x14ac:dyDescent="0.4">
      <c r="B16" s="1" t="s">
        <v>71</v>
      </c>
      <c r="C16" s="2" t="s">
        <v>2</v>
      </c>
      <c r="D16" t="s">
        <v>68</v>
      </c>
      <c r="E16" s="6" t="s">
        <v>69</v>
      </c>
      <c r="F16" s="20" t="s">
        <v>70</v>
      </c>
      <c r="H16" s="6" t="s">
        <v>69</v>
      </c>
      <c r="I16" s="20" t="s">
        <v>70</v>
      </c>
    </row>
    <row r="17" spans="2:18" x14ac:dyDescent="0.4">
      <c r="B17" s="1"/>
      <c r="C17" s="2"/>
      <c r="E17" s="10"/>
    </row>
    <row r="18" spans="2:18" x14ac:dyDescent="0.4">
      <c r="B18" s="3" t="s">
        <v>35</v>
      </c>
      <c r="C18" s="2"/>
      <c r="E18" s="11"/>
    </row>
    <row r="19" spans="2:18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20</v>
      </c>
      <c r="H19" s="8">
        <v>0.47625000000000001</v>
      </c>
      <c r="I19" s="1" t="s">
        <v>26</v>
      </c>
    </row>
    <row r="20" spans="2:18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20</v>
      </c>
      <c r="H20" s="15">
        <v>10.883900000000001</v>
      </c>
      <c r="I20" s="1" t="s">
        <v>26</v>
      </c>
    </row>
    <row r="21" spans="2:18" x14ac:dyDescent="0.4">
      <c r="B21" s="1" t="s">
        <v>27</v>
      </c>
      <c r="C21" s="2" t="s">
        <v>2</v>
      </c>
      <c r="D21" t="s">
        <v>9</v>
      </c>
      <c r="E21" s="5">
        <v>2.5</v>
      </c>
      <c r="F21" s="1" t="s">
        <v>20</v>
      </c>
      <c r="H21" s="15">
        <v>6.35</v>
      </c>
      <c r="I21" s="1" t="s">
        <v>26</v>
      </c>
    </row>
    <row r="22" spans="2:18" ht="17.600000000000001" x14ac:dyDescent="0.55000000000000004">
      <c r="B22" s="1" t="s">
        <v>28</v>
      </c>
      <c r="C22" s="2" t="s">
        <v>2</v>
      </c>
      <c r="D22" t="s">
        <v>6</v>
      </c>
      <c r="E22" s="5">
        <v>7.5</v>
      </c>
      <c r="F22" s="1" t="s">
        <v>20</v>
      </c>
      <c r="H22" s="15">
        <v>19.05</v>
      </c>
      <c r="I22" s="1" t="s">
        <v>26</v>
      </c>
      <c r="K22" s="30" t="s">
        <v>58</v>
      </c>
      <c r="L22" s="30"/>
      <c r="M22" s="30"/>
      <c r="N22" s="30"/>
      <c r="O22" s="30"/>
      <c r="P22" s="30"/>
      <c r="Q22" s="30"/>
      <c r="R22" s="30"/>
    </row>
    <row r="23" spans="2:18" x14ac:dyDescent="0.4">
      <c r="B23" s="1" t="s">
        <v>29</v>
      </c>
      <c r="C23" s="2" t="s">
        <v>2</v>
      </c>
      <c r="D23" t="s">
        <v>63</v>
      </c>
      <c r="E23" s="5">
        <v>3</v>
      </c>
      <c r="F23" s="1" t="s">
        <v>20</v>
      </c>
      <c r="H23" s="15">
        <v>7.62</v>
      </c>
      <c r="I23" s="1" t="s">
        <v>26</v>
      </c>
    </row>
    <row r="24" spans="2:18" ht="17.149999999999999" x14ac:dyDescent="0.55000000000000004">
      <c r="B24" s="1" t="s">
        <v>74</v>
      </c>
      <c r="C24" s="2"/>
      <c r="D24" s="33" t="s">
        <v>47</v>
      </c>
      <c r="E24" s="34">
        <v>600000</v>
      </c>
      <c r="F24" s="9" t="s">
        <v>4</v>
      </c>
      <c r="G24" s="14"/>
      <c r="H24" s="34">
        <v>4136854</v>
      </c>
      <c r="I24" s="1" t="s">
        <v>36</v>
      </c>
    </row>
    <row r="25" spans="2:18" x14ac:dyDescent="0.4">
      <c r="B25" s="1" t="s">
        <v>15</v>
      </c>
      <c r="C25" s="2" t="s">
        <v>2</v>
      </c>
      <c r="D25" t="s">
        <v>51</v>
      </c>
      <c r="E25" s="6" t="s">
        <v>17</v>
      </c>
      <c r="F25" s="20" t="s">
        <v>16</v>
      </c>
      <c r="H25" s="6" t="s">
        <v>17</v>
      </c>
      <c r="I25" s="20" t="s">
        <v>16</v>
      </c>
    </row>
    <row r="26" spans="2:18" x14ac:dyDescent="0.4">
      <c r="B26" s="1"/>
      <c r="C26" s="2"/>
      <c r="E26" s="10"/>
      <c r="F26" s="1"/>
    </row>
    <row r="27" spans="2:18" x14ac:dyDescent="0.4">
      <c r="B27" s="32" t="s">
        <v>33</v>
      </c>
      <c r="C27" s="32"/>
      <c r="D27" s="32"/>
      <c r="E27" s="10"/>
      <c r="F27" s="1"/>
    </row>
    <row r="28" spans="2:18" x14ac:dyDescent="0.4">
      <c r="B28" s="1" t="s">
        <v>44</v>
      </c>
      <c r="C28" s="2"/>
      <c r="E28" s="35">
        <f>((2*E21*E20)+(E21*E21)+(E20*E22)+(E21*E22)+(E22*E22))/(3*(E21+E22))</f>
        <v>4.4937500000000004</v>
      </c>
      <c r="F28" s="9" t="s">
        <v>20</v>
      </c>
      <c r="G28" s="14"/>
      <c r="H28" s="35">
        <f>((2*H21*H20)+(H21*H21)+(H20*H22)+(H21*H22)+(H22*H22))/(3*(H21+H22))</f>
        <v>11.414125000000002</v>
      </c>
      <c r="I28" s="1" t="s">
        <v>26</v>
      </c>
    </row>
    <row r="29" spans="2:18" x14ac:dyDescent="0.4">
      <c r="B29" s="1"/>
      <c r="C29" s="2"/>
      <c r="E29" s="35"/>
      <c r="F29" s="9"/>
      <c r="G29" s="14"/>
      <c r="H29" s="35"/>
      <c r="I29" s="1"/>
    </row>
    <row r="30" spans="2:18" x14ac:dyDescent="0.4">
      <c r="B30" s="1" t="s">
        <v>43</v>
      </c>
      <c r="C30" s="2"/>
      <c r="E30" s="38">
        <f>(E28/E22)-0.25</f>
        <v>0.34916666666666674</v>
      </c>
      <c r="F30" s="44"/>
      <c r="G30" s="23"/>
      <c r="H30" s="38">
        <f>(H28/H22)-0.25</f>
        <v>0.34916666666666674</v>
      </c>
      <c r="I30" s="1"/>
    </row>
    <row r="31" spans="2:18" x14ac:dyDescent="0.4">
      <c r="B31" s="1"/>
      <c r="C31" s="2"/>
      <c r="E31" s="35"/>
      <c r="F31" s="9"/>
      <c r="G31" s="14"/>
      <c r="H31" s="35"/>
      <c r="I31" s="1"/>
    </row>
    <row r="32" spans="2:18" x14ac:dyDescent="0.4">
      <c r="B32" s="12" t="s">
        <v>52</v>
      </c>
      <c r="C32" s="2"/>
      <c r="E32" s="35">
        <f>24*E30*1.4*14.696/PI()</f>
        <v>54.880912648872197</v>
      </c>
      <c r="F32" s="9" t="s">
        <v>4</v>
      </c>
      <c r="G32" s="14"/>
      <c r="H32" s="35">
        <f>24*H30*1.4*101.325/PI()</f>
        <v>378.38925382056175</v>
      </c>
      <c r="I32" s="1" t="s">
        <v>36</v>
      </c>
    </row>
    <row r="33" spans="2:9" x14ac:dyDescent="0.4">
      <c r="B33" s="12"/>
      <c r="C33" s="2"/>
      <c r="E33" s="35"/>
      <c r="F33" s="9"/>
      <c r="G33" s="14"/>
      <c r="H33" s="35"/>
      <c r="I33" s="1"/>
    </row>
    <row r="34" spans="2:9" x14ac:dyDescent="0.4">
      <c r="B34" s="1" t="s">
        <v>53</v>
      </c>
      <c r="C34" s="2"/>
      <c r="E34" s="35">
        <f>IF((E16="DST"),(59-(0.00356*(E13+E14))),(E15-(0.00356*(E13))))</f>
        <v>-6.8599999999999994</v>
      </c>
      <c r="F34" s="9" t="s">
        <v>12</v>
      </c>
      <c r="G34" s="14"/>
      <c r="H34" s="35">
        <f>IF((H16="DST"),(15-(0.0065*(H13+H14))),(H15-(0.0065*(H13))))</f>
        <v>-21.652200000000001</v>
      </c>
      <c r="I34" s="1" t="s">
        <v>32</v>
      </c>
    </row>
    <row r="35" spans="2:9" x14ac:dyDescent="0.4">
      <c r="B35" s="1"/>
      <c r="C35" s="2"/>
      <c r="E35" s="35"/>
      <c r="F35" s="9"/>
      <c r="G35" s="14"/>
      <c r="H35" s="35"/>
      <c r="I35" s="1"/>
    </row>
    <row r="36" spans="2:9" x14ac:dyDescent="0.4">
      <c r="B36" s="1"/>
      <c r="C36" s="2"/>
      <c r="E36" s="35"/>
      <c r="F36" s="9"/>
      <c r="G36" s="14"/>
      <c r="H36" s="35"/>
      <c r="I36" s="1"/>
    </row>
    <row r="37" spans="2:9" x14ac:dyDescent="0.4">
      <c r="B37" s="1" t="s">
        <v>55</v>
      </c>
      <c r="C37" s="2"/>
      <c r="E37" s="35">
        <f>49.03*SQRT(459.7 + E34)</f>
        <v>1043.3602432314544</v>
      </c>
      <c r="F37" s="9" t="s">
        <v>5</v>
      </c>
      <c r="G37" s="14"/>
      <c r="H37" s="35">
        <f>20.05*SQRT(273.16 + H34)</f>
        <v>317.97289879720887</v>
      </c>
      <c r="I37" s="1" t="s">
        <v>30</v>
      </c>
    </row>
    <row r="38" spans="2:9" x14ac:dyDescent="0.4">
      <c r="B38" s="1"/>
      <c r="C38" s="2"/>
      <c r="E38" s="35"/>
      <c r="F38" s="9"/>
      <c r="G38" s="14"/>
      <c r="H38" s="35"/>
      <c r="I38" s="1"/>
    </row>
    <row r="39" spans="2:9" x14ac:dyDescent="0.4">
      <c r="B39" s="1"/>
      <c r="C39" s="2"/>
      <c r="E39" s="35"/>
      <c r="F39" s="9"/>
      <c r="G39" s="14"/>
      <c r="H39" s="35"/>
      <c r="I39" s="1"/>
    </row>
    <row r="40" spans="2:9" x14ac:dyDescent="0.4">
      <c r="B40" s="13" t="s">
        <v>56</v>
      </c>
      <c r="C40" s="2"/>
      <c r="E40" s="35">
        <f>14.696*((E34+459.7)/518.7)^5.256</f>
        <v>7.1985515089759931</v>
      </c>
      <c r="F40" s="9" t="s">
        <v>4</v>
      </c>
      <c r="G40" s="14"/>
      <c r="H40" s="35">
        <f>101.325*((H34+273.16)/288.16)^5.256</f>
        <v>49.565600725708983</v>
      </c>
      <c r="I40" s="1" t="s">
        <v>36</v>
      </c>
    </row>
    <row r="41" spans="2:9" x14ac:dyDescent="0.4">
      <c r="B41" s="1"/>
      <c r="C41" s="2"/>
      <c r="E41" s="37"/>
      <c r="F41" s="1"/>
      <c r="H41" s="37"/>
      <c r="I41" s="1"/>
    </row>
    <row r="42" spans="2:9" x14ac:dyDescent="0.4">
      <c r="B42" s="1"/>
      <c r="C42" s="2"/>
      <c r="E42" s="37"/>
      <c r="F42" s="1"/>
      <c r="H42" s="37"/>
      <c r="I42" s="1"/>
    </row>
    <row r="43" spans="2:9" x14ac:dyDescent="0.4">
      <c r="B43" s="1"/>
      <c r="C43" s="2"/>
      <c r="E43" s="37"/>
      <c r="F43" s="1"/>
      <c r="H43" s="37"/>
      <c r="I43" s="1"/>
    </row>
    <row r="44" spans="2:9" x14ac:dyDescent="0.4">
      <c r="B44" s="1"/>
      <c r="C44" s="2"/>
      <c r="E44" s="37"/>
      <c r="F44" s="1"/>
      <c r="H44" s="37"/>
      <c r="I44" s="1"/>
    </row>
    <row r="45" spans="2:9" x14ac:dyDescent="0.4">
      <c r="B45" s="1" t="s">
        <v>60</v>
      </c>
      <c r="C45" s="2"/>
      <c r="D45" s="1" t="s">
        <v>45</v>
      </c>
      <c r="E45" s="38">
        <f>E19/E22</f>
        <v>2.5000000000000001E-2</v>
      </c>
      <c r="F45" s="44"/>
      <c r="G45" s="23"/>
      <c r="H45" s="38">
        <f>H19/H22</f>
        <v>2.4999999999999998E-2</v>
      </c>
      <c r="I45" s="1"/>
    </row>
    <row r="46" spans="2:9" x14ac:dyDescent="0.4">
      <c r="B46" s="1"/>
      <c r="C46" s="2"/>
      <c r="E46" s="38"/>
      <c r="F46" s="44"/>
      <c r="G46" s="23"/>
      <c r="H46" s="38"/>
      <c r="I46" s="1"/>
    </row>
    <row r="47" spans="2:9" x14ac:dyDescent="0.4">
      <c r="B47" s="1" t="s">
        <v>61</v>
      </c>
      <c r="C47" s="2"/>
      <c r="D47" s="1" t="s">
        <v>46</v>
      </c>
      <c r="E47" s="38">
        <f>E21/E22</f>
        <v>0.33333333333333331</v>
      </c>
      <c r="F47" s="44"/>
      <c r="G47" s="23"/>
      <c r="H47" s="38">
        <f>H21/H22</f>
        <v>0.33333333333333331</v>
      </c>
      <c r="I47" s="1"/>
    </row>
    <row r="48" spans="2:9" x14ac:dyDescent="0.4">
      <c r="B48" s="1"/>
      <c r="C48" s="2"/>
      <c r="E48" s="36"/>
      <c r="F48" s="43"/>
      <c r="G48" s="7"/>
      <c r="H48" s="36"/>
      <c r="I48" s="1"/>
    </row>
    <row r="49" spans="2:9" x14ac:dyDescent="0.4">
      <c r="B49" s="1" t="s">
        <v>48</v>
      </c>
      <c r="C49" s="2"/>
      <c r="E49" s="36">
        <f>E23*(E21+E22)/2</f>
        <v>15</v>
      </c>
      <c r="F49" s="43" t="s">
        <v>37</v>
      </c>
      <c r="G49" s="7"/>
      <c r="H49" s="36">
        <f>H23*(H21+H22)/2</f>
        <v>96.774000000000001</v>
      </c>
      <c r="I49" s="1" t="s">
        <v>41</v>
      </c>
    </row>
    <row r="50" spans="2:9" x14ac:dyDescent="0.4">
      <c r="B50" s="1"/>
      <c r="C50" s="2"/>
      <c r="E50" s="36"/>
      <c r="F50" s="43"/>
      <c r="G50" s="7"/>
      <c r="H50" s="36"/>
      <c r="I50" s="1"/>
    </row>
    <row r="51" spans="2:9" ht="16.3" x14ac:dyDescent="0.4">
      <c r="B51" s="1" t="s">
        <v>59</v>
      </c>
      <c r="C51" s="2"/>
      <c r="D51" s="1" t="s">
        <v>62</v>
      </c>
      <c r="E51" s="38">
        <f>(E23*E23)/E49</f>
        <v>0.6</v>
      </c>
      <c r="F51" s="44"/>
      <c r="G51" s="23"/>
      <c r="H51" s="38">
        <f>(H23*H23)/H49</f>
        <v>0.6</v>
      </c>
      <c r="I51" s="1"/>
    </row>
    <row r="52" spans="2:9" x14ac:dyDescent="0.4">
      <c r="B52" s="1"/>
      <c r="C52" s="2"/>
      <c r="E52" s="36"/>
      <c r="F52" s="43"/>
      <c r="G52" s="7"/>
      <c r="H52" s="36"/>
      <c r="I52" s="1"/>
    </row>
    <row r="53" spans="2:9" x14ac:dyDescent="0.4">
      <c r="B53" s="1" t="s">
        <v>38</v>
      </c>
      <c r="C53" s="2"/>
      <c r="E53" s="35">
        <f>(E32*E51^3)/(((E19/E22)^3)*(E51+2))</f>
        <v>291797.59094538807</v>
      </c>
      <c r="F53" s="9" t="s">
        <v>4</v>
      </c>
      <c r="G53" s="14"/>
      <c r="H53" s="35">
        <f>(H32*H51^3)/(((H19/H22)^3)*(H51+2))</f>
        <v>2011866.5556982486</v>
      </c>
      <c r="I53" s="1" t="s">
        <v>36</v>
      </c>
    </row>
    <row r="54" spans="2:9" x14ac:dyDescent="0.4">
      <c r="B54" s="1"/>
      <c r="C54" s="2"/>
      <c r="E54" s="37"/>
      <c r="F54" s="1"/>
      <c r="H54" s="37"/>
      <c r="I54" s="1"/>
    </row>
    <row r="55" spans="2:9" x14ac:dyDescent="0.4">
      <c r="B55" s="1"/>
      <c r="C55" s="2"/>
      <c r="E55" s="37"/>
      <c r="F55" s="1"/>
      <c r="H55" s="37"/>
      <c r="I55" s="1"/>
    </row>
    <row r="56" spans="2:9" x14ac:dyDescent="0.4">
      <c r="B56" s="1" t="s">
        <v>39</v>
      </c>
      <c r="C56" s="2"/>
      <c r="E56" s="35">
        <f>(E47+1)/2</f>
        <v>0.66666666666666663</v>
      </c>
      <c r="F56" s="9"/>
      <c r="G56" s="14"/>
      <c r="H56" s="35">
        <f>(H47+1)/2</f>
        <v>0.66666666666666663</v>
      </c>
      <c r="I56" s="1"/>
    </row>
    <row r="57" spans="2:9" x14ac:dyDescent="0.4">
      <c r="B57" s="1"/>
      <c r="C57" s="2"/>
      <c r="E57" s="35"/>
      <c r="F57" s="9"/>
      <c r="G57" s="14"/>
      <c r="H57" s="35"/>
      <c r="I57" s="1"/>
    </row>
    <row r="58" spans="2:9" x14ac:dyDescent="0.4">
      <c r="B58" s="1"/>
      <c r="C58" s="2"/>
      <c r="E58" s="35"/>
      <c r="F58" s="9"/>
      <c r="G58" s="14"/>
      <c r="H58" s="35"/>
      <c r="I58" s="1"/>
    </row>
    <row r="59" spans="2:9" x14ac:dyDescent="0.4">
      <c r="B59" s="1" t="s">
        <v>40</v>
      </c>
      <c r="C59" s="2"/>
      <c r="E59" s="35">
        <f>E40/14.696</f>
        <v>0.48983066881981446</v>
      </c>
      <c r="F59" s="9"/>
      <c r="G59" s="14"/>
      <c r="H59" s="35">
        <f>H40/101.325</f>
        <v>0.48917444584958286</v>
      </c>
      <c r="I59" s="1"/>
    </row>
    <row r="60" spans="2:9" x14ac:dyDescent="0.4">
      <c r="B60" s="1"/>
      <c r="C60" s="2"/>
      <c r="E60" s="35"/>
      <c r="F60" s="9"/>
      <c r="G60" s="14"/>
      <c r="H60" s="19"/>
      <c r="I60" s="1"/>
    </row>
    <row r="61" spans="2:9" ht="15" thickBot="1" x14ac:dyDescent="0.45">
      <c r="B61" s="1"/>
      <c r="C61" s="2"/>
      <c r="E61" s="35"/>
      <c r="F61" s="9"/>
      <c r="G61" s="14"/>
      <c r="H61" s="19"/>
      <c r="I61" s="1"/>
    </row>
    <row r="62" spans="2:9" ht="15" thickBot="1" x14ac:dyDescent="0.45">
      <c r="B62" s="1" t="s">
        <v>0</v>
      </c>
      <c r="C62" s="2"/>
      <c r="E62" s="39">
        <f>E37*SQRT((IF((E25="NO"),(E24),(E24*2)))/(E53*E56*E59))</f>
        <v>2618.1329783344149</v>
      </c>
      <c r="F62" s="45" t="s">
        <v>5</v>
      </c>
      <c r="G62" s="14"/>
      <c r="H62" s="25">
        <f>H37*SQRT((IF((H25="NO"),(H24),(H24*2)))/(H53*H56*H59))</f>
        <v>798.43463194576805</v>
      </c>
      <c r="I62" s="48" t="s">
        <v>30</v>
      </c>
    </row>
    <row r="63" spans="2:9" x14ac:dyDescent="0.4">
      <c r="B63" s="1"/>
      <c r="C63" s="2"/>
      <c r="E63" s="40"/>
      <c r="F63" s="1"/>
      <c r="I63" s="1"/>
    </row>
    <row r="64" spans="2:9" x14ac:dyDescent="0.4">
      <c r="B64" s="1"/>
      <c r="C64" s="2"/>
      <c r="E64" s="40"/>
      <c r="F64" s="1"/>
      <c r="I64" s="1"/>
    </row>
    <row r="65" spans="2:11" ht="15" thickBot="1" x14ac:dyDescent="0.45">
      <c r="B65" s="1"/>
      <c r="C65" s="2"/>
      <c r="E65" s="40"/>
      <c r="F65" s="1"/>
      <c r="I65" s="1"/>
    </row>
    <row r="66" spans="2:11" ht="15" thickBot="1" x14ac:dyDescent="0.45">
      <c r="B66" s="1" t="s">
        <v>49</v>
      </c>
      <c r="C66" s="2"/>
      <c r="D66" s="1"/>
      <c r="E66" s="41">
        <f>(E62-E12)</f>
        <v>1118.1329783344149</v>
      </c>
      <c r="F66" s="46" t="s">
        <v>5</v>
      </c>
      <c r="G66" s="17"/>
      <c r="H66" s="22">
        <f>(H62-H12)</f>
        <v>341.234631945768</v>
      </c>
      <c r="I66" s="49" t="s">
        <v>30</v>
      </c>
      <c r="K66" s="1"/>
    </row>
    <row r="67" spans="2:11" s="1" customFormat="1" ht="15" thickBot="1" x14ac:dyDescent="0.45">
      <c r="B67" s="1" t="s">
        <v>50</v>
      </c>
      <c r="E67" s="42">
        <f>100*(E62-E12)/E12</f>
        <v>74.542198555627664</v>
      </c>
      <c r="F67" s="47" t="s">
        <v>42</v>
      </c>
      <c r="G67" s="18"/>
      <c r="H67" s="24">
        <f>100*(H62-H12)/H12</f>
        <v>74.635746269853001</v>
      </c>
      <c r="I67" s="48" t="s">
        <v>42</v>
      </c>
    </row>
    <row r="69" spans="2:11" x14ac:dyDescent="0.4">
      <c r="E69" s="1"/>
    </row>
  </sheetData>
  <mergeCells count="6">
    <mergeCell ref="H10:I10"/>
    <mergeCell ref="B8:D8"/>
    <mergeCell ref="E10:F10"/>
    <mergeCell ref="B10:D10"/>
    <mergeCell ref="B27:D27"/>
    <mergeCell ref="K22:R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John Bennett</cp:lastModifiedBy>
  <dcterms:created xsi:type="dcterms:W3CDTF">2023-10-09T04:40:43Z</dcterms:created>
  <dcterms:modified xsi:type="dcterms:W3CDTF">2023-12-06T02:45:25Z</dcterms:modified>
</cp:coreProperties>
</file>