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eports\2014\Wellness\"/>
    </mc:Choice>
  </mc:AlternateContent>
  <bookViews>
    <workbookView xWindow="0" yWindow="0" windowWidth="23670" windowHeight="11910"/>
  </bookViews>
  <sheets>
    <sheet name="HRA Census Report_20140820_1128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I2" i="1"/>
  <c r="B3" i="1"/>
  <c r="C3" i="1"/>
  <c r="I3" i="1"/>
  <c r="B4" i="1"/>
  <c r="C4" i="1"/>
  <c r="I4" i="1"/>
  <c r="B5" i="1"/>
  <c r="C5" i="1"/>
  <c r="I5" i="1"/>
  <c r="B6" i="1"/>
  <c r="C6" i="1"/>
  <c r="I6" i="1"/>
  <c r="B7" i="1"/>
  <c r="C7" i="1"/>
  <c r="I7" i="1"/>
  <c r="B8" i="1"/>
  <c r="C8" i="1"/>
  <c r="I8" i="1"/>
  <c r="B9" i="1"/>
  <c r="C9" i="1"/>
  <c r="I9" i="1"/>
  <c r="B10" i="1"/>
  <c r="C10" i="1"/>
  <c r="I10" i="1"/>
  <c r="B11" i="1"/>
  <c r="C11" i="1"/>
  <c r="I11" i="1"/>
  <c r="B12" i="1"/>
  <c r="C12" i="1"/>
  <c r="I12" i="1"/>
  <c r="B13" i="1"/>
  <c r="C13" i="1"/>
  <c r="I13" i="1"/>
  <c r="B14" i="1"/>
  <c r="C14" i="1"/>
  <c r="I14" i="1"/>
  <c r="B15" i="1"/>
  <c r="C15" i="1"/>
  <c r="I15" i="1"/>
  <c r="B16" i="1"/>
  <c r="C16" i="1"/>
  <c r="I16" i="1"/>
  <c r="B17" i="1"/>
  <c r="C17" i="1"/>
  <c r="I17" i="1"/>
  <c r="B18" i="1"/>
  <c r="C18" i="1"/>
  <c r="I18" i="1"/>
  <c r="B19" i="1"/>
  <c r="C19" i="1"/>
  <c r="I19" i="1"/>
  <c r="B20" i="1"/>
  <c r="C20" i="1"/>
  <c r="I20" i="1"/>
  <c r="B21" i="1"/>
  <c r="C21" i="1"/>
  <c r="I21" i="1"/>
  <c r="B22" i="1"/>
  <c r="C22" i="1"/>
  <c r="I22" i="1"/>
  <c r="B23" i="1"/>
  <c r="C23" i="1"/>
  <c r="I23" i="1"/>
  <c r="B24" i="1"/>
  <c r="C24" i="1"/>
  <c r="I24" i="1"/>
  <c r="B25" i="1"/>
  <c r="C25" i="1"/>
  <c r="I25" i="1"/>
  <c r="B26" i="1"/>
  <c r="C26" i="1"/>
  <c r="I26" i="1"/>
  <c r="B27" i="1"/>
  <c r="C27" i="1"/>
  <c r="I27" i="1"/>
  <c r="B28" i="1"/>
  <c r="C28" i="1"/>
  <c r="I28" i="1"/>
  <c r="B29" i="1"/>
  <c r="C29" i="1"/>
  <c r="I29" i="1"/>
  <c r="B30" i="1"/>
  <c r="C30" i="1"/>
  <c r="I30" i="1"/>
  <c r="B31" i="1"/>
  <c r="C31" i="1"/>
  <c r="I31" i="1"/>
  <c r="B32" i="1"/>
  <c r="C32" i="1"/>
  <c r="I32" i="1"/>
  <c r="B33" i="1"/>
  <c r="C33" i="1"/>
  <c r="I33" i="1"/>
  <c r="B34" i="1"/>
  <c r="C34" i="1"/>
  <c r="I34" i="1"/>
  <c r="B35" i="1"/>
  <c r="C35" i="1"/>
  <c r="I35" i="1"/>
  <c r="B36" i="1"/>
  <c r="C36" i="1"/>
  <c r="I36" i="1"/>
  <c r="B37" i="1"/>
  <c r="C37" i="1"/>
  <c r="I37" i="1"/>
  <c r="B38" i="1"/>
  <c r="C38" i="1"/>
  <c r="I38" i="1"/>
  <c r="B39" i="1"/>
  <c r="C39" i="1"/>
  <c r="I39" i="1"/>
  <c r="B40" i="1"/>
  <c r="C40" i="1"/>
  <c r="I40" i="1"/>
  <c r="B41" i="1"/>
  <c r="C41" i="1"/>
  <c r="I41" i="1"/>
  <c r="B42" i="1"/>
  <c r="C42" i="1"/>
  <c r="I42" i="1"/>
  <c r="B43" i="1"/>
  <c r="C43" i="1"/>
  <c r="I43" i="1"/>
  <c r="B44" i="1"/>
  <c r="C44" i="1"/>
  <c r="I44" i="1"/>
  <c r="B45" i="1"/>
  <c r="C45" i="1"/>
  <c r="I45" i="1"/>
  <c r="B46" i="1"/>
  <c r="C46" i="1"/>
  <c r="I46" i="1"/>
  <c r="B47" i="1"/>
  <c r="C47" i="1"/>
  <c r="I47" i="1"/>
  <c r="B48" i="1"/>
  <c r="C48" i="1"/>
  <c r="I48" i="1"/>
  <c r="B49" i="1"/>
  <c r="C49" i="1"/>
  <c r="I49" i="1"/>
  <c r="B50" i="1"/>
  <c r="C50" i="1"/>
  <c r="I50" i="1"/>
  <c r="B51" i="1"/>
  <c r="C51" i="1"/>
  <c r="I51" i="1"/>
  <c r="B52" i="1"/>
  <c r="C52" i="1"/>
  <c r="I52" i="1"/>
  <c r="B53" i="1"/>
  <c r="C53" i="1"/>
  <c r="I53" i="1"/>
  <c r="B54" i="1"/>
  <c r="C54" i="1"/>
  <c r="I54" i="1"/>
  <c r="B55" i="1"/>
  <c r="C55" i="1"/>
  <c r="I55" i="1"/>
  <c r="B56" i="1"/>
  <c r="C56" i="1"/>
  <c r="I56" i="1"/>
  <c r="B57" i="1"/>
  <c r="C57" i="1"/>
  <c r="I57" i="1"/>
  <c r="B58" i="1"/>
  <c r="C58" i="1"/>
  <c r="I58" i="1"/>
  <c r="B59" i="1"/>
  <c r="C59" i="1"/>
  <c r="I59" i="1"/>
  <c r="B60" i="1"/>
  <c r="C60" i="1"/>
  <c r="I60" i="1"/>
  <c r="B61" i="1"/>
  <c r="C61" i="1"/>
  <c r="I61" i="1"/>
  <c r="B62" i="1"/>
  <c r="C62" i="1"/>
  <c r="I62" i="1"/>
  <c r="B63" i="1"/>
  <c r="C63" i="1"/>
  <c r="I63" i="1"/>
  <c r="B64" i="1"/>
  <c r="C64" i="1"/>
  <c r="I64" i="1"/>
  <c r="B65" i="1"/>
  <c r="C65" i="1"/>
  <c r="I65" i="1"/>
  <c r="B66" i="1"/>
  <c r="C66" i="1"/>
  <c r="I66" i="1"/>
  <c r="B67" i="1"/>
  <c r="C67" i="1"/>
  <c r="I67" i="1"/>
  <c r="B68" i="1"/>
  <c r="C68" i="1"/>
  <c r="I68" i="1"/>
  <c r="B69" i="1"/>
  <c r="C69" i="1"/>
  <c r="I69" i="1"/>
  <c r="B70" i="1"/>
  <c r="C70" i="1"/>
  <c r="I70" i="1"/>
  <c r="B71" i="1"/>
  <c r="C71" i="1"/>
  <c r="I71" i="1"/>
  <c r="B72" i="1"/>
  <c r="C72" i="1"/>
  <c r="I72" i="1"/>
  <c r="B73" i="1"/>
  <c r="C73" i="1"/>
  <c r="I73" i="1"/>
  <c r="B74" i="1"/>
  <c r="C74" i="1"/>
  <c r="I74" i="1"/>
  <c r="B75" i="1"/>
  <c r="C75" i="1"/>
  <c r="I75" i="1"/>
  <c r="B76" i="1"/>
  <c r="C76" i="1"/>
  <c r="I76" i="1"/>
  <c r="B77" i="1"/>
  <c r="C77" i="1"/>
  <c r="I77" i="1"/>
  <c r="B78" i="1"/>
  <c r="C78" i="1"/>
  <c r="I78" i="1"/>
  <c r="B79" i="1"/>
  <c r="C79" i="1"/>
  <c r="I79" i="1"/>
  <c r="B80" i="1"/>
  <c r="C80" i="1"/>
  <c r="I80" i="1"/>
  <c r="B81" i="1"/>
  <c r="C81" i="1"/>
  <c r="I81" i="1"/>
  <c r="B82" i="1"/>
  <c r="C82" i="1"/>
  <c r="I82" i="1"/>
  <c r="B83" i="1"/>
  <c r="C83" i="1"/>
  <c r="I83" i="1"/>
  <c r="B84" i="1"/>
  <c r="C84" i="1"/>
  <c r="I84" i="1"/>
  <c r="B85" i="1"/>
  <c r="C85" i="1"/>
  <c r="I85" i="1"/>
  <c r="B86" i="1"/>
  <c r="C86" i="1"/>
  <c r="I86" i="1"/>
  <c r="B87" i="1"/>
  <c r="C87" i="1"/>
  <c r="I87" i="1"/>
  <c r="B88" i="1"/>
  <c r="C88" i="1"/>
  <c r="I88" i="1"/>
  <c r="B89" i="1"/>
  <c r="C89" i="1"/>
  <c r="I89" i="1"/>
  <c r="B90" i="1"/>
  <c r="C90" i="1"/>
  <c r="I90" i="1"/>
  <c r="B91" i="1"/>
  <c r="C91" i="1"/>
  <c r="I91" i="1"/>
  <c r="B92" i="1"/>
  <c r="C92" i="1"/>
  <c r="I92" i="1"/>
  <c r="B93" i="1"/>
  <c r="C93" i="1"/>
  <c r="I93" i="1"/>
  <c r="B94" i="1"/>
  <c r="C94" i="1"/>
  <c r="I94" i="1"/>
  <c r="B95" i="1"/>
  <c r="C95" i="1"/>
  <c r="I95" i="1"/>
  <c r="B96" i="1"/>
  <c r="C96" i="1"/>
  <c r="I96" i="1"/>
  <c r="B97" i="1"/>
  <c r="C97" i="1"/>
  <c r="I97" i="1"/>
  <c r="B98" i="1"/>
  <c r="C98" i="1"/>
  <c r="I98" i="1"/>
  <c r="B99" i="1"/>
  <c r="C99" i="1"/>
  <c r="I99" i="1"/>
  <c r="B100" i="1"/>
  <c r="C100" i="1"/>
  <c r="I100" i="1"/>
  <c r="B101" i="1"/>
  <c r="C101" i="1"/>
  <c r="I101" i="1"/>
  <c r="B102" i="1"/>
  <c r="C102" i="1"/>
  <c r="I102" i="1"/>
  <c r="B103" i="1"/>
  <c r="C103" i="1"/>
  <c r="I103" i="1"/>
  <c r="B104" i="1"/>
  <c r="C104" i="1"/>
  <c r="I104" i="1"/>
  <c r="B105" i="1"/>
  <c r="C105" i="1"/>
  <c r="I105" i="1"/>
  <c r="B106" i="1"/>
  <c r="C106" i="1"/>
  <c r="I106" i="1"/>
  <c r="B107" i="1"/>
  <c r="C107" i="1"/>
  <c r="I107" i="1"/>
  <c r="B108" i="1"/>
  <c r="C108" i="1"/>
  <c r="I108" i="1"/>
  <c r="B109" i="1"/>
  <c r="C109" i="1"/>
  <c r="I109" i="1"/>
  <c r="B110" i="1"/>
  <c r="C110" i="1"/>
  <c r="I110" i="1"/>
  <c r="B111" i="1"/>
  <c r="C111" i="1"/>
  <c r="I111" i="1"/>
  <c r="B112" i="1"/>
  <c r="C112" i="1"/>
  <c r="I112" i="1"/>
  <c r="B113" i="1"/>
  <c r="C113" i="1"/>
  <c r="I113" i="1"/>
  <c r="B114" i="1"/>
  <c r="C114" i="1"/>
  <c r="I114" i="1"/>
  <c r="B115" i="1"/>
  <c r="C115" i="1"/>
  <c r="I115" i="1"/>
  <c r="B116" i="1"/>
  <c r="C116" i="1"/>
  <c r="I116" i="1"/>
  <c r="B117" i="1"/>
  <c r="C117" i="1"/>
  <c r="I117" i="1"/>
  <c r="B118" i="1"/>
  <c r="C118" i="1"/>
  <c r="I118" i="1"/>
  <c r="B119" i="1"/>
  <c r="C119" i="1"/>
  <c r="I119" i="1"/>
  <c r="B120" i="1"/>
  <c r="C120" i="1"/>
  <c r="I120" i="1"/>
  <c r="B121" i="1"/>
  <c r="C121" i="1"/>
  <c r="I121" i="1"/>
  <c r="B122" i="1"/>
  <c r="C122" i="1"/>
  <c r="I122" i="1"/>
  <c r="B123" i="1"/>
  <c r="C123" i="1"/>
  <c r="I123" i="1"/>
  <c r="B124" i="1"/>
  <c r="C124" i="1"/>
  <c r="I124" i="1"/>
  <c r="B125" i="1"/>
  <c r="C125" i="1"/>
  <c r="I125" i="1"/>
  <c r="B126" i="1"/>
  <c r="C126" i="1"/>
  <c r="I126" i="1"/>
  <c r="B127" i="1"/>
  <c r="C127" i="1"/>
  <c r="I127" i="1"/>
  <c r="B128" i="1"/>
  <c r="C128" i="1"/>
  <c r="I128" i="1"/>
  <c r="B129" i="1"/>
  <c r="C129" i="1"/>
  <c r="I129" i="1"/>
  <c r="B130" i="1"/>
  <c r="C130" i="1"/>
  <c r="I130" i="1"/>
  <c r="B131" i="1"/>
  <c r="C131" i="1"/>
  <c r="I131" i="1"/>
  <c r="B132" i="1"/>
  <c r="C132" i="1"/>
  <c r="I132" i="1"/>
  <c r="B133" i="1"/>
  <c r="C133" i="1"/>
  <c r="I133" i="1"/>
  <c r="B134" i="1"/>
  <c r="C134" i="1"/>
  <c r="I134" i="1"/>
  <c r="B135" i="1"/>
  <c r="C135" i="1"/>
  <c r="I135" i="1"/>
  <c r="B136" i="1"/>
  <c r="C136" i="1"/>
  <c r="I136" i="1"/>
  <c r="B137" i="1"/>
  <c r="C137" i="1"/>
  <c r="I137" i="1"/>
  <c r="B138" i="1"/>
  <c r="C138" i="1"/>
  <c r="I138" i="1"/>
  <c r="B139" i="1"/>
  <c r="C139" i="1"/>
  <c r="I139" i="1"/>
  <c r="B140" i="1"/>
  <c r="C140" i="1"/>
  <c r="I140" i="1"/>
  <c r="B141" i="1"/>
  <c r="C141" i="1"/>
  <c r="I141" i="1"/>
  <c r="B142" i="1"/>
  <c r="C142" i="1"/>
  <c r="I142" i="1"/>
  <c r="B143" i="1"/>
  <c r="C143" i="1"/>
  <c r="I143" i="1"/>
  <c r="B144" i="1"/>
  <c r="C144" i="1"/>
  <c r="I144" i="1"/>
  <c r="B145" i="1"/>
  <c r="C145" i="1"/>
  <c r="I145" i="1"/>
  <c r="B146" i="1"/>
  <c r="C146" i="1"/>
  <c r="I146" i="1"/>
  <c r="B147" i="1"/>
  <c r="C147" i="1"/>
  <c r="I147" i="1"/>
  <c r="B148" i="1"/>
  <c r="C148" i="1"/>
  <c r="I148" i="1"/>
  <c r="B149" i="1"/>
  <c r="C149" i="1"/>
  <c r="I149" i="1"/>
  <c r="B150" i="1"/>
  <c r="C150" i="1"/>
  <c r="I150" i="1"/>
  <c r="B151" i="1"/>
  <c r="C151" i="1"/>
  <c r="I151" i="1"/>
  <c r="B152" i="1"/>
  <c r="C152" i="1"/>
  <c r="I152" i="1"/>
  <c r="B153" i="1"/>
  <c r="C153" i="1"/>
  <c r="I153" i="1"/>
  <c r="B154" i="1"/>
  <c r="C154" i="1"/>
  <c r="I154" i="1"/>
  <c r="B155" i="1"/>
  <c r="C155" i="1"/>
  <c r="I155" i="1"/>
  <c r="B156" i="1"/>
  <c r="C156" i="1"/>
  <c r="I156" i="1"/>
  <c r="B157" i="1"/>
  <c r="C157" i="1"/>
  <c r="I157" i="1"/>
  <c r="B158" i="1"/>
  <c r="C158" i="1"/>
  <c r="I158" i="1"/>
  <c r="B159" i="1"/>
  <c r="C159" i="1"/>
  <c r="I159" i="1"/>
  <c r="B160" i="1"/>
  <c r="C160" i="1"/>
  <c r="I160" i="1"/>
  <c r="B161" i="1"/>
  <c r="C161" i="1"/>
  <c r="I161" i="1"/>
  <c r="B162" i="1"/>
  <c r="C162" i="1"/>
  <c r="I162" i="1"/>
  <c r="B163" i="1"/>
  <c r="C163" i="1"/>
  <c r="I163" i="1"/>
  <c r="B164" i="1"/>
  <c r="C164" i="1"/>
  <c r="I164" i="1"/>
  <c r="B165" i="1"/>
  <c r="C165" i="1"/>
  <c r="I165" i="1"/>
  <c r="B166" i="1"/>
  <c r="C166" i="1"/>
  <c r="I166" i="1"/>
  <c r="B167" i="1"/>
  <c r="C167" i="1"/>
  <c r="I167" i="1"/>
  <c r="B168" i="1"/>
  <c r="C168" i="1"/>
  <c r="I168" i="1"/>
  <c r="B169" i="1"/>
  <c r="C169" i="1"/>
  <c r="I169" i="1"/>
  <c r="B170" i="1"/>
  <c r="C170" i="1"/>
  <c r="I170" i="1"/>
  <c r="B171" i="1"/>
  <c r="C171" i="1"/>
  <c r="I171" i="1"/>
  <c r="B172" i="1"/>
  <c r="C172" i="1"/>
  <c r="I172" i="1"/>
  <c r="B173" i="1"/>
  <c r="C173" i="1"/>
  <c r="I173" i="1"/>
  <c r="B174" i="1"/>
  <c r="C174" i="1"/>
  <c r="I174" i="1"/>
  <c r="B175" i="1"/>
  <c r="C175" i="1"/>
  <c r="I175" i="1"/>
  <c r="B176" i="1"/>
  <c r="C176" i="1"/>
  <c r="I176" i="1"/>
  <c r="B177" i="1"/>
  <c r="C177" i="1"/>
  <c r="I177" i="1"/>
  <c r="B178" i="1"/>
  <c r="C178" i="1"/>
  <c r="I178" i="1"/>
  <c r="B179" i="1"/>
  <c r="C179" i="1"/>
  <c r="I179" i="1"/>
  <c r="B180" i="1"/>
  <c r="C180" i="1"/>
  <c r="I180" i="1"/>
  <c r="B181" i="1"/>
  <c r="C181" i="1"/>
  <c r="I181" i="1"/>
  <c r="B182" i="1"/>
  <c r="C182" i="1"/>
  <c r="I182" i="1"/>
  <c r="B183" i="1"/>
  <c r="C183" i="1"/>
  <c r="I183" i="1"/>
  <c r="B184" i="1"/>
  <c r="C184" i="1"/>
  <c r="I184" i="1"/>
  <c r="B185" i="1"/>
  <c r="C185" i="1"/>
  <c r="I185" i="1"/>
  <c r="B186" i="1"/>
  <c r="C186" i="1"/>
  <c r="I186" i="1"/>
  <c r="B187" i="1"/>
  <c r="C187" i="1"/>
  <c r="I187" i="1"/>
  <c r="B188" i="1"/>
  <c r="C188" i="1"/>
  <c r="I188" i="1"/>
  <c r="B189" i="1"/>
  <c r="C189" i="1"/>
  <c r="I189" i="1"/>
  <c r="B190" i="1"/>
  <c r="C190" i="1"/>
  <c r="I190" i="1"/>
  <c r="B191" i="1"/>
  <c r="C191" i="1"/>
  <c r="I191" i="1"/>
  <c r="B192" i="1"/>
  <c r="C192" i="1"/>
  <c r="I192" i="1"/>
  <c r="B193" i="1"/>
  <c r="C193" i="1"/>
  <c r="I193" i="1"/>
  <c r="B194" i="1"/>
  <c r="C194" i="1"/>
  <c r="I194" i="1"/>
  <c r="B195" i="1"/>
  <c r="C195" i="1"/>
  <c r="I195" i="1"/>
  <c r="B196" i="1"/>
  <c r="C196" i="1"/>
  <c r="I196" i="1"/>
  <c r="B197" i="1"/>
  <c r="C197" i="1"/>
  <c r="I197" i="1"/>
  <c r="B198" i="1"/>
  <c r="C198" i="1"/>
  <c r="I198" i="1"/>
  <c r="B199" i="1"/>
  <c r="C199" i="1"/>
  <c r="I199" i="1"/>
  <c r="B200" i="1"/>
  <c r="C200" i="1"/>
  <c r="I200" i="1"/>
  <c r="B201" i="1"/>
  <c r="C201" i="1"/>
  <c r="I201" i="1"/>
  <c r="B202" i="1"/>
  <c r="C202" i="1"/>
  <c r="I202" i="1"/>
  <c r="B203" i="1"/>
  <c r="C203" i="1"/>
  <c r="I203" i="1"/>
  <c r="B204" i="1"/>
  <c r="C204" i="1"/>
  <c r="I204" i="1"/>
  <c r="B205" i="1"/>
  <c r="C205" i="1"/>
  <c r="I205" i="1"/>
  <c r="B206" i="1"/>
  <c r="C206" i="1"/>
  <c r="I206" i="1"/>
  <c r="B207" i="1"/>
  <c r="C207" i="1"/>
  <c r="I207" i="1"/>
  <c r="B208" i="1"/>
  <c r="C208" i="1"/>
  <c r="I208" i="1"/>
  <c r="B209" i="1"/>
  <c r="C209" i="1"/>
  <c r="I209" i="1"/>
  <c r="B210" i="1"/>
  <c r="C210" i="1"/>
  <c r="I210" i="1"/>
  <c r="B211" i="1"/>
  <c r="C211" i="1"/>
  <c r="I211" i="1"/>
  <c r="B212" i="1"/>
  <c r="C212" i="1"/>
  <c r="I212" i="1"/>
  <c r="B213" i="1"/>
  <c r="C213" i="1"/>
  <c r="I213" i="1"/>
  <c r="B214" i="1"/>
  <c r="C214" i="1"/>
  <c r="I214" i="1"/>
  <c r="B215" i="1"/>
  <c r="C215" i="1"/>
  <c r="I215" i="1"/>
  <c r="B216" i="1"/>
  <c r="C216" i="1"/>
  <c r="I216" i="1"/>
  <c r="B217" i="1"/>
  <c r="C217" i="1"/>
  <c r="I217" i="1"/>
  <c r="B218" i="1"/>
  <c r="C218" i="1"/>
  <c r="I218" i="1"/>
  <c r="B219" i="1"/>
  <c r="C219" i="1"/>
  <c r="I219" i="1"/>
  <c r="B220" i="1"/>
  <c r="C220" i="1"/>
  <c r="I220" i="1"/>
  <c r="B221" i="1"/>
  <c r="C221" i="1"/>
  <c r="I221" i="1"/>
  <c r="B222" i="1"/>
  <c r="C222" i="1"/>
  <c r="I222" i="1"/>
  <c r="B223" i="1"/>
  <c r="C223" i="1"/>
  <c r="I223" i="1"/>
  <c r="B224" i="1"/>
  <c r="C224" i="1"/>
  <c r="I224" i="1"/>
  <c r="B225" i="1"/>
  <c r="C225" i="1"/>
  <c r="I225" i="1"/>
  <c r="B226" i="1"/>
  <c r="C226" i="1"/>
  <c r="I226" i="1"/>
  <c r="B227" i="1"/>
  <c r="C227" i="1"/>
  <c r="I227" i="1"/>
  <c r="B228" i="1"/>
  <c r="C228" i="1"/>
  <c r="I228" i="1"/>
  <c r="B229" i="1"/>
  <c r="C229" i="1"/>
  <c r="I229" i="1"/>
  <c r="B230" i="1"/>
  <c r="C230" i="1"/>
  <c r="I230" i="1"/>
  <c r="B231" i="1"/>
  <c r="C231" i="1"/>
  <c r="I231" i="1"/>
  <c r="B232" i="1"/>
  <c r="C232" i="1"/>
  <c r="I232" i="1"/>
  <c r="B233" i="1"/>
  <c r="C233" i="1"/>
  <c r="I233" i="1"/>
  <c r="B234" i="1"/>
  <c r="C234" i="1"/>
  <c r="I234" i="1"/>
  <c r="B235" i="1"/>
  <c r="C235" i="1"/>
  <c r="I235" i="1"/>
  <c r="B236" i="1"/>
  <c r="C236" i="1"/>
  <c r="I236" i="1"/>
  <c r="B237" i="1"/>
  <c r="C237" i="1"/>
  <c r="I237" i="1"/>
  <c r="B238" i="1"/>
  <c r="C238" i="1"/>
  <c r="I238" i="1"/>
  <c r="B239" i="1"/>
  <c r="C239" i="1"/>
  <c r="I239" i="1"/>
  <c r="B240" i="1"/>
  <c r="C240" i="1"/>
  <c r="I240" i="1"/>
  <c r="B241" i="1"/>
  <c r="C241" i="1"/>
  <c r="I241" i="1"/>
  <c r="B242" i="1"/>
  <c r="C242" i="1"/>
  <c r="I242" i="1"/>
  <c r="B243" i="1"/>
  <c r="C243" i="1"/>
  <c r="I243" i="1"/>
  <c r="B244" i="1"/>
  <c r="C244" i="1"/>
  <c r="I244" i="1"/>
  <c r="B245" i="1"/>
  <c r="C245" i="1"/>
  <c r="I245" i="1"/>
  <c r="B246" i="1"/>
  <c r="C246" i="1"/>
  <c r="I246" i="1"/>
  <c r="B247" i="1"/>
  <c r="C247" i="1"/>
  <c r="I247" i="1"/>
  <c r="B248" i="1"/>
  <c r="C248" i="1"/>
  <c r="I248" i="1"/>
  <c r="B249" i="1"/>
  <c r="C249" i="1"/>
  <c r="I249" i="1"/>
  <c r="B250" i="1"/>
  <c r="C250" i="1"/>
  <c r="I250" i="1"/>
  <c r="B251" i="1"/>
  <c r="C251" i="1"/>
  <c r="I251" i="1"/>
  <c r="B252" i="1"/>
  <c r="C252" i="1"/>
  <c r="I252" i="1"/>
  <c r="B253" i="1"/>
  <c r="C253" i="1"/>
  <c r="I253" i="1"/>
  <c r="B254" i="1"/>
  <c r="C254" i="1"/>
  <c r="I254" i="1"/>
  <c r="B255" i="1"/>
  <c r="C255" i="1"/>
  <c r="I255" i="1"/>
  <c r="B256" i="1"/>
  <c r="C256" i="1"/>
  <c r="I256" i="1"/>
  <c r="B257" i="1"/>
  <c r="C257" i="1"/>
  <c r="I257" i="1"/>
  <c r="B258" i="1"/>
  <c r="C258" i="1"/>
  <c r="I258" i="1"/>
  <c r="B259" i="1"/>
  <c r="C259" i="1"/>
  <c r="I259" i="1"/>
  <c r="B260" i="1"/>
  <c r="C260" i="1"/>
  <c r="I260" i="1"/>
  <c r="B261" i="1"/>
  <c r="C261" i="1"/>
  <c r="I261" i="1"/>
  <c r="B262" i="1"/>
  <c r="C262" i="1"/>
  <c r="I262" i="1"/>
  <c r="B263" i="1"/>
  <c r="C263" i="1"/>
  <c r="I263" i="1"/>
  <c r="B264" i="1"/>
  <c r="C264" i="1"/>
  <c r="I264" i="1"/>
  <c r="B265" i="1"/>
  <c r="C265" i="1"/>
  <c r="I265" i="1"/>
  <c r="B266" i="1"/>
  <c r="C266" i="1"/>
  <c r="I266" i="1"/>
  <c r="B267" i="1"/>
  <c r="C267" i="1"/>
  <c r="I267" i="1"/>
  <c r="B268" i="1"/>
  <c r="C268" i="1"/>
  <c r="I268" i="1"/>
  <c r="B269" i="1"/>
  <c r="C269" i="1"/>
  <c r="I269" i="1"/>
  <c r="B270" i="1"/>
  <c r="C270" i="1"/>
  <c r="I270" i="1"/>
  <c r="B271" i="1"/>
  <c r="C271" i="1"/>
  <c r="I271" i="1"/>
  <c r="B272" i="1"/>
  <c r="C272" i="1"/>
  <c r="I272" i="1"/>
  <c r="B273" i="1"/>
  <c r="C273" i="1"/>
  <c r="I273" i="1"/>
  <c r="B274" i="1"/>
  <c r="C274" i="1"/>
  <c r="I274" i="1"/>
  <c r="B275" i="1"/>
  <c r="C275" i="1"/>
  <c r="I275" i="1"/>
  <c r="B276" i="1"/>
  <c r="C276" i="1"/>
  <c r="I276" i="1"/>
  <c r="B277" i="1"/>
  <c r="C277" i="1"/>
  <c r="I277" i="1"/>
  <c r="B278" i="1"/>
  <c r="C278" i="1"/>
  <c r="I278" i="1"/>
  <c r="B279" i="1"/>
  <c r="C279" i="1"/>
  <c r="I279" i="1"/>
  <c r="B280" i="1"/>
  <c r="C280" i="1"/>
  <c r="I280" i="1"/>
  <c r="B281" i="1"/>
  <c r="C281" i="1"/>
  <c r="I281" i="1"/>
  <c r="B282" i="1"/>
  <c r="C282" i="1"/>
  <c r="I282" i="1"/>
  <c r="B283" i="1"/>
  <c r="C283" i="1"/>
  <c r="I283" i="1"/>
  <c r="B284" i="1"/>
  <c r="C284" i="1"/>
  <c r="I284" i="1"/>
  <c r="B285" i="1"/>
  <c r="C285" i="1"/>
  <c r="I285" i="1"/>
  <c r="B286" i="1"/>
  <c r="C286" i="1"/>
  <c r="I286" i="1"/>
  <c r="B287" i="1"/>
  <c r="C287" i="1"/>
  <c r="I287" i="1"/>
  <c r="B288" i="1"/>
  <c r="C288" i="1"/>
  <c r="I288" i="1"/>
  <c r="B289" i="1"/>
  <c r="C289" i="1"/>
  <c r="I289" i="1"/>
  <c r="B290" i="1"/>
  <c r="C290" i="1"/>
  <c r="I290" i="1"/>
  <c r="B291" i="1"/>
  <c r="C291" i="1"/>
  <c r="I291" i="1"/>
  <c r="B292" i="1"/>
  <c r="C292" i="1"/>
  <c r="I292" i="1"/>
  <c r="B293" i="1"/>
  <c r="C293" i="1"/>
  <c r="I293" i="1"/>
  <c r="B294" i="1"/>
  <c r="C294" i="1"/>
  <c r="I294" i="1"/>
  <c r="B295" i="1"/>
  <c r="C295" i="1"/>
  <c r="I295" i="1"/>
  <c r="B296" i="1"/>
  <c r="C296" i="1"/>
  <c r="I296" i="1"/>
  <c r="B297" i="1"/>
  <c r="C297" i="1"/>
  <c r="I297" i="1"/>
  <c r="B298" i="1"/>
  <c r="C298" i="1"/>
  <c r="I298" i="1"/>
  <c r="B299" i="1"/>
  <c r="C299" i="1"/>
  <c r="I299" i="1"/>
  <c r="B300" i="1"/>
  <c r="C300" i="1"/>
  <c r="I300" i="1"/>
  <c r="B301" i="1"/>
  <c r="C301" i="1"/>
  <c r="I301" i="1"/>
  <c r="B302" i="1"/>
  <c r="C302" i="1"/>
  <c r="I302" i="1"/>
  <c r="B303" i="1"/>
  <c r="C303" i="1"/>
  <c r="I303" i="1"/>
  <c r="B304" i="1"/>
  <c r="C304" i="1"/>
  <c r="I304" i="1"/>
  <c r="B305" i="1"/>
  <c r="C305" i="1"/>
  <c r="I305" i="1"/>
  <c r="B306" i="1"/>
  <c r="C306" i="1"/>
  <c r="I306" i="1"/>
  <c r="B307" i="1"/>
  <c r="C307" i="1"/>
  <c r="I307" i="1"/>
  <c r="B308" i="1"/>
  <c r="C308" i="1"/>
  <c r="I308" i="1"/>
  <c r="B309" i="1"/>
  <c r="C309" i="1"/>
  <c r="I309" i="1"/>
  <c r="B310" i="1"/>
  <c r="C310" i="1"/>
  <c r="I310" i="1"/>
  <c r="B311" i="1"/>
  <c r="C311" i="1"/>
  <c r="I311" i="1"/>
  <c r="B312" i="1"/>
  <c r="C312" i="1"/>
  <c r="I312" i="1"/>
  <c r="B313" i="1"/>
  <c r="C313" i="1"/>
  <c r="I313" i="1"/>
  <c r="B314" i="1"/>
  <c r="C314" i="1"/>
  <c r="I314" i="1"/>
  <c r="B315" i="1"/>
  <c r="C315" i="1"/>
  <c r="I315" i="1"/>
  <c r="B316" i="1"/>
  <c r="C316" i="1"/>
  <c r="I316" i="1"/>
  <c r="B317" i="1"/>
  <c r="C317" i="1"/>
  <c r="I317" i="1"/>
  <c r="B318" i="1"/>
  <c r="C318" i="1"/>
  <c r="I318" i="1"/>
  <c r="B319" i="1"/>
  <c r="C319" i="1"/>
  <c r="I319" i="1"/>
  <c r="B320" i="1"/>
  <c r="C320" i="1"/>
  <c r="I320" i="1"/>
  <c r="B321" i="1"/>
  <c r="C321" i="1"/>
  <c r="I321" i="1"/>
  <c r="B322" i="1"/>
  <c r="C322" i="1"/>
  <c r="I322" i="1"/>
  <c r="B323" i="1"/>
  <c r="C323" i="1"/>
  <c r="I323" i="1"/>
  <c r="B324" i="1"/>
  <c r="C324" i="1"/>
  <c r="I324" i="1"/>
  <c r="B325" i="1"/>
  <c r="C325" i="1"/>
  <c r="I325" i="1"/>
  <c r="B326" i="1"/>
  <c r="C326" i="1"/>
  <c r="I326" i="1"/>
  <c r="B327" i="1"/>
  <c r="C327" i="1"/>
  <c r="I327" i="1"/>
  <c r="B328" i="1"/>
  <c r="C328" i="1"/>
  <c r="I328" i="1"/>
  <c r="B329" i="1"/>
  <c r="C329" i="1"/>
  <c r="I329" i="1"/>
  <c r="B330" i="1"/>
  <c r="C330" i="1"/>
  <c r="I330" i="1"/>
  <c r="B331" i="1"/>
  <c r="C331" i="1"/>
  <c r="I331" i="1"/>
  <c r="B332" i="1"/>
  <c r="C332" i="1"/>
  <c r="I332" i="1"/>
  <c r="B333" i="1"/>
  <c r="C333" i="1"/>
  <c r="I333" i="1"/>
  <c r="B334" i="1"/>
  <c r="C334" i="1"/>
  <c r="I334" i="1"/>
  <c r="B335" i="1"/>
  <c r="C335" i="1"/>
  <c r="I335" i="1"/>
  <c r="B336" i="1"/>
  <c r="C336" i="1"/>
  <c r="I336" i="1"/>
  <c r="B337" i="1"/>
  <c r="C337" i="1"/>
  <c r="I337" i="1"/>
  <c r="B338" i="1"/>
  <c r="C338" i="1"/>
  <c r="I338" i="1"/>
  <c r="B339" i="1"/>
  <c r="C339" i="1"/>
  <c r="I339" i="1"/>
  <c r="B340" i="1"/>
  <c r="C340" i="1"/>
  <c r="I340" i="1"/>
  <c r="B341" i="1"/>
  <c r="C341" i="1"/>
  <c r="I341" i="1"/>
  <c r="B342" i="1"/>
  <c r="C342" i="1"/>
  <c r="I342" i="1"/>
  <c r="B343" i="1"/>
  <c r="C343" i="1"/>
  <c r="I343" i="1"/>
  <c r="B344" i="1"/>
  <c r="C344" i="1"/>
  <c r="I344" i="1"/>
  <c r="B345" i="1"/>
  <c r="C345" i="1"/>
  <c r="I345" i="1"/>
  <c r="B346" i="1"/>
  <c r="C346" i="1"/>
  <c r="I346" i="1"/>
  <c r="B347" i="1"/>
  <c r="C347" i="1"/>
  <c r="I347" i="1"/>
  <c r="B348" i="1"/>
  <c r="C348" i="1"/>
  <c r="I348" i="1"/>
  <c r="B349" i="1"/>
  <c r="C349" i="1"/>
  <c r="I349" i="1"/>
  <c r="B350" i="1"/>
  <c r="C350" i="1"/>
  <c r="I350" i="1"/>
  <c r="B351" i="1"/>
  <c r="C351" i="1"/>
  <c r="I351" i="1"/>
  <c r="B352" i="1"/>
  <c r="C352" i="1"/>
  <c r="I352" i="1"/>
  <c r="B353" i="1"/>
  <c r="C353" i="1"/>
  <c r="I353" i="1"/>
  <c r="B354" i="1"/>
  <c r="C354" i="1"/>
  <c r="I354" i="1"/>
  <c r="B355" i="1"/>
  <c r="C355" i="1"/>
  <c r="I355" i="1"/>
  <c r="B356" i="1"/>
  <c r="C356" i="1"/>
  <c r="I356" i="1"/>
  <c r="B357" i="1"/>
  <c r="C357" i="1"/>
  <c r="I357" i="1"/>
  <c r="B358" i="1"/>
  <c r="C358" i="1"/>
  <c r="I358" i="1"/>
  <c r="B359" i="1"/>
  <c r="C359" i="1"/>
  <c r="I359" i="1"/>
  <c r="B360" i="1"/>
  <c r="C360" i="1"/>
  <c r="I360" i="1"/>
  <c r="B361" i="1"/>
  <c r="C361" i="1"/>
  <c r="I361" i="1"/>
  <c r="B362" i="1"/>
  <c r="C362" i="1"/>
  <c r="I362" i="1"/>
  <c r="B363" i="1"/>
  <c r="C363" i="1"/>
  <c r="I363" i="1"/>
  <c r="B364" i="1"/>
  <c r="C364" i="1"/>
  <c r="I364" i="1"/>
  <c r="B365" i="1"/>
  <c r="C365" i="1"/>
  <c r="I365" i="1"/>
  <c r="B366" i="1"/>
  <c r="C366" i="1"/>
  <c r="I366" i="1"/>
  <c r="B367" i="1"/>
  <c r="C367" i="1"/>
  <c r="I367" i="1"/>
  <c r="B368" i="1"/>
  <c r="C368" i="1"/>
  <c r="I368" i="1"/>
  <c r="B369" i="1"/>
  <c r="C369" i="1"/>
  <c r="I369" i="1"/>
  <c r="B370" i="1"/>
  <c r="C370" i="1"/>
  <c r="I370" i="1"/>
  <c r="B371" i="1"/>
  <c r="C371" i="1"/>
  <c r="I371" i="1"/>
  <c r="B372" i="1"/>
  <c r="C372" i="1"/>
  <c r="I372" i="1"/>
  <c r="B373" i="1"/>
  <c r="C373" i="1"/>
  <c r="I373" i="1"/>
  <c r="B374" i="1"/>
  <c r="C374" i="1"/>
  <c r="I374" i="1"/>
  <c r="B375" i="1"/>
  <c r="C375" i="1"/>
  <c r="I375" i="1"/>
  <c r="B376" i="1"/>
  <c r="C376" i="1"/>
  <c r="I376" i="1"/>
  <c r="B377" i="1"/>
  <c r="C377" i="1"/>
  <c r="I377" i="1"/>
  <c r="B378" i="1"/>
  <c r="C378" i="1"/>
  <c r="I378" i="1"/>
  <c r="B379" i="1"/>
  <c r="C379" i="1"/>
  <c r="I379" i="1"/>
  <c r="B380" i="1"/>
  <c r="C380" i="1"/>
  <c r="I380" i="1"/>
  <c r="B381" i="1"/>
  <c r="C381" i="1"/>
  <c r="I381" i="1"/>
  <c r="B382" i="1"/>
  <c r="C382" i="1"/>
  <c r="I382" i="1"/>
  <c r="B383" i="1"/>
  <c r="C383" i="1"/>
  <c r="I383" i="1"/>
  <c r="B384" i="1"/>
  <c r="C384" i="1"/>
  <c r="I384" i="1"/>
  <c r="B385" i="1"/>
  <c r="C385" i="1"/>
  <c r="I385" i="1"/>
  <c r="B386" i="1"/>
  <c r="C386" i="1"/>
  <c r="I386" i="1"/>
  <c r="B387" i="1"/>
  <c r="C387" i="1"/>
  <c r="I387" i="1"/>
  <c r="B388" i="1"/>
  <c r="C388" i="1"/>
  <c r="I388" i="1"/>
  <c r="B389" i="1"/>
  <c r="C389" i="1"/>
  <c r="I389" i="1"/>
  <c r="B390" i="1"/>
  <c r="C390" i="1"/>
  <c r="I390" i="1"/>
  <c r="B391" i="1"/>
  <c r="C391" i="1"/>
  <c r="I391" i="1"/>
  <c r="B392" i="1"/>
  <c r="C392" i="1"/>
  <c r="I392" i="1"/>
  <c r="B393" i="1"/>
  <c r="C393" i="1"/>
  <c r="I393" i="1"/>
  <c r="B394" i="1"/>
  <c r="C394" i="1"/>
  <c r="I394" i="1"/>
  <c r="B395" i="1"/>
  <c r="C395" i="1"/>
  <c r="I395" i="1"/>
  <c r="B396" i="1"/>
  <c r="C396" i="1"/>
  <c r="I396" i="1"/>
  <c r="B397" i="1"/>
  <c r="C397" i="1"/>
  <c r="I397" i="1"/>
  <c r="B398" i="1"/>
  <c r="C398" i="1"/>
  <c r="I398" i="1"/>
  <c r="B399" i="1"/>
  <c r="C399" i="1"/>
  <c r="I399" i="1"/>
  <c r="B400" i="1"/>
  <c r="C400" i="1"/>
  <c r="I400" i="1"/>
  <c r="B401" i="1"/>
  <c r="C401" i="1"/>
  <c r="I401" i="1"/>
  <c r="B402" i="1"/>
  <c r="C402" i="1"/>
  <c r="I402" i="1"/>
  <c r="B403" i="1"/>
  <c r="C403" i="1"/>
  <c r="I403" i="1"/>
  <c r="B404" i="1"/>
  <c r="C404" i="1"/>
  <c r="I404" i="1"/>
  <c r="B405" i="1"/>
  <c r="C405" i="1"/>
  <c r="I405" i="1"/>
  <c r="B406" i="1"/>
  <c r="C406" i="1"/>
  <c r="I406" i="1"/>
  <c r="B407" i="1"/>
  <c r="C407" i="1"/>
  <c r="I407" i="1"/>
  <c r="B408" i="1"/>
  <c r="C408" i="1"/>
  <c r="I408" i="1"/>
  <c r="B409" i="1"/>
  <c r="C409" i="1"/>
  <c r="I409" i="1"/>
  <c r="B410" i="1"/>
  <c r="C410" i="1"/>
  <c r="I410" i="1"/>
  <c r="B411" i="1"/>
  <c r="C411" i="1"/>
  <c r="I411" i="1"/>
  <c r="B412" i="1"/>
  <c r="C412" i="1"/>
  <c r="I412" i="1"/>
  <c r="B413" i="1"/>
  <c r="C413" i="1"/>
  <c r="I413" i="1"/>
  <c r="B414" i="1"/>
  <c r="C414" i="1"/>
  <c r="I414" i="1"/>
  <c r="B415" i="1"/>
  <c r="C415" i="1"/>
  <c r="I415" i="1"/>
  <c r="B416" i="1"/>
  <c r="C416" i="1"/>
  <c r="I416" i="1"/>
  <c r="B417" i="1"/>
  <c r="C417" i="1"/>
  <c r="I417" i="1"/>
  <c r="B418" i="1"/>
  <c r="C418" i="1"/>
  <c r="I418" i="1"/>
  <c r="B419" i="1"/>
  <c r="C419" i="1"/>
  <c r="I419" i="1"/>
  <c r="B420" i="1"/>
  <c r="C420" i="1"/>
  <c r="I420" i="1"/>
  <c r="B421" i="1"/>
  <c r="C421" i="1"/>
  <c r="I421" i="1"/>
  <c r="B422" i="1"/>
  <c r="C422" i="1"/>
  <c r="I422" i="1"/>
  <c r="B423" i="1"/>
  <c r="C423" i="1"/>
  <c r="I423" i="1"/>
  <c r="B424" i="1"/>
  <c r="C424" i="1"/>
  <c r="I424" i="1"/>
  <c r="B425" i="1"/>
  <c r="C425" i="1"/>
  <c r="I425" i="1"/>
  <c r="B426" i="1"/>
  <c r="C426" i="1"/>
  <c r="I426" i="1"/>
  <c r="B427" i="1"/>
  <c r="C427" i="1"/>
  <c r="I427" i="1"/>
  <c r="B428" i="1"/>
  <c r="C428" i="1"/>
  <c r="I428" i="1"/>
  <c r="B429" i="1"/>
  <c r="C429" i="1"/>
  <c r="I429" i="1"/>
  <c r="B430" i="1"/>
  <c r="C430" i="1"/>
  <c r="I430" i="1"/>
  <c r="B431" i="1"/>
  <c r="C431" i="1"/>
  <c r="I431" i="1"/>
  <c r="B432" i="1"/>
  <c r="C432" i="1"/>
  <c r="I432" i="1"/>
  <c r="B433" i="1"/>
  <c r="C433" i="1"/>
  <c r="I433" i="1"/>
  <c r="B434" i="1"/>
  <c r="C434" i="1"/>
  <c r="I434" i="1"/>
  <c r="B435" i="1"/>
  <c r="C435" i="1"/>
  <c r="I435" i="1"/>
  <c r="B436" i="1"/>
  <c r="C436" i="1"/>
  <c r="I436" i="1"/>
  <c r="B437" i="1"/>
  <c r="C437" i="1"/>
  <c r="I437" i="1"/>
  <c r="B438" i="1"/>
  <c r="C438" i="1"/>
  <c r="I438" i="1"/>
  <c r="B439" i="1"/>
  <c r="C439" i="1"/>
  <c r="I439" i="1"/>
  <c r="B440" i="1"/>
  <c r="C440" i="1"/>
  <c r="I440" i="1"/>
  <c r="B441" i="1"/>
  <c r="C441" i="1"/>
  <c r="I441" i="1"/>
  <c r="B442" i="1"/>
  <c r="C442" i="1"/>
  <c r="I442" i="1"/>
  <c r="B443" i="1"/>
  <c r="C443" i="1"/>
  <c r="I443" i="1"/>
  <c r="B444" i="1"/>
  <c r="C444" i="1"/>
  <c r="I444" i="1"/>
  <c r="B445" i="1"/>
  <c r="C445" i="1"/>
  <c r="I445" i="1"/>
  <c r="B446" i="1"/>
  <c r="C446" i="1"/>
  <c r="I446" i="1"/>
  <c r="B447" i="1"/>
  <c r="C447" i="1"/>
  <c r="I447" i="1"/>
  <c r="B448" i="1"/>
  <c r="C448" i="1"/>
  <c r="I448" i="1"/>
  <c r="B449" i="1"/>
  <c r="C449" i="1"/>
  <c r="I449" i="1"/>
  <c r="B450" i="1"/>
  <c r="C450" i="1"/>
  <c r="I450" i="1"/>
  <c r="B451" i="1"/>
  <c r="C451" i="1"/>
  <c r="I451" i="1"/>
  <c r="B452" i="1"/>
  <c r="C452" i="1"/>
  <c r="I452" i="1"/>
  <c r="B453" i="1"/>
  <c r="C453" i="1"/>
  <c r="I453" i="1"/>
  <c r="B454" i="1"/>
  <c r="C454" i="1"/>
  <c r="I454" i="1"/>
  <c r="B455" i="1"/>
  <c r="C455" i="1"/>
  <c r="I455" i="1"/>
  <c r="B456" i="1"/>
  <c r="C456" i="1"/>
  <c r="I456" i="1"/>
  <c r="B457" i="1"/>
  <c r="C457" i="1"/>
  <c r="I457" i="1"/>
  <c r="B458" i="1"/>
  <c r="C458" i="1"/>
  <c r="I458" i="1"/>
  <c r="B459" i="1"/>
  <c r="C459" i="1"/>
  <c r="I459" i="1"/>
  <c r="B460" i="1"/>
  <c r="C460" i="1"/>
  <c r="I460" i="1"/>
  <c r="B461" i="1"/>
  <c r="C461" i="1"/>
  <c r="I461" i="1"/>
  <c r="B462" i="1"/>
  <c r="C462" i="1"/>
  <c r="I462" i="1"/>
  <c r="B463" i="1"/>
  <c r="C463" i="1"/>
  <c r="I463" i="1"/>
  <c r="B464" i="1"/>
  <c r="C464" i="1"/>
  <c r="I464" i="1"/>
  <c r="B465" i="1"/>
  <c r="C465" i="1"/>
  <c r="I465" i="1"/>
  <c r="B466" i="1"/>
  <c r="C466" i="1"/>
  <c r="I466" i="1"/>
  <c r="B467" i="1"/>
  <c r="C467" i="1"/>
  <c r="I467" i="1"/>
  <c r="B468" i="1"/>
  <c r="C468" i="1"/>
  <c r="I468" i="1"/>
  <c r="B469" i="1"/>
  <c r="C469" i="1"/>
  <c r="I469" i="1"/>
  <c r="B470" i="1"/>
  <c r="C470" i="1"/>
  <c r="I470" i="1"/>
  <c r="B471" i="1"/>
  <c r="C471" i="1"/>
  <c r="I471" i="1"/>
  <c r="B472" i="1"/>
  <c r="C472" i="1"/>
  <c r="I472" i="1"/>
  <c r="B473" i="1"/>
  <c r="C473" i="1"/>
  <c r="I473" i="1"/>
  <c r="B474" i="1"/>
  <c r="C474" i="1"/>
  <c r="I474" i="1"/>
  <c r="B475" i="1"/>
  <c r="C475" i="1"/>
  <c r="I475" i="1"/>
  <c r="B476" i="1"/>
  <c r="C476" i="1"/>
  <c r="I476" i="1"/>
  <c r="B477" i="1"/>
  <c r="C477" i="1"/>
  <c r="I477" i="1"/>
  <c r="B478" i="1"/>
  <c r="C478" i="1"/>
  <c r="I478" i="1"/>
  <c r="B479" i="1"/>
  <c r="C479" i="1"/>
  <c r="I479" i="1"/>
  <c r="B480" i="1"/>
  <c r="C480" i="1"/>
  <c r="I480" i="1"/>
  <c r="B481" i="1"/>
  <c r="C481" i="1"/>
  <c r="I481" i="1"/>
  <c r="B482" i="1"/>
  <c r="C482" i="1"/>
  <c r="I482" i="1"/>
  <c r="B483" i="1"/>
  <c r="C483" i="1"/>
  <c r="I483" i="1"/>
  <c r="B484" i="1"/>
  <c r="C484" i="1"/>
  <c r="I484" i="1"/>
  <c r="B485" i="1"/>
  <c r="C485" i="1"/>
  <c r="I485" i="1"/>
  <c r="B486" i="1"/>
  <c r="C486" i="1"/>
  <c r="I486" i="1"/>
  <c r="B487" i="1"/>
  <c r="C487" i="1"/>
  <c r="I487" i="1"/>
  <c r="B488" i="1"/>
  <c r="C488" i="1"/>
  <c r="I488" i="1"/>
  <c r="B489" i="1"/>
  <c r="C489" i="1"/>
  <c r="I489" i="1"/>
  <c r="B490" i="1"/>
  <c r="C490" i="1"/>
  <c r="I490" i="1"/>
  <c r="B491" i="1"/>
  <c r="C491" i="1"/>
  <c r="I491" i="1"/>
  <c r="B492" i="1"/>
  <c r="C492" i="1"/>
  <c r="I492" i="1"/>
  <c r="B493" i="1"/>
  <c r="C493" i="1"/>
  <c r="I493" i="1"/>
  <c r="B494" i="1"/>
  <c r="C494" i="1"/>
  <c r="I494" i="1"/>
  <c r="B495" i="1"/>
  <c r="C495" i="1"/>
  <c r="I495" i="1"/>
  <c r="B496" i="1"/>
  <c r="C496" i="1"/>
  <c r="I496" i="1"/>
  <c r="B497" i="1"/>
  <c r="C497" i="1"/>
  <c r="I497" i="1"/>
  <c r="B498" i="1"/>
  <c r="C498" i="1"/>
  <c r="I498" i="1"/>
  <c r="B499" i="1"/>
  <c r="C499" i="1"/>
  <c r="I499" i="1"/>
  <c r="B500" i="1"/>
  <c r="C500" i="1"/>
  <c r="I500" i="1"/>
  <c r="B501" i="1"/>
  <c r="C501" i="1"/>
  <c r="I501" i="1"/>
  <c r="B502" i="1"/>
  <c r="C502" i="1"/>
  <c r="I502" i="1"/>
  <c r="B503" i="1"/>
  <c r="C503" i="1"/>
  <c r="I503" i="1"/>
  <c r="B504" i="1"/>
  <c r="C504" i="1"/>
  <c r="I504" i="1"/>
  <c r="B505" i="1"/>
  <c r="C505" i="1"/>
  <c r="I505" i="1"/>
  <c r="B506" i="1"/>
  <c r="C506" i="1"/>
  <c r="I506" i="1"/>
  <c r="B507" i="1"/>
  <c r="C507" i="1"/>
  <c r="I507" i="1"/>
  <c r="B508" i="1"/>
  <c r="C508" i="1"/>
  <c r="I508" i="1"/>
  <c r="B509" i="1"/>
  <c r="C509" i="1"/>
  <c r="I509" i="1"/>
  <c r="B510" i="1"/>
  <c r="C510" i="1"/>
  <c r="I510" i="1"/>
  <c r="B511" i="1"/>
  <c r="C511" i="1"/>
  <c r="I511" i="1"/>
  <c r="B512" i="1"/>
  <c r="C512" i="1"/>
  <c r="I512" i="1"/>
  <c r="B513" i="1"/>
  <c r="C513" i="1"/>
  <c r="I513" i="1"/>
  <c r="B514" i="1"/>
  <c r="C514" i="1"/>
  <c r="I514" i="1"/>
  <c r="B515" i="1"/>
  <c r="C515" i="1"/>
  <c r="I515" i="1"/>
  <c r="B516" i="1"/>
  <c r="C516" i="1"/>
  <c r="I516" i="1"/>
  <c r="B517" i="1"/>
  <c r="C517" i="1"/>
  <c r="I517" i="1"/>
  <c r="B518" i="1"/>
  <c r="C518" i="1"/>
  <c r="I518" i="1"/>
  <c r="B519" i="1"/>
  <c r="C519" i="1"/>
  <c r="I519" i="1"/>
  <c r="B520" i="1"/>
  <c r="C520" i="1"/>
  <c r="I520" i="1"/>
  <c r="B521" i="1"/>
  <c r="C521" i="1"/>
  <c r="I521" i="1"/>
  <c r="B522" i="1"/>
  <c r="C522" i="1"/>
  <c r="I522" i="1"/>
  <c r="B523" i="1"/>
  <c r="C523" i="1"/>
  <c r="I523" i="1"/>
  <c r="B524" i="1"/>
  <c r="C524" i="1"/>
  <c r="I524" i="1"/>
  <c r="B525" i="1"/>
  <c r="C525" i="1"/>
  <c r="I525" i="1"/>
  <c r="B526" i="1"/>
  <c r="C526" i="1"/>
  <c r="I526" i="1"/>
  <c r="B527" i="1"/>
  <c r="C527" i="1"/>
  <c r="I527" i="1"/>
  <c r="B528" i="1"/>
  <c r="C528" i="1"/>
  <c r="I528" i="1"/>
  <c r="B529" i="1"/>
  <c r="C529" i="1"/>
  <c r="I529" i="1"/>
  <c r="B530" i="1"/>
  <c r="C530" i="1"/>
  <c r="I530" i="1"/>
  <c r="B531" i="1"/>
  <c r="C531" i="1"/>
  <c r="I531" i="1"/>
  <c r="B532" i="1"/>
  <c r="C532" i="1"/>
  <c r="I532" i="1"/>
  <c r="B533" i="1"/>
  <c r="C533" i="1"/>
  <c r="I533" i="1"/>
  <c r="B534" i="1"/>
  <c r="C534" i="1"/>
  <c r="I534" i="1"/>
  <c r="B535" i="1"/>
  <c r="C535" i="1"/>
  <c r="I535" i="1"/>
  <c r="B536" i="1"/>
  <c r="C536" i="1"/>
  <c r="I536" i="1"/>
  <c r="B537" i="1"/>
  <c r="C537" i="1"/>
  <c r="I537" i="1"/>
  <c r="B538" i="1"/>
  <c r="C538" i="1"/>
  <c r="I538" i="1"/>
  <c r="B539" i="1"/>
  <c r="C539" i="1"/>
  <c r="I539" i="1"/>
  <c r="B540" i="1"/>
  <c r="C540" i="1"/>
  <c r="I540" i="1"/>
  <c r="B541" i="1"/>
  <c r="C541" i="1"/>
  <c r="I541" i="1"/>
  <c r="B542" i="1"/>
  <c r="C542" i="1"/>
  <c r="I542" i="1"/>
  <c r="B543" i="1"/>
  <c r="C543" i="1"/>
  <c r="I543" i="1"/>
  <c r="B544" i="1"/>
  <c r="C544" i="1"/>
  <c r="I544" i="1"/>
  <c r="B545" i="1"/>
  <c r="C545" i="1"/>
  <c r="I545" i="1"/>
  <c r="B546" i="1"/>
  <c r="C546" i="1"/>
  <c r="I546" i="1"/>
  <c r="B547" i="1"/>
  <c r="C547" i="1"/>
  <c r="I547" i="1"/>
  <c r="B548" i="1"/>
  <c r="C548" i="1"/>
  <c r="I548" i="1"/>
  <c r="B549" i="1"/>
  <c r="C549" i="1"/>
  <c r="I549" i="1"/>
  <c r="B550" i="1"/>
  <c r="C550" i="1"/>
  <c r="I550" i="1"/>
  <c r="B551" i="1"/>
  <c r="C551" i="1"/>
  <c r="I551" i="1"/>
  <c r="B552" i="1"/>
  <c r="C552" i="1"/>
  <c r="I552" i="1"/>
  <c r="B553" i="1"/>
  <c r="C553" i="1"/>
  <c r="I553" i="1"/>
  <c r="B554" i="1"/>
  <c r="C554" i="1"/>
  <c r="I554" i="1"/>
  <c r="B555" i="1"/>
  <c r="C555" i="1"/>
  <c r="I555" i="1"/>
  <c r="B556" i="1"/>
  <c r="C556" i="1"/>
  <c r="I556" i="1"/>
  <c r="B557" i="1"/>
  <c r="C557" i="1"/>
  <c r="I557" i="1"/>
  <c r="B558" i="1"/>
  <c r="C558" i="1"/>
  <c r="I558" i="1"/>
  <c r="B559" i="1"/>
  <c r="C559" i="1"/>
  <c r="I559" i="1"/>
  <c r="B560" i="1"/>
  <c r="C560" i="1"/>
  <c r="I560" i="1"/>
  <c r="B561" i="1"/>
  <c r="C561" i="1"/>
  <c r="I561" i="1"/>
  <c r="B562" i="1"/>
  <c r="C562" i="1"/>
  <c r="I562" i="1"/>
  <c r="B563" i="1"/>
  <c r="C563" i="1"/>
  <c r="I563" i="1"/>
  <c r="B564" i="1"/>
  <c r="C564" i="1"/>
  <c r="I564" i="1"/>
  <c r="B565" i="1"/>
  <c r="C565" i="1"/>
  <c r="I565" i="1"/>
  <c r="B566" i="1"/>
  <c r="C566" i="1"/>
  <c r="I566" i="1"/>
  <c r="B567" i="1"/>
  <c r="C567" i="1"/>
  <c r="I567" i="1"/>
  <c r="B568" i="1"/>
  <c r="C568" i="1"/>
  <c r="I568" i="1"/>
  <c r="B569" i="1"/>
  <c r="C569" i="1"/>
  <c r="I569" i="1"/>
  <c r="B570" i="1"/>
  <c r="C570" i="1"/>
  <c r="I570" i="1"/>
  <c r="B571" i="1"/>
  <c r="C571" i="1"/>
  <c r="I571" i="1"/>
  <c r="B572" i="1"/>
  <c r="C572" i="1"/>
  <c r="I572" i="1"/>
  <c r="B573" i="1"/>
  <c r="C573" i="1"/>
  <c r="I573" i="1"/>
  <c r="B574" i="1"/>
  <c r="C574" i="1"/>
  <c r="I574" i="1"/>
  <c r="B575" i="1"/>
  <c r="C575" i="1"/>
  <c r="I575" i="1"/>
  <c r="B576" i="1"/>
  <c r="C576" i="1"/>
  <c r="I576" i="1"/>
  <c r="B577" i="1"/>
  <c r="C577" i="1"/>
  <c r="I577" i="1"/>
  <c r="B578" i="1"/>
  <c r="C578" i="1"/>
  <c r="I578" i="1"/>
  <c r="B579" i="1"/>
  <c r="C579" i="1"/>
  <c r="I579" i="1"/>
  <c r="B580" i="1"/>
  <c r="C580" i="1"/>
  <c r="I580" i="1"/>
  <c r="B581" i="1"/>
  <c r="C581" i="1"/>
  <c r="I581" i="1"/>
  <c r="B582" i="1"/>
  <c r="C582" i="1"/>
  <c r="I582" i="1"/>
  <c r="B583" i="1"/>
  <c r="C583" i="1"/>
  <c r="I583" i="1"/>
  <c r="B584" i="1"/>
  <c r="C584" i="1"/>
  <c r="I584" i="1"/>
  <c r="B585" i="1"/>
  <c r="C585" i="1"/>
  <c r="I585" i="1"/>
  <c r="B586" i="1"/>
  <c r="C586" i="1"/>
  <c r="I586" i="1"/>
  <c r="B587" i="1"/>
  <c r="C587" i="1"/>
  <c r="I587" i="1"/>
  <c r="B588" i="1"/>
  <c r="C588" i="1"/>
  <c r="I588" i="1"/>
  <c r="B589" i="1"/>
  <c r="C589" i="1"/>
  <c r="I589" i="1"/>
  <c r="B590" i="1"/>
  <c r="C590" i="1"/>
  <c r="I590" i="1"/>
  <c r="B591" i="1"/>
  <c r="C591" i="1"/>
  <c r="I591" i="1"/>
  <c r="B592" i="1"/>
  <c r="C592" i="1"/>
  <c r="I592" i="1"/>
  <c r="B593" i="1"/>
  <c r="C593" i="1"/>
  <c r="I593" i="1"/>
  <c r="B594" i="1"/>
  <c r="C594" i="1"/>
  <c r="I594" i="1"/>
  <c r="B595" i="1"/>
  <c r="C595" i="1"/>
  <c r="I595" i="1"/>
  <c r="B596" i="1"/>
  <c r="C596" i="1"/>
  <c r="I596" i="1"/>
  <c r="B597" i="1"/>
  <c r="C597" i="1"/>
  <c r="I597" i="1"/>
  <c r="B598" i="1"/>
  <c r="C598" i="1"/>
  <c r="I598" i="1"/>
  <c r="B599" i="1"/>
  <c r="C599" i="1"/>
  <c r="I599" i="1"/>
  <c r="B600" i="1"/>
  <c r="C600" i="1"/>
  <c r="I600" i="1"/>
  <c r="B601" i="1"/>
  <c r="C601" i="1"/>
  <c r="I601" i="1"/>
  <c r="B602" i="1"/>
  <c r="C602" i="1"/>
  <c r="I602" i="1"/>
  <c r="B603" i="1"/>
  <c r="C603" i="1"/>
  <c r="I603" i="1"/>
  <c r="B604" i="1"/>
  <c r="C604" i="1"/>
  <c r="I604" i="1"/>
  <c r="B605" i="1"/>
  <c r="C605" i="1"/>
  <c r="I605" i="1"/>
  <c r="B606" i="1"/>
  <c r="C606" i="1"/>
  <c r="I606" i="1"/>
  <c r="B607" i="1"/>
  <c r="C607" i="1"/>
  <c r="I607" i="1"/>
  <c r="B608" i="1"/>
  <c r="C608" i="1"/>
  <c r="I608" i="1"/>
  <c r="B609" i="1"/>
  <c r="C609" i="1"/>
  <c r="I609" i="1"/>
  <c r="B610" i="1"/>
  <c r="C610" i="1"/>
  <c r="I610" i="1"/>
  <c r="B611" i="1"/>
  <c r="C611" i="1"/>
  <c r="I611" i="1"/>
  <c r="B612" i="1"/>
  <c r="C612" i="1"/>
  <c r="I612" i="1"/>
  <c r="B613" i="1"/>
  <c r="C613" i="1"/>
  <c r="I613" i="1"/>
  <c r="B614" i="1"/>
  <c r="C614" i="1"/>
  <c r="I614" i="1"/>
  <c r="B615" i="1"/>
  <c r="C615" i="1"/>
  <c r="I615" i="1"/>
  <c r="B616" i="1"/>
  <c r="C616" i="1"/>
  <c r="I616" i="1"/>
  <c r="B617" i="1"/>
  <c r="C617" i="1"/>
  <c r="I617" i="1"/>
  <c r="B618" i="1"/>
  <c r="C618" i="1"/>
  <c r="I618" i="1"/>
  <c r="B619" i="1"/>
  <c r="C619" i="1"/>
  <c r="I619" i="1"/>
  <c r="B620" i="1"/>
  <c r="C620" i="1"/>
  <c r="I620" i="1"/>
  <c r="B621" i="1"/>
  <c r="C621" i="1"/>
  <c r="I621" i="1"/>
  <c r="B622" i="1"/>
  <c r="C622" i="1"/>
  <c r="I622" i="1"/>
  <c r="B623" i="1"/>
  <c r="C623" i="1"/>
  <c r="I623" i="1"/>
  <c r="B624" i="1"/>
  <c r="C624" i="1"/>
  <c r="I624" i="1"/>
  <c r="B625" i="1"/>
  <c r="C625" i="1"/>
  <c r="I625" i="1"/>
  <c r="B626" i="1"/>
  <c r="C626" i="1"/>
  <c r="I626" i="1"/>
  <c r="B627" i="1"/>
  <c r="C627" i="1"/>
  <c r="I627" i="1"/>
  <c r="B628" i="1"/>
  <c r="C628" i="1"/>
  <c r="I628" i="1"/>
  <c r="B629" i="1"/>
  <c r="C629" i="1"/>
  <c r="I629" i="1"/>
  <c r="B630" i="1"/>
  <c r="C630" i="1"/>
  <c r="I630" i="1"/>
  <c r="B631" i="1"/>
  <c r="C631" i="1"/>
  <c r="I631" i="1"/>
  <c r="B632" i="1"/>
  <c r="C632" i="1"/>
  <c r="I632" i="1"/>
  <c r="B633" i="1"/>
  <c r="C633" i="1"/>
  <c r="I633" i="1"/>
  <c r="B634" i="1"/>
  <c r="C634" i="1"/>
  <c r="I634" i="1"/>
  <c r="B635" i="1"/>
  <c r="C635" i="1"/>
  <c r="I635" i="1"/>
  <c r="B636" i="1"/>
  <c r="C636" i="1"/>
  <c r="I636" i="1"/>
  <c r="B637" i="1"/>
  <c r="C637" i="1"/>
  <c r="I637" i="1"/>
  <c r="B638" i="1"/>
  <c r="C638" i="1"/>
  <c r="I638" i="1"/>
  <c r="B639" i="1"/>
  <c r="C639" i="1"/>
  <c r="I639" i="1"/>
  <c r="B640" i="1"/>
  <c r="C640" i="1"/>
  <c r="I640" i="1"/>
  <c r="B641" i="1"/>
  <c r="C641" i="1"/>
  <c r="I641" i="1"/>
  <c r="B642" i="1"/>
  <c r="C642" i="1"/>
  <c r="I642" i="1"/>
  <c r="B643" i="1"/>
  <c r="C643" i="1"/>
  <c r="I643" i="1"/>
  <c r="B644" i="1"/>
  <c r="C644" i="1"/>
  <c r="I644" i="1"/>
  <c r="B645" i="1"/>
  <c r="C645" i="1"/>
  <c r="I645" i="1"/>
  <c r="B646" i="1"/>
  <c r="C646" i="1"/>
  <c r="I646" i="1"/>
  <c r="B647" i="1"/>
  <c r="C647" i="1"/>
  <c r="I647" i="1"/>
  <c r="B648" i="1"/>
  <c r="C648" i="1"/>
  <c r="I648" i="1"/>
  <c r="B649" i="1"/>
  <c r="C649" i="1"/>
  <c r="I649" i="1"/>
  <c r="B650" i="1"/>
  <c r="C650" i="1"/>
  <c r="I650" i="1"/>
  <c r="B651" i="1"/>
  <c r="C651" i="1"/>
  <c r="I651" i="1"/>
  <c r="B652" i="1"/>
  <c r="C652" i="1"/>
  <c r="I652" i="1"/>
  <c r="B653" i="1"/>
  <c r="C653" i="1"/>
  <c r="I653" i="1"/>
  <c r="B654" i="1"/>
  <c r="C654" i="1"/>
  <c r="I654" i="1"/>
  <c r="B655" i="1"/>
  <c r="C655" i="1"/>
  <c r="I655" i="1"/>
  <c r="B656" i="1"/>
  <c r="C656" i="1"/>
  <c r="I656" i="1"/>
  <c r="B657" i="1"/>
  <c r="C657" i="1"/>
  <c r="I657" i="1"/>
  <c r="B658" i="1"/>
  <c r="C658" i="1"/>
  <c r="I658" i="1"/>
  <c r="B659" i="1"/>
  <c r="C659" i="1"/>
  <c r="I659" i="1"/>
  <c r="B660" i="1"/>
  <c r="C660" i="1"/>
  <c r="I660" i="1"/>
  <c r="B661" i="1"/>
  <c r="C661" i="1"/>
  <c r="I661" i="1"/>
  <c r="B662" i="1"/>
  <c r="C662" i="1"/>
  <c r="I662" i="1"/>
  <c r="B663" i="1"/>
  <c r="C663" i="1"/>
  <c r="I663" i="1"/>
  <c r="B664" i="1"/>
  <c r="C664" i="1"/>
  <c r="I664" i="1"/>
  <c r="B665" i="1"/>
  <c r="C665" i="1"/>
  <c r="I665" i="1"/>
  <c r="B666" i="1"/>
  <c r="C666" i="1"/>
  <c r="I666" i="1"/>
  <c r="B667" i="1"/>
  <c r="C667" i="1"/>
  <c r="I667" i="1"/>
  <c r="B668" i="1"/>
  <c r="C668" i="1"/>
  <c r="I668" i="1"/>
  <c r="B669" i="1"/>
  <c r="C669" i="1"/>
  <c r="I669" i="1"/>
  <c r="B670" i="1"/>
  <c r="C670" i="1"/>
  <c r="I670" i="1"/>
  <c r="B671" i="1"/>
  <c r="C671" i="1"/>
  <c r="I671" i="1"/>
  <c r="B672" i="1"/>
  <c r="C672" i="1"/>
  <c r="I672" i="1"/>
  <c r="B673" i="1"/>
  <c r="C673" i="1"/>
  <c r="I673" i="1"/>
  <c r="B674" i="1"/>
  <c r="C674" i="1"/>
  <c r="I674" i="1"/>
  <c r="B675" i="1"/>
  <c r="C675" i="1"/>
  <c r="I675" i="1"/>
  <c r="B676" i="1"/>
  <c r="C676" i="1"/>
  <c r="I676" i="1"/>
  <c r="B677" i="1"/>
  <c r="C677" i="1"/>
  <c r="I677" i="1"/>
  <c r="B678" i="1"/>
  <c r="C678" i="1"/>
  <c r="I678" i="1"/>
  <c r="B679" i="1"/>
  <c r="C679" i="1"/>
  <c r="I679" i="1"/>
  <c r="B680" i="1"/>
  <c r="C680" i="1"/>
  <c r="I680" i="1"/>
  <c r="B681" i="1"/>
  <c r="C681" i="1"/>
  <c r="I681" i="1"/>
  <c r="B682" i="1"/>
  <c r="C682" i="1"/>
  <c r="I682" i="1"/>
  <c r="B683" i="1"/>
  <c r="C683" i="1"/>
  <c r="I683" i="1"/>
  <c r="B684" i="1"/>
  <c r="C684" i="1"/>
  <c r="I684" i="1"/>
  <c r="B685" i="1"/>
  <c r="C685" i="1"/>
  <c r="I685" i="1"/>
  <c r="B686" i="1"/>
  <c r="C686" i="1"/>
  <c r="I686" i="1"/>
  <c r="B687" i="1"/>
  <c r="C687" i="1"/>
  <c r="I687" i="1"/>
  <c r="B688" i="1"/>
  <c r="C688" i="1"/>
  <c r="I688" i="1"/>
  <c r="B689" i="1"/>
  <c r="C689" i="1"/>
  <c r="I689" i="1"/>
  <c r="B690" i="1"/>
  <c r="C690" i="1"/>
  <c r="I690" i="1"/>
  <c r="B691" i="1"/>
  <c r="C691" i="1"/>
  <c r="I691" i="1"/>
  <c r="B692" i="1"/>
  <c r="C692" i="1"/>
  <c r="I692" i="1"/>
  <c r="B693" i="1"/>
  <c r="C693" i="1"/>
  <c r="I693" i="1"/>
  <c r="B694" i="1"/>
  <c r="C694" i="1"/>
  <c r="I694" i="1"/>
  <c r="B695" i="1"/>
  <c r="C695" i="1"/>
  <c r="I695" i="1"/>
  <c r="B696" i="1"/>
  <c r="C696" i="1"/>
  <c r="I696" i="1"/>
  <c r="B697" i="1"/>
  <c r="C697" i="1"/>
  <c r="I697" i="1"/>
  <c r="B698" i="1"/>
  <c r="C698" i="1"/>
  <c r="I698" i="1"/>
  <c r="B699" i="1"/>
  <c r="C699" i="1"/>
  <c r="I699" i="1"/>
  <c r="B700" i="1"/>
  <c r="C700" i="1"/>
  <c r="I700" i="1"/>
  <c r="B701" i="1"/>
  <c r="C701" i="1"/>
  <c r="I701" i="1"/>
  <c r="B702" i="1"/>
  <c r="C702" i="1"/>
  <c r="I702" i="1"/>
  <c r="B703" i="1"/>
  <c r="C703" i="1"/>
  <c r="I703" i="1"/>
  <c r="B704" i="1"/>
  <c r="C704" i="1"/>
  <c r="I704" i="1"/>
  <c r="B705" i="1"/>
  <c r="C705" i="1"/>
  <c r="I705" i="1"/>
  <c r="B706" i="1"/>
  <c r="C706" i="1"/>
  <c r="I706" i="1"/>
  <c r="B707" i="1"/>
  <c r="C707" i="1"/>
  <c r="I707" i="1"/>
  <c r="B708" i="1"/>
  <c r="C708" i="1"/>
  <c r="I708" i="1"/>
  <c r="B709" i="1"/>
  <c r="C709" i="1"/>
  <c r="I709" i="1"/>
  <c r="B710" i="1"/>
  <c r="C710" i="1"/>
  <c r="I710" i="1"/>
  <c r="B711" i="1"/>
  <c r="C711" i="1"/>
  <c r="I711" i="1"/>
  <c r="B712" i="1"/>
  <c r="C712" i="1"/>
  <c r="I712" i="1"/>
  <c r="B713" i="1"/>
  <c r="C713" i="1"/>
  <c r="I713" i="1"/>
  <c r="B714" i="1"/>
  <c r="C714" i="1"/>
  <c r="I714" i="1"/>
  <c r="B715" i="1"/>
  <c r="C715" i="1"/>
  <c r="I715" i="1"/>
  <c r="B716" i="1"/>
  <c r="C716" i="1"/>
  <c r="I716" i="1"/>
  <c r="B717" i="1"/>
  <c r="C717" i="1"/>
  <c r="I717" i="1"/>
  <c r="B718" i="1"/>
  <c r="C718" i="1"/>
  <c r="I718" i="1"/>
  <c r="B719" i="1"/>
  <c r="C719" i="1"/>
  <c r="I719" i="1"/>
  <c r="B720" i="1"/>
  <c r="C720" i="1"/>
  <c r="I720" i="1"/>
  <c r="B721" i="1"/>
  <c r="C721" i="1"/>
  <c r="I721" i="1"/>
  <c r="B722" i="1"/>
  <c r="C722" i="1"/>
  <c r="I722" i="1"/>
  <c r="B723" i="1"/>
  <c r="C723" i="1"/>
  <c r="I723" i="1"/>
  <c r="B724" i="1"/>
  <c r="C724" i="1"/>
  <c r="I724" i="1"/>
  <c r="B725" i="1"/>
  <c r="C725" i="1"/>
  <c r="I725" i="1"/>
  <c r="B726" i="1"/>
  <c r="C726" i="1"/>
  <c r="I726" i="1"/>
  <c r="B727" i="1"/>
  <c r="C727" i="1"/>
  <c r="I727" i="1"/>
  <c r="B728" i="1"/>
  <c r="C728" i="1"/>
  <c r="I728" i="1"/>
  <c r="B729" i="1"/>
  <c r="C729" i="1"/>
  <c r="I729" i="1"/>
  <c r="B730" i="1"/>
  <c r="C730" i="1"/>
  <c r="I730" i="1"/>
  <c r="B731" i="1"/>
  <c r="C731" i="1"/>
  <c r="I731" i="1"/>
  <c r="B732" i="1"/>
  <c r="C732" i="1"/>
  <c r="I732" i="1"/>
  <c r="B733" i="1"/>
  <c r="C733" i="1"/>
  <c r="I733" i="1"/>
  <c r="B734" i="1"/>
  <c r="C734" i="1"/>
  <c r="I734" i="1"/>
  <c r="B735" i="1"/>
  <c r="C735" i="1"/>
  <c r="I735" i="1"/>
  <c r="B736" i="1"/>
  <c r="C736" i="1"/>
  <c r="I736" i="1"/>
  <c r="B737" i="1"/>
  <c r="C737" i="1"/>
  <c r="I737" i="1"/>
  <c r="B738" i="1"/>
  <c r="C738" i="1"/>
  <c r="I738" i="1"/>
  <c r="B739" i="1"/>
  <c r="C739" i="1"/>
  <c r="I739" i="1"/>
  <c r="B740" i="1"/>
  <c r="C740" i="1"/>
  <c r="I740" i="1"/>
  <c r="B741" i="1"/>
  <c r="C741" i="1"/>
  <c r="I741" i="1"/>
  <c r="B742" i="1"/>
  <c r="C742" i="1"/>
  <c r="I742" i="1"/>
  <c r="B743" i="1"/>
  <c r="C743" i="1"/>
  <c r="I743" i="1"/>
  <c r="B744" i="1"/>
  <c r="C744" i="1"/>
  <c r="I744" i="1"/>
  <c r="B745" i="1"/>
  <c r="C745" i="1"/>
  <c r="I745" i="1"/>
  <c r="B746" i="1"/>
  <c r="C746" i="1"/>
  <c r="I746" i="1"/>
  <c r="B747" i="1"/>
  <c r="C747" i="1"/>
  <c r="I747" i="1"/>
  <c r="B748" i="1"/>
  <c r="C748" i="1"/>
  <c r="I748" i="1"/>
  <c r="B749" i="1"/>
  <c r="C749" i="1"/>
  <c r="I749" i="1"/>
  <c r="B750" i="1"/>
  <c r="C750" i="1"/>
  <c r="I750" i="1"/>
  <c r="B751" i="1"/>
  <c r="C751" i="1"/>
  <c r="I751" i="1"/>
  <c r="B752" i="1"/>
  <c r="C752" i="1"/>
  <c r="I752" i="1"/>
  <c r="B753" i="1"/>
  <c r="C753" i="1"/>
  <c r="I753" i="1"/>
  <c r="B754" i="1"/>
  <c r="C754" i="1"/>
  <c r="I754" i="1"/>
  <c r="B755" i="1"/>
  <c r="C755" i="1"/>
  <c r="I755" i="1"/>
  <c r="B756" i="1"/>
  <c r="C756" i="1"/>
  <c r="I756" i="1"/>
  <c r="B757" i="1"/>
  <c r="C757" i="1"/>
  <c r="I757" i="1"/>
  <c r="B758" i="1"/>
  <c r="C758" i="1"/>
  <c r="I758" i="1"/>
  <c r="B759" i="1"/>
  <c r="C759" i="1"/>
  <c r="I759" i="1"/>
  <c r="B760" i="1"/>
  <c r="C760" i="1"/>
  <c r="I760" i="1"/>
  <c r="B761" i="1"/>
  <c r="C761" i="1"/>
  <c r="I761" i="1"/>
  <c r="B762" i="1"/>
  <c r="C762" i="1"/>
  <c r="I762" i="1"/>
  <c r="B763" i="1"/>
  <c r="C763" i="1"/>
  <c r="I763" i="1"/>
  <c r="B764" i="1"/>
  <c r="C764" i="1"/>
  <c r="I764" i="1"/>
  <c r="B765" i="1"/>
  <c r="C765" i="1"/>
  <c r="I765" i="1"/>
  <c r="B766" i="1"/>
  <c r="C766" i="1"/>
  <c r="I766" i="1"/>
  <c r="B767" i="1"/>
  <c r="C767" i="1"/>
  <c r="I767" i="1"/>
  <c r="B768" i="1"/>
  <c r="C768" i="1"/>
  <c r="I768" i="1"/>
  <c r="B769" i="1"/>
  <c r="C769" i="1"/>
  <c r="I769" i="1"/>
  <c r="B770" i="1"/>
  <c r="C770" i="1"/>
  <c r="I770" i="1"/>
  <c r="B771" i="1"/>
  <c r="C771" i="1"/>
  <c r="I771" i="1"/>
  <c r="B772" i="1"/>
  <c r="C772" i="1"/>
  <c r="I772" i="1"/>
  <c r="B773" i="1"/>
  <c r="C773" i="1"/>
  <c r="I773" i="1"/>
  <c r="B774" i="1"/>
  <c r="C774" i="1"/>
  <c r="I774" i="1"/>
  <c r="B775" i="1"/>
  <c r="C775" i="1"/>
  <c r="I775" i="1"/>
  <c r="B776" i="1"/>
  <c r="C776" i="1"/>
  <c r="I776" i="1"/>
  <c r="B777" i="1"/>
  <c r="C777" i="1"/>
  <c r="I777" i="1"/>
  <c r="B778" i="1"/>
  <c r="C778" i="1"/>
  <c r="I778" i="1"/>
  <c r="B779" i="1"/>
  <c r="C779" i="1"/>
  <c r="I779" i="1"/>
  <c r="B780" i="1"/>
  <c r="C780" i="1"/>
  <c r="I780" i="1"/>
  <c r="B781" i="1"/>
  <c r="C781" i="1"/>
  <c r="I781" i="1"/>
  <c r="B782" i="1"/>
  <c r="C782" i="1"/>
  <c r="I782" i="1"/>
  <c r="B783" i="1"/>
  <c r="C783" i="1"/>
  <c r="I783" i="1"/>
  <c r="B784" i="1"/>
  <c r="C784" i="1"/>
  <c r="I784" i="1"/>
  <c r="B785" i="1"/>
  <c r="C785" i="1"/>
  <c r="I785" i="1"/>
  <c r="B786" i="1"/>
  <c r="C786" i="1"/>
  <c r="I786" i="1"/>
  <c r="B787" i="1"/>
  <c r="C787" i="1"/>
  <c r="I787" i="1"/>
  <c r="B788" i="1"/>
  <c r="C788" i="1"/>
  <c r="I788" i="1"/>
  <c r="B789" i="1"/>
  <c r="C789" i="1"/>
  <c r="I789" i="1"/>
  <c r="B790" i="1"/>
  <c r="C790" i="1"/>
  <c r="I790" i="1"/>
  <c r="B791" i="1"/>
  <c r="C791" i="1"/>
  <c r="I791" i="1"/>
  <c r="B792" i="1"/>
  <c r="C792" i="1"/>
  <c r="I792" i="1"/>
  <c r="B793" i="1"/>
  <c r="C793" i="1"/>
  <c r="I793" i="1"/>
  <c r="B794" i="1"/>
  <c r="C794" i="1"/>
  <c r="I794" i="1"/>
  <c r="B795" i="1"/>
  <c r="C795" i="1"/>
  <c r="I795" i="1"/>
  <c r="B796" i="1"/>
  <c r="C796" i="1"/>
  <c r="I796" i="1"/>
  <c r="B797" i="1"/>
  <c r="C797" i="1"/>
  <c r="I797" i="1"/>
  <c r="B798" i="1"/>
  <c r="C798" i="1"/>
  <c r="I798" i="1"/>
  <c r="B799" i="1"/>
  <c r="C799" i="1"/>
  <c r="I799" i="1"/>
  <c r="B800" i="1"/>
  <c r="C800" i="1"/>
  <c r="I800" i="1"/>
  <c r="B801" i="1"/>
  <c r="C801" i="1"/>
  <c r="I801" i="1"/>
  <c r="B802" i="1"/>
  <c r="C802" i="1"/>
  <c r="I802" i="1"/>
  <c r="B803" i="1"/>
  <c r="C803" i="1"/>
  <c r="I803" i="1"/>
  <c r="B804" i="1"/>
  <c r="C804" i="1"/>
  <c r="I804" i="1"/>
  <c r="B805" i="1"/>
  <c r="C805" i="1"/>
  <c r="I805" i="1"/>
  <c r="B806" i="1"/>
  <c r="C806" i="1"/>
  <c r="I806" i="1"/>
  <c r="B807" i="1"/>
  <c r="C807" i="1"/>
  <c r="I807" i="1"/>
  <c r="B808" i="1"/>
  <c r="C808" i="1"/>
  <c r="I808" i="1"/>
  <c r="B809" i="1"/>
  <c r="C809" i="1"/>
  <c r="I809" i="1"/>
  <c r="B810" i="1"/>
  <c r="C810" i="1"/>
  <c r="I810" i="1"/>
  <c r="B811" i="1"/>
  <c r="C811" i="1"/>
  <c r="I811" i="1"/>
  <c r="B812" i="1"/>
  <c r="C812" i="1"/>
  <c r="I812" i="1"/>
  <c r="B813" i="1"/>
  <c r="C813" i="1"/>
  <c r="I813" i="1"/>
  <c r="B814" i="1"/>
  <c r="C814" i="1"/>
  <c r="I814" i="1"/>
  <c r="B815" i="1"/>
  <c r="C815" i="1"/>
  <c r="I815" i="1"/>
  <c r="B816" i="1"/>
  <c r="C816" i="1"/>
  <c r="I816" i="1"/>
  <c r="B817" i="1"/>
  <c r="C817" i="1"/>
  <c r="I817" i="1"/>
  <c r="B818" i="1"/>
  <c r="C818" i="1"/>
  <c r="I818" i="1"/>
  <c r="B819" i="1"/>
  <c r="C819" i="1"/>
  <c r="I819" i="1"/>
  <c r="B820" i="1"/>
  <c r="C820" i="1"/>
  <c r="I820" i="1"/>
  <c r="B821" i="1"/>
  <c r="C821" i="1"/>
  <c r="I821" i="1"/>
  <c r="B822" i="1"/>
  <c r="C822" i="1"/>
  <c r="I822" i="1"/>
  <c r="B823" i="1"/>
  <c r="C823" i="1"/>
  <c r="I823" i="1"/>
  <c r="B824" i="1"/>
  <c r="C824" i="1"/>
  <c r="I824" i="1"/>
  <c r="B825" i="1"/>
  <c r="C825" i="1"/>
  <c r="I825" i="1"/>
  <c r="B826" i="1"/>
  <c r="C826" i="1"/>
  <c r="I826" i="1"/>
  <c r="B827" i="1"/>
  <c r="C827" i="1"/>
  <c r="I827" i="1"/>
  <c r="B828" i="1"/>
  <c r="C828" i="1"/>
  <c r="I828" i="1"/>
  <c r="B829" i="1"/>
  <c r="C829" i="1"/>
  <c r="I829" i="1"/>
  <c r="B830" i="1"/>
  <c r="C830" i="1"/>
  <c r="I830" i="1"/>
  <c r="B831" i="1"/>
  <c r="C831" i="1"/>
  <c r="I831" i="1"/>
  <c r="B832" i="1"/>
  <c r="C832" i="1"/>
  <c r="I832" i="1"/>
  <c r="B833" i="1"/>
  <c r="C833" i="1"/>
  <c r="I833" i="1"/>
  <c r="B834" i="1"/>
  <c r="C834" i="1"/>
  <c r="I834" i="1"/>
  <c r="B835" i="1"/>
  <c r="C835" i="1"/>
  <c r="I835" i="1"/>
  <c r="B836" i="1"/>
  <c r="C836" i="1"/>
  <c r="I836" i="1"/>
  <c r="B837" i="1"/>
  <c r="C837" i="1"/>
  <c r="I837" i="1"/>
  <c r="B838" i="1"/>
  <c r="C838" i="1"/>
  <c r="I838" i="1"/>
  <c r="B839" i="1"/>
  <c r="C839" i="1"/>
  <c r="I839" i="1"/>
  <c r="B840" i="1"/>
  <c r="C840" i="1"/>
  <c r="I840" i="1"/>
  <c r="B841" i="1"/>
  <c r="C841" i="1"/>
  <c r="I841" i="1"/>
  <c r="B842" i="1"/>
  <c r="C842" i="1"/>
  <c r="I842" i="1"/>
  <c r="B843" i="1"/>
  <c r="C843" i="1"/>
  <c r="I843" i="1"/>
  <c r="B844" i="1"/>
  <c r="C844" i="1"/>
  <c r="I844" i="1"/>
  <c r="B845" i="1"/>
  <c r="C845" i="1"/>
  <c r="I845" i="1"/>
  <c r="B846" i="1"/>
  <c r="C846" i="1"/>
  <c r="I846" i="1"/>
  <c r="B847" i="1"/>
  <c r="C847" i="1"/>
  <c r="I847" i="1"/>
  <c r="B848" i="1"/>
  <c r="C848" i="1"/>
  <c r="I848" i="1"/>
  <c r="B849" i="1"/>
  <c r="C849" i="1"/>
  <c r="I849" i="1"/>
  <c r="B850" i="1"/>
  <c r="C850" i="1"/>
  <c r="I850" i="1"/>
  <c r="B851" i="1"/>
  <c r="C851" i="1"/>
  <c r="I851" i="1"/>
  <c r="B852" i="1"/>
  <c r="C852" i="1"/>
  <c r="I852" i="1"/>
  <c r="B853" i="1"/>
  <c r="C853" i="1"/>
  <c r="I853" i="1"/>
  <c r="B854" i="1"/>
  <c r="C854" i="1"/>
  <c r="I854" i="1"/>
  <c r="B855" i="1"/>
  <c r="C855" i="1"/>
  <c r="I855" i="1"/>
  <c r="B856" i="1"/>
  <c r="C856" i="1"/>
  <c r="I856" i="1"/>
  <c r="B857" i="1"/>
  <c r="C857" i="1"/>
  <c r="I857" i="1"/>
  <c r="B858" i="1"/>
  <c r="C858" i="1"/>
  <c r="I858" i="1"/>
  <c r="B859" i="1"/>
  <c r="C859" i="1"/>
  <c r="I859" i="1"/>
  <c r="B860" i="1"/>
  <c r="C860" i="1"/>
  <c r="I860" i="1"/>
  <c r="B861" i="1"/>
  <c r="C861" i="1"/>
  <c r="I861" i="1"/>
  <c r="B862" i="1"/>
  <c r="C862" i="1"/>
  <c r="I862" i="1"/>
  <c r="B863" i="1"/>
  <c r="C863" i="1"/>
  <c r="I863" i="1"/>
  <c r="B864" i="1"/>
  <c r="C864" i="1"/>
  <c r="I864" i="1"/>
  <c r="B865" i="1"/>
  <c r="C865" i="1"/>
  <c r="I865" i="1"/>
  <c r="B866" i="1"/>
  <c r="C866" i="1"/>
  <c r="I866" i="1"/>
  <c r="B867" i="1"/>
  <c r="C867" i="1"/>
  <c r="I867" i="1"/>
  <c r="B868" i="1"/>
  <c r="C868" i="1"/>
  <c r="I868" i="1"/>
  <c r="B869" i="1"/>
  <c r="C869" i="1"/>
  <c r="I869" i="1"/>
  <c r="B870" i="1"/>
  <c r="C870" i="1"/>
  <c r="I870" i="1"/>
  <c r="B871" i="1"/>
  <c r="C871" i="1"/>
  <c r="I871" i="1"/>
  <c r="B872" i="1"/>
  <c r="C872" i="1"/>
  <c r="I872" i="1"/>
  <c r="B873" i="1"/>
  <c r="C873" i="1"/>
  <c r="I873" i="1"/>
  <c r="B874" i="1"/>
  <c r="C874" i="1"/>
  <c r="I874" i="1"/>
  <c r="B875" i="1"/>
  <c r="C875" i="1"/>
  <c r="I875" i="1"/>
  <c r="B876" i="1"/>
  <c r="C876" i="1"/>
  <c r="I876" i="1"/>
  <c r="B877" i="1"/>
  <c r="C877" i="1"/>
  <c r="I877" i="1"/>
  <c r="B878" i="1"/>
  <c r="C878" i="1"/>
  <c r="I878" i="1"/>
  <c r="B879" i="1"/>
  <c r="C879" i="1"/>
  <c r="I879" i="1"/>
  <c r="B880" i="1"/>
  <c r="C880" i="1"/>
  <c r="I880" i="1"/>
  <c r="B881" i="1"/>
  <c r="C881" i="1"/>
  <c r="I881" i="1"/>
  <c r="B882" i="1"/>
  <c r="C882" i="1"/>
  <c r="I882" i="1"/>
  <c r="B883" i="1"/>
  <c r="C883" i="1"/>
  <c r="I883" i="1"/>
  <c r="B884" i="1"/>
  <c r="C884" i="1"/>
  <c r="I884" i="1"/>
  <c r="B885" i="1"/>
  <c r="C885" i="1"/>
  <c r="I885" i="1"/>
  <c r="B886" i="1"/>
  <c r="C886" i="1"/>
  <c r="I886" i="1"/>
  <c r="B887" i="1"/>
  <c r="C887" i="1"/>
  <c r="I887" i="1"/>
  <c r="B888" i="1"/>
  <c r="C888" i="1"/>
  <c r="I888" i="1"/>
  <c r="B889" i="1"/>
  <c r="C889" i="1"/>
  <c r="I889" i="1"/>
  <c r="B890" i="1"/>
  <c r="C890" i="1"/>
  <c r="I890" i="1"/>
  <c r="B891" i="1"/>
  <c r="C891" i="1"/>
  <c r="I891" i="1"/>
  <c r="B892" i="1"/>
  <c r="C892" i="1"/>
  <c r="I892" i="1"/>
  <c r="B893" i="1"/>
  <c r="C893" i="1"/>
  <c r="I893" i="1"/>
  <c r="B894" i="1"/>
  <c r="C894" i="1"/>
  <c r="I894" i="1"/>
  <c r="B895" i="1"/>
  <c r="C895" i="1"/>
  <c r="I895" i="1"/>
  <c r="B896" i="1"/>
  <c r="C896" i="1"/>
  <c r="I896" i="1"/>
  <c r="B897" i="1"/>
  <c r="C897" i="1"/>
  <c r="I897" i="1"/>
  <c r="B898" i="1"/>
  <c r="C898" i="1"/>
  <c r="I898" i="1"/>
  <c r="B899" i="1"/>
  <c r="C899" i="1"/>
  <c r="I899" i="1"/>
  <c r="B900" i="1"/>
  <c r="C900" i="1"/>
  <c r="I900" i="1"/>
  <c r="B901" i="1"/>
  <c r="C901" i="1"/>
  <c r="I901" i="1"/>
  <c r="B902" i="1"/>
  <c r="C902" i="1"/>
  <c r="I902" i="1"/>
  <c r="B903" i="1"/>
  <c r="C903" i="1"/>
  <c r="I903" i="1"/>
  <c r="B904" i="1"/>
  <c r="C904" i="1"/>
  <c r="I904" i="1"/>
  <c r="B905" i="1"/>
  <c r="C905" i="1"/>
  <c r="I905" i="1"/>
  <c r="B906" i="1"/>
  <c r="C906" i="1"/>
  <c r="I906" i="1"/>
  <c r="B907" i="1"/>
  <c r="C907" i="1"/>
  <c r="I907" i="1"/>
  <c r="B908" i="1"/>
  <c r="C908" i="1"/>
  <c r="I908" i="1"/>
  <c r="B909" i="1"/>
  <c r="C909" i="1"/>
  <c r="I909" i="1"/>
  <c r="B910" i="1"/>
  <c r="C910" i="1"/>
  <c r="I910" i="1"/>
  <c r="B911" i="1"/>
  <c r="C911" i="1"/>
  <c r="I911" i="1"/>
  <c r="B912" i="1"/>
  <c r="C912" i="1"/>
  <c r="I912" i="1"/>
  <c r="B913" i="1"/>
  <c r="C913" i="1"/>
  <c r="I913" i="1"/>
  <c r="B914" i="1"/>
  <c r="C914" i="1"/>
  <c r="I914" i="1"/>
  <c r="B915" i="1"/>
  <c r="C915" i="1"/>
  <c r="I915" i="1"/>
  <c r="B916" i="1"/>
  <c r="C916" i="1"/>
  <c r="I916" i="1"/>
  <c r="B917" i="1"/>
  <c r="C917" i="1"/>
  <c r="I917" i="1"/>
  <c r="B918" i="1"/>
  <c r="C918" i="1"/>
  <c r="I918" i="1"/>
  <c r="B919" i="1"/>
  <c r="C919" i="1"/>
  <c r="I919" i="1"/>
  <c r="B920" i="1"/>
  <c r="C920" i="1"/>
  <c r="I920" i="1"/>
  <c r="B921" i="1"/>
  <c r="C921" i="1"/>
  <c r="I921" i="1"/>
  <c r="B922" i="1"/>
  <c r="C922" i="1"/>
  <c r="I922" i="1"/>
  <c r="B923" i="1"/>
  <c r="C923" i="1"/>
  <c r="I923" i="1"/>
  <c r="B924" i="1"/>
  <c r="C924" i="1"/>
  <c r="I924" i="1"/>
  <c r="B925" i="1"/>
  <c r="C925" i="1"/>
  <c r="I925" i="1"/>
  <c r="B926" i="1"/>
  <c r="C926" i="1"/>
  <c r="I926" i="1"/>
  <c r="B927" i="1"/>
  <c r="C927" i="1"/>
  <c r="I927" i="1"/>
  <c r="B928" i="1"/>
  <c r="C928" i="1"/>
  <c r="I928" i="1"/>
  <c r="B929" i="1"/>
  <c r="C929" i="1"/>
  <c r="I929" i="1"/>
  <c r="B930" i="1"/>
  <c r="C930" i="1"/>
  <c r="I930" i="1"/>
  <c r="B931" i="1"/>
  <c r="C931" i="1"/>
  <c r="I931" i="1"/>
  <c r="B932" i="1"/>
  <c r="C932" i="1"/>
  <c r="I932" i="1"/>
  <c r="B933" i="1"/>
  <c r="C933" i="1"/>
  <c r="I933" i="1"/>
  <c r="B934" i="1"/>
  <c r="C934" i="1"/>
  <c r="I934" i="1"/>
  <c r="B935" i="1"/>
  <c r="C935" i="1"/>
  <c r="I935" i="1"/>
  <c r="B936" i="1"/>
  <c r="C936" i="1"/>
  <c r="I936" i="1"/>
  <c r="B937" i="1"/>
  <c r="C937" i="1"/>
  <c r="I937" i="1"/>
  <c r="B938" i="1"/>
  <c r="C938" i="1"/>
  <c r="I938" i="1"/>
  <c r="B939" i="1"/>
  <c r="C939" i="1"/>
  <c r="I939" i="1"/>
  <c r="B940" i="1"/>
  <c r="C940" i="1"/>
  <c r="I940" i="1"/>
  <c r="B941" i="1"/>
  <c r="C941" i="1"/>
  <c r="I941" i="1"/>
  <c r="B942" i="1"/>
  <c r="C942" i="1"/>
  <c r="I942" i="1"/>
  <c r="B943" i="1"/>
  <c r="C943" i="1"/>
  <c r="I943" i="1"/>
  <c r="B944" i="1"/>
  <c r="C944" i="1"/>
  <c r="I944" i="1"/>
  <c r="B945" i="1"/>
  <c r="C945" i="1"/>
  <c r="I945" i="1"/>
  <c r="B946" i="1"/>
  <c r="C946" i="1"/>
  <c r="I946" i="1"/>
  <c r="B947" i="1"/>
  <c r="C947" i="1"/>
  <c r="I947" i="1"/>
  <c r="B948" i="1"/>
  <c r="C948" i="1"/>
  <c r="I948" i="1"/>
  <c r="B949" i="1"/>
  <c r="C949" i="1"/>
  <c r="I949" i="1"/>
  <c r="B950" i="1"/>
  <c r="C950" i="1"/>
  <c r="I950" i="1"/>
  <c r="B951" i="1"/>
  <c r="C951" i="1"/>
  <c r="I951" i="1"/>
  <c r="B952" i="1"/>
  <c r="C952" i="1"/>
  <c r="I952" i="1"/>
  <c r="B953" i="1"/>
  <c r="C953" i="1"/>
  <c r="I953" i="1"/>
  <c r="B954" i="1"/>
  <c r="C954" i="1"/>
  <c r="I954" i="1"/>
  <c r="B955" i="1"/>
  <c r="C955" i="1"/>
  <c r="I955" i="1"/>
  <c r="B956" i="1"/>
  <c r="C956" i="1"/>
  <c r="I956" i="1"/>
  <c r="B957" i="1"/>
  <c r="C957" i="1"/>
  <c r="I957" i="1"/>
  <c r="B958" i="1"/>
  <c r="C958" i="1"/>
  <c r="I958" i="1"/>
  <c r="B959" i="1"/>
  <c r="C959" i="1"/>
  <c r="I959" i="1"/>
  <c r="B960" i="1"/>
  <c r="C960" i="1"/>
  <c r="I960" i="1"/>
  <c r="B961" i="1"/>
  <c r="C961" i="1"/>
  <c r="I961" i="1"/>
  <c r="B962" i="1"/>
  <c r="C962" i="1"/>
  <c r="I962" i="1"/>
  <c r="B963" i="1"/>
  <c r="C963" i="1"/>
  <c r="I963" i="1"/>
  <c r="B964" i="1"/>
  <c r="C964" i="1"/>
  <c r="I964" i="1"/>
  <c r="B965" i="1"/>
  <c r="C965" i="1"/>
  <c r="I965" i="1"/>
  <c r="B966" i="1"/>
  <c r="C966" i="1"/>
  <c r="I966" i="1"/>
  <c r="B967" i="1"/>
  <c r="C967" i="1"/>
  <c r="I967" i="1"/>
  <c r="B968" i="1"/>
  <c r="C968" i="1"/>
  <c r="I968" i="1"/>
  <c r="B969" i="1"/>
  <c r="C969" i="1"/>
  <c r="I969" i="1"/>
  <c r="B970" i="1"/>
  <c r="C970" i="1"/>
  <c r="I970" i="1"/>
  <c r="B971" i="1"/>
  <c r="C971" i="1"/>
  <c r="I971" i="1"/>
  <c r="B972" i="1"/>
  <c r="C972" i="1"/>
  <c r="I972" i="1"/>
  <c r="B973" i="1"/>
  <c r="C973" i="1"/>
  <c r="I973" i="1"/>
  <c r="B974" i="1"/>
  <c r="C974" i="1"/>
  <c r="I974" i="1"/>
  <c r="B975" i="1"/>
  <c r="C975" i="1"/>
  <c r="I975" i="1"/>
  <c r="B976" i="1"/>
  <c r="C976" i="1"/>
  <c r="I976" i="1"/>
  <c r="B977" i="1"/>
  <c r="C977" i="1"/>
  <c r="I977" i="1"/>
  <c r="B978" i="1"/>
  <c r="C978" i="1"/>
  <c r="I978" i="1"/>
  <c r="B979" i="1"/>
  <c r="C979" i="1"/>
  <c r="I979" i="1"/>
  <c r="B980" i="1"/>
  <c r="C980" i="1"/>
  <c r="I980" i="1"/>
  <c r="B981" i="1"/>
  <c r="C981" i="1"/>
  <c r="I981" i="1"/>
  <c r="B982" i="1"/>
  <c r="C982" i="1"/>
  <c r="I982" i="1"/>
  <c r="B983" i="1"/>
  <c r="C983" i="1"/>
  <c r="I983" i="1"/>
  <c r="B984" i="1"/>
  <c r="C984" i="1"/>
  <c r="I984" i="1"/>
  <c r="B985" i="1"/>
  <c r="C985" i="1"/>
  <c r="I985" i="1"/>
  <c r="B986" i="1"/>
  <c r="C986" i="1"/>
  <c r="I986" i="1"/>
  <c r="B987" i="1"/>
  <c r="C987" i="1"/>
  <c r="I987" i="1"/>
  <c r="B988" i="1"/>
  <c r="C988" i="1"/>
  <c r="I988" i="1"/>
  <c r="B989" i="1"/>
  <c r="C989" i="1"/>
  <c r="I989" i="1"/>
  <c r="B990" i="1"/>
  <c r="C990" i="1"/>
  <c r="I990" i="1"/>
  <c r="B991" i="1"/>
  <c r="C991" i="1"/>
  <c r="I991" i="1"/>
  <c r="B992" i="1"/>
  <c r="C992" i="1"/>
  <c r="I992" i="1"/>
  <c r="B993" i="1"/>
  <c r="C993" i="1"/>
  <c r="I993" i="1"/>
  <c r="B994" i="1"/>
  <c r="C994" i="1"/>
  <c r="I994" i="1"/>
  <c r="B995" i="1"/>
  <c r="C995" i="1"/>
  <c r="I995" i="1"/>
  <c r="B996" i="1"/>
  <c r="C996" i="1"/>
  <c r="I996" i="1"/>
  <c r="B997" i="1"/>
  <c r="C997" i="1"/>
  <c r="I997" i="1"/>
  <c r="B998" i="1"/>
  <c r="C998" i="1"/>
  <c r="I998" i="1"/>
  <c r="B999" i="1"/>
  <c r="C999" i="1"/>
  <c r="I999" i="1"/>
  <c r="B1000" i="1"/>
  <c r="C1000" i="1"/>
  <c r="I1000" i="1"/>
  <c r="B1001" i="1"/>
  <c r="C1001" i="1"/>
  <c r="I1001" i="1"/>
  <c r="B1002" i="1"/>
  <c r="C1002" i="1"/>
  <c r="I1002" i="1"/>
  <c r="B1003" i="1"/>
  <c r="C1003" i="1"/>
  <c r="I1003" i="1"/>
  <c r="B1004" i="1"/>
  <c r="C1004" i="1"/>
  <c r="I1004" i="1"/>
  <c r="B1005" i="1"/>
  <c r="C1005" i="1"/>
  <c r="I1005" i="1"/>
  <c r="B1006" i="1"/>
  <c r="C1006" i="1"/>
  <c r="I1006" i="1"/>
  <c r="B1007" i="1"/>
  <c r="C1007" i="1"/>
  <c r="I1007" i="1"/>
  <c r="B1008" i="1"/>
  <c r="C1008" i="1"/>
  <c r="I1008" i="1"/>
  <c r="B1009" i="1"/>
  <c r="C1009" i="1"/>
  <c r="I1009" i="1"/>
  <c r="B1010" i="1"/>
  <c r="C1010" i="1"/>
  <c r="I1010" i="1"/>
  <c r="B1011" i="1"/>
  <c r="C1011" i="1"/>
  <c r="I1011" i="1"/>
  <c r="B1012" i="1"/>
  <c r="C1012" i="1"/>
  <c r="I1012" i="1"/>
  <c r="B1013" i="1"/>
  <c r="C1013" i="1"/>
  <c r="I1013" i="1"/>
  <c r="B1014" i="1"/>
  <c r="C1014" i="1"/>
  <c r="I1014" i="1"/>
  <c r="B1015" i="1"/>
  <c r="C1015" i="1"/>
  <c r="I1015" i="1"/>
  <c r="B1016" i="1"/>
  <c r="C1016" i="1"/>
  <c r="I1016" i="1"/>
  <c r="B1017" i="1"/>
  <c r="C1017" i="1"/>
  <c r="I1017" i="1"/>
  <c r="B1018" i="1"/>
  <c r="C1018" i="1"/>
  <c r="I1018" i="1"/>
  <c r="B1019" i="1"/>
  <c r="C1019" i="1"/>
  <c r="I1019" i="1"/>
  <c r="B1020" i="1"/>
  <c r="C1020" i="1"/>
  <c r="I1020" i="1"/>
  <c r="B1021" i="1"/>
  <c r="C1021" i="1"/>
  <c r="I1021" i="1"/>
  <c r="B1022" i="1"/>
  <c r="C1022" i="1"/>
  <c r="I1022" i="1"/>
  <c r="B1023" i="1"/>
  <c r="C1023" i="1"/>
  <c r="I1023" i="1"/>
  <c r="B1024" i="1"/>
  <c r="C1024" i="1"/>
  <c r="I1024" i="1"/>
  <c r="B1025" i="1"/>
  <c r="C1025" i="1"/>
  <c r="I1025" i="1"/>
  <c r="B1026" i="1"/>
  <c r="C1026" i="1"/>
  <c r="I1026" i="1"/>
  <c r="B1027" i="1"/>
  <c r="C1027" i="1"/>
  <c r="I1027" i="1"/>
  <c r="B1028" i="1"/>
  <c r="C1028" i="1"/>
  <c r="I1028" i="1"/>
  <c r="B1029" i="1"/>
  <c r="C1029" i="1"/>
  <c r="I1029" i="1"/>
  <c r="B1030" i="1"/>
  <c r="C1030" i="1"/>
  <c r="I1030" i="1"/>
  <c r="B1031" i="1"/>
  <c r="C1031" i="1"/>
  <c r="I1031" i="1"/>
  <c r="B1032" i="1"/>
  <c r="C1032" i="1"/>
  <c r="I1032" i="1"/>
  <c r="B1033" i="1"/>
  <c r="C1033" i="1"/>
  <c r="I1033" i="1"/>
  <c r="B1034" i="1"/>
  <c r="C1034" i="1"/>
  <c r="I1034" i="1"/>
  <c r="B1035" i="1"/>
  <c r="C1035" i="1"/>
  <c r="I1035" i="1"/>
  <c r="B1036" i="1"/>
  <c r="C1036" i="1"/>
  <c r="I1036" i="1"/>
  <c r="B1037" i="1"/>
  <c r="C1037" i="1"/>
  <c r="I1037" i="1"/>
  <c r="B1038" i="1"/>
  <c r="C1038" i="1"/>
  <c r="I1038" i="1"/>
  <c r="B1039" i="1"/>
  <c r="C1039" i="1"/>
  <c r="I1039" i="1"/>
  <c r="B1040" i="1"/>
  <c r="C1040" i="1"/>
  <c r="I1040" i="1"/>
  <c r="B1041" i="1"/>
  <c r="C1041" i="1"/>
  <c r="I1041" i="1"/>
  <c r="B1042" i="1"/>
  <c r="C1042" i="1"/>
  <c r="I1042" i="1"/>
  <c r="B1043" i="1"/>
  <c r="C1043" i="1"/>
  <c r="I1043" i="1"/>
  <c r="B1044" i="1"/>
  <c r="C1044" i="1"/>
  <c r="I1044" i="1"/>
  <c r="B1045" i="1"/>
  <c r="C1045" i="1"/>
  <c r="I1045" i="1"/>
  <c r="B1046" i="1"/>
  <c r="C1046" i="1"/>
  <c r="I1046" i="1"/>
  <c r="B1047" i="1"/>
  <c r="C1047" i="1"/>
  <c r="I1047" i="1"/>
  <c r="B1048" i="1"/>
  <c r="C1048" i="1"/>
  <c r="I1048" i="1"/>
  <c r="B1049" i="1"/>
  <c r="C1049" i="1"/>
  <c r="I1049" i="1"/>
  <c r="B1050" i="1"/>
  <c r="C1050" i="1"/>
  <c r="I1050" i="1"/>
  <c r="B1051" i="1"/>
  <c r="C1051" i="1"/>
  <c r="I1051" i="1"/>
  <c r="B1052" i="1"/>
  <c r="C1052" i="1"/>
  <c r="I1052" i="1"/>
  <c r="B1053" i="1"/>
  <c r="C1053" i="1"/>
  <c r="I1053" i="1"/>
  <c r="B1054" i="1"/>
  <c r="C1054" i="1"/>
  <c r="I1054" i="1"/>
  <c r="B1055" i="1"/>
  <c r="C1055" i="1"/>
  <c r="I1055" i="1"/>
  <c r="B1056" i="1"/>
  <c r="C1056" i="1"/>
  <c r="I1056" i="1"/>
  <c r="B1057" i="1"/>
  <c r="C1057" i="1"/>
  <c r="I1057" i="1"/>
  <c r="B1058" i="1"/>
  <c r="C1058" i="1"/>
  <c r="I1058" i="1"/>
  <c r="B1059" i="1"/>
  <c r="C1059" i="1"/>
  <c r="I1059" i="1"/>
  <c r="B1060" i="1"/>
  <c r="C1060" i="1"/>
  <c r="I1060" i="1"/>
  <c r="B1061" i="1"/>
  <c r="C1061" i="1"/>
  <c r="I1061" i="1"/>
  <c r="B1062" i="1"/>
  <c r="C1062" i="1"/>
  <c r="I1062" i="1"/>
  <c r="B1063" i="1"/>
  <c r="C1063" i="1"/>
  <c r="I1063" i="1"/>
  <c r="B1064" i="1"/>
  <c r="C1064" i="1"/>
  <c r="I1064" i="1"/>
  <c r="B1065" i="1"/>
  <c r="C1065" i="1"/>
  <c r="I1065" i="1"/>
  <c r="B1066" i="1"/>
  <c r="C1066" i="1"/>
  <c r="I1066" i="1"/>
  <c r="B1067" i="1"/>
  <c r="C1067" i="1"/>
  <c r="I1067" i="1"/>
  <c r="B1068" i="1"/>
  <c r="C1068" i="1"/>
  <c r="I1068" i="1"/>
  <c r="B1069" i="1"/>
  <c r="C1069" i="1"/>
  <c r="I1069" i="1"/>
  <c r="B1070" i="1"/>
  <c r="C1070" i="1"/>
  <c r="I1070" i="1"/>
  <c r="B1071" i="1"/>
  <c r="C1071" i="1"/>
  <c r="I1071" i="1"/>
  <c r="B1072" i="1"/>
  <c r="C1072" i="1"/>
  <c r="I1072" i="1"/>
  <c r="B1073" i="1"/>
  <c r="C1073" i="1"/>
  <c r="I1073" i="1"/>
  <c r="B1074" i="1"/>
  <c r="C1074" i="1"/>
  <c r="I1074" i="1"/>
  <c r="B1075" i="1"/>
  <c r="C1075" i="1"/>
  <c r="I1075" i="1"/>
  <c r="B1076" i="1"/>
  <c r="C1076" i="1"/>
  <c r="I1076" i="1"/>
  <c r="B1077" i="1"/>
  <c r="C1077" i="1"/>
  <c r="I1077" i="1"/>
  <c r="B1078" i="1"/>
  <c r="C1078" i="1"/>
  <c r="I1078" i="1"/>
  <c r="B1079" i="1"/>
  <c r="C1079" i="1"/>
  <c r="I1079" i="1"/>
  <c r="B1080" i="1"/>
  <c r="C1080" i="1"/>
  <c r="I1080" i="1"/>
  <c r="B1081" i="1"/>
  <c r="C1081" i="1"/>
  <c r="I1081" i="1"/>
  <c r="B1082" i="1"/>
  <c r="C1082" i="1"/>
  <c r="I1082" i="1"/>
  <c r="B1083" i="1"/>
  <c r="C1083" i="1"/>
  <c r="I1083" i="1"/>
  <c r="B1084" i="1"/>
  <c r="C1084" i="1"/>
  <c r="I1084" i="1"/>
  <c r="B1085" i="1"/>
  <c r="C1085" i="1"/>
  <c r="I1085" i="1"/>
  <c r="B1086" i="1"/>
  <c r="C1086" i="1"/>
  <c r="I1086" i="1"/>
  <c r="B1087" i="1"/>
  <c r="C1087" i="1"/>
  <c r="I1087" i="1"/>
  <c r="B1088" i="1"/>
  <c r="C1088" i="1"/>
  <c r="I1088" i="1"/>
  <c r="B1089" i="1"/>
  <c r="C1089" i="1"/>
  <c r="I1089" i="1"/>
  <c r="B1090" i="1"/>
  <c r="C1090" i="1"/>
  <c r="I1090" i="1"/>
  <c r="B1091" i="1"/>
  <c r="C1091" i="1"/>
  <c r="I1091" i="1"/>
  <c r="B1092" i="1"/>
  <c r="C1092" i="1"/>
  <c r="I1092" i="1"/>
  <c r="B1093" i="1"/>
  <c r="C1093" i="1"/>
  <c r="I1093" i="1"/>
  <c r="B1094" i="1"/>
  <c r="C1094" i="1"/>
  <c r="I1094" i="1"/>
  <c r="B1095" i="1"/>
  <c r="C1095" i="1"/>
  <c r="I1095" i="1"/>
  <c r="B1096" i="1"/>
  <c r="C1096" i="1"/>
  <c r="I1096" i="1"/>
  <c r="B1097" i="1"/>
  <c r="C1097" i="1"/>
  <c r="I1097" i="1"/>
  <c r="B1098" i="1"/>
  <c r="C1098" i="1"/>
  <c r="I1098" i="1"/>
  <c r="B1099" i="1"/>
  <c r="C1099" i="1"/>
  <c r="I1099" i="1"/>
  <c r="B1100" i="1"/>
  <c r="C1100" i="1"/>
  <c r="I1100" i="1"/>
  <c r="B1101" i="1"/>
  <c r="C1101" i="1"/>
  <c r="I1101" i="1"/>
  <c r="B1102" i="1"/>
  <c r="C1102" i="1"/>
  <c r="I1102" i="1"/>
  <c r="B1103" i="1"/>
  <c r="C1103" i="1"/>
  <c r="I1103" i="1"/>
  <c r="B1104" i="1"/>
  <c r="C1104" i="1"/>
  <c r="I1104" i="1"/>
  <c r="B1105" i="1"/>
  <c r="C1105" i="1"/>
  <c r="I1105" i="1"/>
  <c r="B1106" i="1"/>
  <c r="C1106" i="1"/>
  <c r="I1106" i="1"/>
  <c r="B1107" i="1"/>
  <c r="C1107" i="1"/>
  <c r="I1107" i="1"/>
  <c r="B1108" i="1"/>
  <c r="C1108" i="1"/>
  <c r="I1108" i="1"/>
  <c r="B1109" i="1"/>
  <c r="C1109" i="1"/>
  <c r="I1109" i="1"/>
  <c r="B1110" i="1"/>
  <c r="C1110" i="1"/>
  <c r="I1110" i="1"/>
  <c r="B1111" i="1"/>
  <c r="C1111" i="1"/>
  <c r="I1111" i="1"/>
  <c r="B1112" i="1"/>
  <c r="C1112" i="1"/>
  <c r="I1112" i="1"/>
  <c r="B1113" i="1"/>
  <c r="C1113" i="1"/>
  <c r="I1113" i="1"/>
  <c r="B1114" i="1"/>
  <c r="C1114" i="1"/>
  <c r="I1114" i="1"/>
  <c r="B1115" i="1"/>
  <c r="C1115" i="1"/>
  <c r="I1115" i="1"/>
  <c r="B1116" i="1"/>
  <c r="C1116" i="1"/>
  <c r="I1116" i="1"/>
  <c r="B1117" i="1"/>
  <c r="C1117" i="1"/>
  <c r="I1117" i="1"/>
  <c r="B1118" i="1"/>
  <c r="C1118" i="1"/>
  <c r="I1118" i="1"/>
  <c r="B1119" i="1"/>
  <c r="C1119" i="1"/>
  <c r="I1119" i="1"/>
  <c r="B1120" i="1"/>
  <c r="C1120" i="1"/>
  <c r="I1120" i="1"/>
  <c r="B1121" i="1"/>
  <c r="C1121" i="1"/>
  <c r="I1121" i="1"/>
  <c r="B1122" i="1"/>
  <c r="C1122" i="1"/>
  <c r="I1122" i="1"/>
  <c r="B1123" i="1"/>
  <c r="C1123" i="1"/>
  <c r="I1123" i="1"/>
  <c r="B1124" i="1"/>
  <c r="C1124" i="1"/>
  <c r="I1124" i="1"/>
  <c r="B1125" i="1"/>
  <c r="C1125" i="1"/>
  <c r="I1125" i="1"/>
  <c r="B1126" i="1"/>
  <c r="C1126" i="1"/>
  <c r="I1126" i="1"/>
  <c r="B1127" i="1"/>
  <c r="C1127" i="1"/>
  <c r="I1127" i="1"/>
  <c r="B1128" i="1"/>
  <c r="C1128" i="1"/>
  <c r="I1128" i="1"/>
  <c r="B1129" i="1"/>
  <c r="C1129" i="1"/>
  <c r="I1129" i="1"/>
  <c r="B1130" i="1"/>
  <c r="C1130" i="1"/>
  <c r="I1130" i="1"/>
  <c r="B1131" i="1"/>
  <c r="C1131" i="1"/>
  <c r="I1131" i="1"/>
  <c r="B1132" i="1"/>
  <c r="C1132" i="1"/>
  <c r="I1132" i="1"/>
  <c r="B1133" i="1"/>
  <c r="C1133" i="1"/>
  <c r="I1133" i="1"/>
  <c r="B1134" i="1"/>
  <c r="C1134" i="1"/>
  <c r="I1134" i="1"/>
  <c r="B1135" i="1"/>
  <c r="C1135" i="1"/>
  <c r="I1135" i="1"/>
  <c r="B1136" i="1"/>
  <c r="C1136" i="1"/>
  <c r="I1136" i="1"/>
  <c r="B1137" i="1"/>
  <c r="C1137" i="1"/>
  <c r="I1137" i="1"/>
  <c r="B1138" i="1"/>
  <c r="C1138" i="1"/>
  <c r="I1138" i="1"/>
  <c r="B1139" i="1"/>
  <c r="C1139" i="1"/>
  <c r="I1139" i="1"/>
  <c r="B1140" i="1"/>
  <c r="C1140" i="1"/>
  <c r="I1140" i="1"/>
  <c r="B1141" i="1"/>
  <c r="C1141" i="1"/>
  <c r="I1141" i="1"/>
  <c r="B1142" i="1"/>
  <c r="C1142" i="1"/>
  <c r="I1142" i="1"/>
  <c r="B1143" i="1"/>
  <c r="C1143" i="1"/>
  <c r="I1143" i="1"/>
  <c r="B1144" i="1"/>
  <c r="C1144" i="1"/>
  <c r="I1144" i="1"/>
  <c r="B1145" i="1"/>
  <c r="C1145" i="1"/>
  <c r="I1145" i="1"/>
  <c r="B1146" i="1"/>
  <c r="C1146" i="1"/>
  <c r="I1146" i="1"/>
  <c r="B1147" i="1"/>
  <c r="C1147" i="1"/>
  <c r="I1147" i="1"/>
  <c r="B1148" i="1"/>
  <c r="C1148" i="1"/>
  <c r="I1148" i="1"/>
  <c r="B1149" i="1"/>
  <c r="C1149" i="1"/>
  <c r="I1149" i="1"/>
  <c r="B1150" i="1"/>
  <c r="C1150" i="1"/>
  <c r="I1150" i="1"/>
  <c r="B1151" i="1"/>
  <c r="C1151" i="1"/>
  <c r="I1151" i="1"/>
  <c r="B1152" i="1"/>
  <c r="C1152" i="1"/>
  <c r="I1152" i="1"/>
  <c r="B1153" i="1"/>
  <c r="C1153" i="1"/>
  <c r="I1153" i="1"/>
  <c r="B1154" i="1"/>
  <c r="C1154" i="1"/>
  <c r="I1154" i="1"/>
  <c r="B1155" i="1"/>
  <c r="C1155" i="1"/>
  <c r="I1155" i="1"/>
  <c r="B1156" i="1"/>
  <c r="C1156" i="1"/>
  <c r="I1156" i="1"/>
  <c r="B1157" i="1"/>
  <c r="C1157" i="1"/>
  <c r="I1157" i="1"/>
  <c r="B1158" i="1"/>
  <c r="C1158" i="1"/>
  <c r="I1158" i="1"/>
  <c r="B1159" i="1"/>
  <c r="C1159" i="1"/>
  <c r="I1159" i="1"/>
  <c r="B1160" i="1"/>
  <c r="C1160" i="1"/>
  <c r="I1160" i="1"/>
  <c r="B1161" i="1"/>
  <c r="C1161" i="1"/>
  <c r="I1161" i="1"/>
  <c r="B1162" i="1"/>
  <c r="C1162" i="1"/>
  <c r="I1162" i="1"/>
  <c r="B1163" i="1"/>
  <c r="C1163" i="1"/>
  <c r="I1163" i="1"/>
  <c r="B1164" i="1"/>
  <c r="C1164" i="1"/>
  <c r="I1164" i="1"/>
  <c r="B1165" i="1"/>
  <c r="C1165" i="1"/>
  <c r="I1165" i="1"/>
  <c r="B1166" i="1"/>
  <c r="C1166" i="1"/>
  <c r="I1166" i="1"/>
  <c r="B1167" i="1"/>
  <c r="C1167" i="1"/>
  <c r="I1167" i="1"/>
  <c r="B1168" i="1"/>
  <c r="C1168" i="1"/>
  <c r="I1168" i="1"/>
  <c r="B1169" i="1"/>
  <c r="C1169" i="1"/>
  <c r="I1169" i="1"/>
  <c r="B1170" i="1"/>
  <c r="C1170" i="1"/>
  <c r="I1170" i="1"/>
  <c r="B1171" i="1"/>
  <c r="C1171" i="1"/>
  <c r="I1171" i="1"/>
  <c r="B1172" i="1"/>
  <c r="C1172" i="1"/>
  <c r="I1172" i="1"/>
  <c r="B1173" i="1"/>
  <c r="C1173" i="1"/>
  <c r="I1173" i="1"/>
  <c r="B1174" i="1"/>
  <c r="C1174" i="1"/>
  <c r="I1174" i="1"/>
  <c r="B1175" i="1"/>
  <c r="C1175" i="1"/>
  <c r="I1175" i="1"/>
  <c r="B1176" i="1"/>
  <c r="C1176" i="1"/>
  <c r="I1176" i="1"/>
  <c r="B1177" i="1"/>
  <c r="C1177" i="1"/>
  <c r="I1177" i="1"/>
  <c r="B1178" i="1"/>
  <c r="C1178" i="1"/>
  <c r="I1178" i="1"/>
  <c r="B1179" i="1"/>
  <c r="C1179" i="1"/>
  <c r="I1179" i="1"/>
  <c r="B1180" i="1"/>
  <c r="C1180" i="1"/>
  <c r="I1180" i="1"/>
  <c r="B1181" i="1"/>
  <c r="C1181" i="1"/>
  <c r="I1181" i="1"/>
  <c r="B1182" i="1"/>
  <c r="C1182" i="1"/>
  <c r="I1182" i="1"/>
  <c r="B1183" i="1"/>
  <c r="C1183" i="1"/>
  <c r="I1183" i="1"/>
  <c r="B1184" i="1"/>
  <c r="C1184" i="1"/>
  <c r="I1184" i="1"/>
  <c r="B1185" i="1"/>
  <c r="C1185" i="1"/>
  <c r="I1185" i="1"/>
  <c r="B1186" i="1"/>
  <c r="C1186" i="1"/>
  <c r="I1186" i="1"/>
  <c r="B1187" i="1"/>
  <c r="C1187" i="1"/>
  <c r="I1187" i="1"/>
  <c r="B1188" i="1"/>
  <c r="C1188" i="1"/>
  <c r="I1188" i="1"/>
  <c r="B1189" i="1"/>
  <c r="C1189" i="1"/>
  <c r="I1189" i="1"/>
  <c r="B1190" i="1"/>
  <c r="C1190" i="1"/>
  <c r="I1190" i="1"/>
  <c r="B1191" i="1"/>
  <c r="C1191" i="1"/>
  <c r="I1191" i="1"/>
  <c r="B1192" i="1"/>
  <c r="C1192" i="1"/>
  <c r="I1192" i="1"/>
  <c r="B1193" i="1"/>
  <c r="C1193" i="1"/>
  <c r="I1193" i="1"/>
  <c r="B1194" i="1"/>
  <c r="C1194" i="1"/>
  <c r="I1194" i="1"/>
  <c r="B1195" i="1"/>
  <c r="C1195" i="1"/>
  <c r="I1195" i="1"/>
  <c r="B1196" i="1"/>
  <c r="C1196" i="1"/>
  <c r="I1196" i="1"/>
  <c r="B1197" i="1"/>
  <c r="C1197" i="1"/>
  <c r="I1197" i="1"/>
  <c r="B1198" i="1"/>
  <c r="C1198" i="1"/>
  <c r="I1198" i="1"/>
  <c r="B1199" i="1"/>
  <c r="C1199" i="1"/>
  <c r="I1199" i="1"/>
  <c r="B1200" i="1"/>
  <c r="C1200" i="1"/>
  <c r="I1200" i="1"/>
  <c r="B1201" i="1"/>
  <c r="C1201" i="1"/>
  <c r="I1201" i="1"/>
  <c r="B1202" i="1"/>
  <c r="C1202" i="1"/>
  <c r="I1202" i="1"/>
  <c r="B1203" i="1"/>
  <c r="C1203" i="1"/>
  <c r="I1203" i="1"/>
  <c r="B1204" i="1"/>
  <c r="C1204" i="1"/>
  <c r="I1204" i="1"/>
  <c r="B1205" i="1"/>
  <c r="C1205" i="1"/>
  <c r="I1205" i="1"/>
  <c r="B1206" i="1"/>
  <c r="C1206" i="1"/>
  <c r="I1206" i="1"/>
  <c r="B1207" i="1"/>
  <c r="C1207" i="1"/>
  <c r="I1207" i="1"/>
  <c r="B1208" i="1"/>
  <c r="C1208" i="1"/>
  <c r="I1208" i="1"/>
  <c r="B1209" i="1"/>
  <c r="C1209" i="1"/>
  <c r="I1209" i="1"/>
  <c r="B1210" i="1"/>
  <c r="C1210" i="1"/>
  <c r="I1210" i="1"/>
  <c r="B1211" i="1"/>
  <c r="C1211" i="1"/>
  <c r="I1211" i="1"/>
  <c r="B1212" i="1"/>
  <c r="C1212" i="1"/>
  <c r="I1212" i="1"/>
  <c r="B1213" i="1"/>
  <c r="C1213" i="1"/>
  <c r="I1213" i="1"/>
  <c r="B1214" i="1"/>
  <c r="C1214" i="1"/>
  <c r="I1214" i="1"/>
  <c r="B1215" i="1"/>
  <c r="C1215" i="1"/>
  <c r="I1215" i="1"/>
  <c r="B1216" i="1"/>
  <c r="C1216" i="1"/>
  <c r="I1216" i="1"/>
  <c r="B1217" i="1"/>
  <c r="C1217" i="1"/>
  <c r="I1217" i="1"/>
  <c r="B1218" i="1"/>
  <c r="C1218" i="1"/>
  <c r="I1218" i="1"/>
  <c r="B1219" i="1"/>
  <c r="C1219" i="1"/>
  <c r="I1219" i="1"/>
  <c r="B1220" i="1"/>
  <c r="C1220" i="1"/>
  <c r="I1220" i="1"/>
  <c r="B1221" i="1"/>
  <c r="C1221" i="1"/>
  <c r="I1221" i="1"/>
  <c r="B1222" i="1"/>
  <c r="C1222" i="1"/>
  <c r="I1222" i="1"/>
  <c r="B1223" i="1"/>
  <c r="C1223" i="1"/>
  <c r="I1223" i="1"/>
  <c r="B1224" i="1"/>
  <c r="C1224" i="1"/>
  <c r="I1224" i="1"/>
  <c r="B1225" i="1"/>
  <c r="C1225" i="1"/>
  <c r="I1225" i="1"/>
  <c r="B1226" i="1"/>
  <c r="C1226" i="1"/>
  <c r="I1226" i="1"/>
  <c r="B1227" i="1"/>
  <c r="C1227" i="1"/>
  <c r="I1227" i="1"/>
  <c r="B1228" i="1"/>
  <c r="C1228" i="1"/>
  <c r="I1228" i="1"/>
  <c r="B1229" i="1"/>
  <c r="C1229" i="1"/>
  <c r="I1229" i="1"/>
  <c r="B1230" i="1"/>
  <c r="C1230" i="1"/>
  <c r="I1230" i="1"/>
  <c r="B1231" i="1"/>
  <c r="C1231" i="1"/>
  <c r="I1231" i="1"/>
  <c r="B1232" i="1"/>
  <c r="C1232" i="1"/>
  <c r="I1232" i="1"/>
  <c r="B1233" i="1"/>
  <c r="C1233" i="1"/>
  <c r="I1233" i="1"/>
  <c r="B1234" i="1"/>
  <c r="C1234" i="1"/>
  <c r="I1234" i="1"/>
  <c r="B1235" i="1"/>
  <c r="C1235" i="1"/>
  <c r="I1235" i="1"/>
  <c r="B1236" i="1"/>
  <c r="C1236" i="1"/>
  <c r="I1236" i="1"/>
  <c r="B1237" i="1"/>
  <c r="C1237" i="1"/>
  <c r="I1237" i="1"/>
  <c r="B1238" i="1"/>
  <c r="C1238" i="1"/>
  <c r="I1238" i="1"/>
  <c r="B1239" i="1"/>
  <c r="C1239" i="1"/>
  <c r="I1239" i="1"/>
  <c r="B1240" i="1"/>
  <c r="C1240" i="1"/>
  <c r="I1240" i="1"/>
  <c r="B1241" i="1"/>
  <c r="C1241" i="1"/>
  <c r="I1241" i="1"/>
  <c r="B1242" i="1"/>
  <c r="C1242" i="1"/>
  <c r="I1242" i="1"/>
  <c r="B1243" i="1"/>
  <c r="C1243" i="1"/>
  <c r="I1243" i="1"/>
  <c r="B1244" i="1"/>
  <c r="C1244" i="1"/>
  <c r="I1244" i="1"/>
  <c r="B1245" i="1"/>
  <c r="C1245" i="1"/>
  <c r="I1245" i="1"/>
  <c r="B1246" i="1"/>
  <c r="C1246" i="1"/>
  <c r="I1246" i="1"/>
  <c r="B1247" i="1"/>
  <c r="C1247" i="1"/>
  <c r="I1247" i="1"/>
  <c r="B1248" i="1"/>
  <c r="C1248" i="1"/>
  <c r="I1248" i="1"/>
  <c r="B1249" i="1"/>
  <c r="C1249" i="1"/>
  <c r="I1249" i="1"/>
  <c r="B1250" i="1"/>
  <c r="C1250" i="1"/>
  <c r="I1250" i="1"/>
  <c r="B1251" i="1"/>
  <c r="C1251" i="1"/>
  <c r="I1251" i="1"/>
  <c r="B1252" i="1"/>
  <c r="C1252" i="1"/>
  <c r="I1252" i="1"/>
  <c r="B1253" i="1"/>
  <c r="C1253" i="1"/>
  <c r="I1253" i="1"/>
  <c r="B1254" i="1"/>
  <c r="C1254" i="1"/>
  <c r="I1254" i="1"/>
  <c r="B1255" i="1"/>
  <c r="C1255" i="1"/>
  <c r="I1255" i="1"/>
  <c r="B1256" i="1"/>
  <c r="C1256" i="1"/>
  <c r="I1256" i="1"/>
  <c r="B1257" i="1"/>
  <c r="C1257" i="1"/>
  <c r="I1257" i="1"/>
  <c r="B1258" i="1"/>
  <c r="C1258" i="1"/>
  <c r="I1258" i="1"/>
  <c r="B1259" i="1"/>
  <c r="C1259" i="1"/>
  <c r="I1259" i="1"/>
  <c r="B1260" i="1"/>
  <c r="C1260" i="1"/>
  <c r="I1260" i="1"/>
  <c r="B1261" i="1"/>
  <c r="C1261" i="1"/>
  <c r="I1261" i="1"/>
  <c r="B1262" i="1"/>
  <c r="C1262" i="1"/>
  <c r="I1262" i="1"/>
  <c r="B1263" i="1"/>
  <c r="C1263" i="1"/>
  <c r="I1263" i="1"/>
  <c r="B1264" i="1"/>
  <c r="C1264" i="1"/>
  <c r="I1264" i="1"/>
  <c r="B1265" i="1"/>
  <c r="C1265" i="1"/>
  <c r="I1265" i="1"/>
  <c r="B1266" i="1"/>
  <c r="C1266" i="1"/>
  <c r="I1266" i="1"/>
  <c r="B1267" i="1"/>
  <c r="C1267" i="1"/>
  <c r="I1267" i="1"/>
  <c r="B1268" i="1"/>
  <c r="C1268" i="1"/>
  <c r="I1268" i="1"/>
  <c r="B1269" i="1"/>
  <c r="C1269" i="1"/>
  <c r="I1269" i="1"/>
  <c r="B1270" i="1"/>
  <c r="C1270" i="1"/>
  <c r="I1270" i="1"/>
  <c r="B1271" i="1"/>
  <c r="C1271" i="1"/>
  <c r="I1271" i="1"/>
  <c r="B1272" i="1"/>
  <c r="C1272" i="1"/>
  <c r="I1272" i="1"/>
  <c r="B1273" i="1"/>
  <c r="C1273" i="1"/>
  <c r="I1273" i="1"/>
  <c r="B1274" i="1"/>
  <c r="C1274" i="1"/>
  <c r="I1274" i="1"/>
  <c r="B1275" i="1"/>
  <c r="C1275" i="1"/>
  <c r="I1275" i="1"/>
  <c r="B1276" i="1"/>
  <c r="C1276" i="1"/>
  <c r="I1276" i="1"/>
  <c r="B1277" i="1"/>
  <c r="C1277" i="1"/>
  <c r="I1277" i="1"/>
  <c r="B1278" i="1"/>
  <c r="C1278" i="1"/>
  <c r="I1278" i="1"/>
  <c r="B1279" i="1"/>
  <c r="C1279" i="1"/>
  <c r="I1279" i="1"/>
  <c r="B1280" i="1"/>
  <c r="C1280" i="1"/>
  <c r="I1280" i="1"/>
  <c r="B1281" i="1"/>
  <c r="C1281" i="1"/>
  <c r="I1281" i="1"/>
  <c r="B1282" i="1"/>
  <c r="C1282" i="1"/>
  <c r="I1282" i="1"/>
  <c r="B1283" i="1"/>
  <c r="C1283" i="1"/>
  <c r="I1283" i="1"/>
  <c r="B1284" i="1"/>
  <c r="C1284" i="1"/>
  <c r="I1284" i="1"/>
  <c r="B1285" i="1"/>
  <c r="C1285" i="1"/>
  <c r="I1285" i="1"/>
  <c r="B1286" i="1"/>
  <c r="C1286" i="1"/>
  <c r="I1286" i="1"/>
  <c r="B1287" i="1"/>
  <c r="C1287" i="1"/>
  <c r="I1287" i="1"/>
  <c r="B1288" i="1"/>
  <c r="C1288" i="1"/>
  <c r="I1288" i="1"/>
  <c r="B1289" i="1"/>
  <c r="C1289" i="1"/>
  <c r="I1289" i="1"/>
  <c r="B1290" i="1"/>
  <c r="C1290" i="1"/>
  <c r="I1290" i="1"/>
  <c r="B1291" i="1"/>
  <c r="C1291" i="1"/>
  <c r="I1291" i="1"/>
  <c r="B1292" i="1"/>
  <c r="C1292" i="1"/>
  <c r="I1292" i="1"/>
  <c r="B1293" i="1"/>
  <c r="C1293" i="1"/>
  <c r="I1293" i="1"/>
  <c r="B1294" i="1"/>
  <c r="C1294" i="1"/>
  <c r="I1294" i="1"/>
  <c r="B1295" i="1"/>
  <c r="C1295" i="1"/>
  <c r="I1295" i="1"/>
  <c r="B1296" i="1"/>
  <c r="C1296" i="1"/>
  <c r="I1296" i="1"/>
  <c r="B1297" i="1"/>
  <c r="C1297" i="1"/>
  <c r="I1297" i="1"/>
  <c r="B1298" i="1"/>
  <c r="C1298" i="1"/>
  <c r="I1298" i="1"/>
  <c r="B1299" i="1"/>
  <c r="C1299" i="1"/>
  <c r="I1299" i="1"/>
  <c r="B1300" i="1"/>
  <c r="C1300" i="1"/>
  <c r="I1300" i="1"/>
  <c r="B1301" i="1"/>
  <c r="C1301" i="1"/>
  <c r="I1301" i="1"/>
  <c r="B1302" i="1"/>
  <c r="C1302" i="1"/>
  <c r="I1302" i="1"/>
  <c r="B1303" i="1"/>
  <c r="C1303" i="1"/>
  <c r="I1303" i="1"/>
  <c r="B1304" i="1"/>
  <c r="C1304" i="1"/>
  <c r="I1304" i="1"/>
  <c r="B1305" i="1"/>
  <c r="C1305" i="1"/>
  <c r="I1305" i="1"/>
  <c r="B1306" i="1"/>
  <c r="C1306" i="1"/>
  <c r="I1306" i="1"/>
  <c r="B1307" i="1"/>
  <c r="C1307" i="1"/>
  <c r="I1307" i="1"/>
  <c r="B1308" i="1"/>
  <c r="C1308" i="1"/>
  <c r="I1308" i="1"/>
  <c r="B1309" i="1"/>
  <c r="C1309" i="1"/>
  <c r="I1309" i="1"/>
  <c r="B1310" i="1"/>
  <c r="C1310" i="1"/>
  <c r="I1310" i="1"/>
  <c r="B1311" i="1"/>
  <c r="C1311" i="1"/>
  <c r="I1311" i="1"/>
  <c r="B1312" i="1"/>
  <c r="C1312" i="1"/>
  <c r="I1312" i="1"/>
  <c r="B1313" i="1"/>
  <c r="C1313" i="1"/>
  <c r="I1313" i="1"/>
  <c r="B1314" i="1"/>
  <c r="C1314" i="1"/>
  <c r="I1314" i="1"/>
  <c r="B1315" i="1"/>
  <c r="C1315" i="1"/>
  <c r="I1315" i="1"/>
  <c r="B1316" i="1"/>
  <c r="C1316" i="1"/>
  <c r="I1316" i="1"/>
  <c r="B1317" i="1"/>
  <c r="C1317" i="1"/>
  <c r="I1317" i="1"/>
  <c r="B1318" i="1"/>
  <c r="C1318" i="1"/>
  <c r="I1318" i="1"/>
  <c r="B1319" i="1"/>
  <c r="C1319" i="1"/>
  <c r="I1319" i="1"/>
  <c r="B1320" i="1"/>
  <c r="C1320" i="1"/>
  <c r="I1320" i="1"/>
  <c r="B1321" i="1"/>
  <c r="C1321" i="1"/>
  <c r="I1321" i="1"/>
  <c r="B1322" i="1"/>
  <c r="C1322" i="1"/>
  <c r="I1322" i="1"/>
  <c r="B1323" i="1"/>
  <c r="C1323" i="1"/>
  <c r="I1323" i="1"/>
  <c r="B1324" i="1"/>
  <c r="C1324" i="1"/>
  <c r="I1324" i="1"/>
  <c r="B1325" i="1"/>
  <c r="C1325" i="1"/>
  <c r="I1325" i="1"/>
  <c r="B1326" i="1"/>
  <c r="C1326" i="1"/>
  <c r="I1326" i="1"/>
  <c r="B1327" i="1"/>
  <c r="C1327" i="1"/>
  <c r="I1327" i="1"/>
  <c r="B1328" i="1"/>
  <c r="C1328" i="1"/>
  <c r="I1328" i="1"/>
  <c r="B1329" i="1"/>
  <c r="C1329" i="1"/>
  <c r="I1329" i="1"/>
  <c r="B1330" i="1"/>
  <c r="C1330" i="1"/>
  <c r="I1330" i="1"/>
  <c r="B1331" i="1"/>
  <c r="C1331" i="1"/>
  <c r="I1331" i="1"/>
  <c r="B1332" i="1"/>
  <c r="C1332" i="1"/>
  <c r="I1332" i="1"/>
  <c r="B1333" i="1"/>
  <c r="C1333" i="1"/>
  <c r="I1333" i="1"/>
  <c r="B1334" i="1"/>
  <c r="C1334" i="1"/>
  <c r="I1334" i="1"/>
  <c r="B1335" i="1"/>
  <c r="C1335" i="1"/>
  <c r="I1335" i="1"/>
  <c r="B1336" i="1"/>
  <c r="C1336" i="1"/>
  <c r="I1336" i="1"/>
  <c r="B1337" i="1"/>
  <c r="C1337" i="1"/>
  <c r="I1337" i="1"/>
  <c r="B1338" i="1"/>
  <c r="C1338" i="1"/>
  <c r="I1338" i="1"/>
  <c r="B1339" i="1"/>
  <c r="C1339" i="1"/>
  <c r="I1339" i="1"/>
  <c r="B1340" i="1"/>
  <c r="C1340" i="1"/>
  <c r="I1340" i="1"/>
  <c r="B1341" i="1"/>
  <c r="C1341" i="1"/>
  <c r="I1341" i="1"/>
  <c r="B1342" i="1"/>
  <c r="C1342" i="1"/>
  <c r="I1342" i="1"/>
  <c r="B1343" i="1"/>
  <c r="C1343" i="1"/>
  <c r="I1343" i="1"/>
  <c r="B1344" i="1"/>
  <c r="C1344" i="1"/>
  <c r="I1344" i="1"/>
  <c r="B1345" i="1"/>
  <c r="C1345" i="1"/>
  <c r="I1345" i="1"/>
  <c r="B1346" i="1"/>
  <c r="C1346" i="1"/>
  <c r="I1346" i="1"/>
  <c r="B1347" i="1"/>
  <c r="C1347" i="1"/>
  <c r="I1347" i="1"/>
  <c r="B1348" i="1"/>
  <c r="C1348" i="1"/>
  <c r="I1348" i="1"/>
  <c r="B1349" i="1"/>
  <c r="C1349" i="1"/>
  <c r="I1349" i="1"/>
  <c r="B1350" i="1"/>
  <c r="C1350" i="1"/>
  <c r="I1350" i="1"/>
  <c r="B1351" i="1"/>
  <c r="C1351" i="1"/>
  <c r="I1351" i="1"/>
  <c r="B1352" i="1"/>
  <c r="C1352" i="1"/>
  <c r="I1352" i="1"/>
  <c r="B1353" i="1"/>
  <c r="C1353" i="1"/>
  <c r="I1353" i="1"/>
  <c r="B1354" i="1"/>
  <c r="C1354" i="1"/>
  <c r="I1354" i="1"/>
  <c r="B1355" i="1"/>
  <c r="C1355" i="1"/>
  <c r="I1355" i="1"/>
  <c r="B1356" i="1"/>
  <c r="C1356" i="1"/>
  <c r="I1356" i="1"/>
  <c r="B1357" i="1"/>
  <c r="C1357" i="1"/>
  <c r="I1357" i="1"/>
  <c r="B1358" i="1"/>
  <c r="C1358" i="1"/>
  <c r="I1358" i="1"/>
  <c r="B1359" i="1"/>
  <c r="C1359" i="1"/>
  <c r="I1359" i="1"/>
  <c r="B1360" i="1"/>
  <c r="C1360" i="1"/>
  <c r="I1360" i="1"/>
  <c r="B1361" i="1"/>
  <c r="C1361" i="1"/>
  <c r="I1361" i="1"/>
  <c r="B1362" i="1"/>
  <c r="C1362" i="1"/>
  <c r="I1362" i="1"/>
  <c r="B1363" i="1"/>
  <c r="C1363" i="1"/>
  <c r="I1363" i="1"/>
  <c r="B1364" i="1"/>
  <c r="C1364" i="1"/>
  <c r="I1364" i="1"/>
  <c r="B1365" i="1"/>
  <c r="C1365" i="1"/>
  <c r="I1365" i="1"/>
  <c r="B1366" i="1"/>
  <c r="C1366" i="1"/>
  <c r="I1366" i="1"/>
  <c r="B1367" i="1"/>
  <c r="C1367" i="1"/>
  <c r="I1367" i="1"/>
  <c r="B1368" i="1"/>
  <c r="C1368" i="1"/>
  <c r="I1368" i="1"/>
  <c r="B1369" i="1"/>
  <c r="C1369" i="1"/>
  <c r="I1369" i="1"/>
  <c r="B1370" i="1"/>
  <c r="C1370" i="1"/>
  <c r="I1370" i="1"/>
  <c r="B1371" i="1"/>
  <c r="C1371" i="1"/>
  <c r="I1371" i="1"/>
  <c r="B1372" i="1"/>
  <c r="C1372" i="1"/>
  <c r="I1372" i="1"/>
  <c r="B1373" i="1"/>
  <c r="C1373" i="1"/>
  <c r="I1373" i="1"/>
  <c r="B1374" i="1"/>
  <c r="C1374" i="1"/>
  <c r="I1374" i="1"/>
  <c r="B1375" i="1"/>
  <c r="C1375" i="1"/>
  <c r="I1375" i="1"/>
  <c r="B1376" i="1"/>
  <c r="C1376" i="1"/>
  <c r="I1376" i="1"/>
  <c r="B1377" i="1"/>
  <c r="C1377" i="1"/>
  <c r="I1377" i="1"/>
  <c r="B1378" i="1"/>
  <c r="C1378" i="1"/>
  <c r="I1378" i="1"/>
  <c r="B1379" i="1"/>
  <c r="C1379" i="1"/>
  <c r="I1379" i="1"/>
  <c r="B1380" i="1"/>
  <c r="C1380" i="1"/>
  <c r="I1380" i="1"/>
  <c r="B1381" i="1"/>
  <c r="C1381" i="1"/>
  <c r="I1381" i="1"/>
  <c r="B1382" i="1"/>
  <c r="C1382" i="1"/>
  <c r="I1382" i="1"/>
  <c r="B1383" i="1"/>
  <c r="C1383" i="1"/>
  <c r="I1383" i="1"/>
  <c r="B1384" i="1"/>
  <c r="C1384" i="1"/>
  <c r="I1384" i="1"/>
  <c r="B1385" i="1"/>
  <c r="C1385" i="1"/>
  <c r="I1385" i="1"/>
  <c r="B1386" i="1"/>
  <c r="C1386" i="1"/>
  <c r="I1386" i="1"/>
  <c r="B1387" i="1"/>
  <c r="C1387" i="1"/>
  <c r="I1387" i="1"/>
  <c r="B1388" i="1"/>
  <c r="C1388" i="1"/>
  <c r="I1388" i="1"/>
  <c r="B1389" i="1"/>
  <c r="C1389" i="1"/>
  <c r="I1389" i="1"/>
  <c r="B1390" i="1"/>
  <c r="C1390" i="1"/>
  <c r="I1390" i="1"/>
  <c r="B1391" i="1"/>
  <c r="C1391" i="1"/>
  <c r="I1391" i="1"/>
  <c r="B1392" i="1"/>
  <c r="C1392" i="1"/>
  <c r="I1392" i="1"/>
  <c r="B1393" i="1"/>
  <c r="C1393" i="1"/>
  <c r="I1393" i="1"/>
  <c r="B1394" i="1"/>
  <c r="C1394" i="1"/>
  <c r="I1394" i="1"/>
  <c r="B1395" i="1"/>
  <c r="C1395" i="1"/>
  <c r="I1395" i="1"/>
  <c r="B1396" i="1"/>
  <c r="C1396" i="1"/>
  <c r="I1396" i="1"/>
  <c r="B1397" i="1"/>
  <c r="C1397" i="1"/>
  <c r="I1397" i="1"/>
  <c r="B1398" i="1"/>
  <c r="C1398" i="1"/>
  <c r="I1398" i="1"/>
  <c r="B1399" i="1"/>
  <c r="C1399" i="1"/>
  <c r="I1399" i="1"/>
  <c r="B1400" i="1"/>
  <c r="C1400" i="1"/>
  <c r="I1400" i="1"/>
  <c r="B1401" i="1"/>
  <c r="C1401" i="1"/>
  <c r="I1401" i="1"/>
  <c r="B1402" i="1"/>
  <c r="C1402" i="1"/>
  <c r="I1402" i="1"/>
  <c r="B1403" i="1"/>
  <c r="C1403" i="1"/>
  <c r="I1403" i="1"/>
  <c r="B1404" i="1"/>
  <c r="C1404" i="1"/>
  <c r="I1404" i="1"/>
  <c r="B1405" i="1"/>
  <c r="C1405" i="1"/>
  <c r="I1405" i="1"/>
  <c r="B1406" i="1"/>
  <c r="C1406" i="1"/>
  <c r="I1406" i="1"/>
  <c r="B1407" i="1"/>
  <c r="C1407" i="1"/>
  <c r="I1407" i="1"/>
  <c r="B1408" i="1"/>
  <c r="C1408" i="1"/>
  <c r="I1408" i="1"/>
  <c r="B1409" i="1"/>
  <c r="C1409" i="1"/>
  <c r="I1409" i="1"/>
  <c r="B1410" i="1"/>
  <c r="C1410" i="1"/>
  <c r="I1410" i="1"/>
  <c r="B1411" i="1"/>
  <c r="C1411" i="1"/>
  <c r="I1411" i="1"/>
  <c r="B1412" i="1"/>
  <c r="C1412" i="1"/>
  <c r="I1412" i="1"/>
  <c r="B1413" i="1"/>
  <c r="C1413" i="1"/>
  <c r="I1413" i="1"/>
  <c r="B1414" i="1"/>
  <c r="C1414" i="1"/>
  <c r="I1414" i="1"/>
  <c r="B1415" i="1"/>
  <c r="C1415" i="1"/>
  <c r="I1415" i="1"/>
  <c r="B1416" i="1"/>
  <c r="C1416" i="1"/>
  <c r="I1416" i="1"/>
  <c r="B1417" i="1"/>
  <c r="C1417" i="1"/>
  <c r="I1417" i="1"/>
  <c r="B1418" i="1"/>
  <c r="C1418" i="1"/>
  <c r="I1418" i="1"/>
  <c r="B1419" i="1"/>
  <c r="C1419" i="1"/>
  <c r="I1419" i="1"/>
  <c r="B1420" i="1"/>
  <c r="C1420" i="1"/>
  <c r="I1420" i="1"/>
  <c r="B1421" i="1"/>
  <c r="C1421" i="1"/>
  <c r="I1421" i="1"/>
  <c r="B1422" i="1"/>
  <c r="C1422" i="1"/>
  <c r="I1422" i="1"/>
  <c r="B1423" i="1"/>
  <c r="C1423" i="1"/>
  <c r="I1423" i="1"/>
  <c r="B1424" i="1"/>
  <c r="C1424" i="1"/>
  <c r="I1424" i="1"/>
  <c r="B1425" i="1"/>
  <c r="C1425" i="1"/>
  <c r="I1425" i="1"/>
  <c r="B1426" i="1"/>
  <c r="C1426" i="1"/>
  <c r="I1426" i="1"/>
  <c r="B1427" i="1"/>
  <c r="C1427" i="1"/>
  <c r="I1427" i="1"/>
  <c r="B1428" i="1"/>
  <c r="C1428" i="1"/>
  <c r="I1428" i="1"/>
  <c r="B1429" i="1"/>
  <c r="C1429" i="1"/>
  <c r="I1429" i="1"/>
  <c r="B1430" i="1"/>
  <c r="C1430" i="1"/>
  <c r="I1430" i="1"/>
  <c r="B1431" i="1"/>
  <c r="C1431" i="1"/>
  <c r="I1431" i="1"/>
  <c r="B1432" i="1"/>
  <c r="C1432" i="1"/>
  <c r="I1432" i="1"/>
  <c r="B1433" i="1"/>
  <c r="C1433" i="1"/>
  <c r="I1433" i="1"/>
  <c r="B1434" i="1"/>
  <c r="C1434" i="1"/>
  <c r="I1434" i="1"/>
  <c r="B1435" i="1"/>
  <c r="C1435" i="1"/>
  <c r="I1435" i="1"/>
  <c r="B1436" i="1"/>
  <c r="C1436" i="1"/>
  <c r="I1436" i="1"/>
  <c r="B1437" i="1"/>
  <c r="C1437" i="1"/>
  <c r="I1437" i="1"/>
  <c r="B1438" i="1"/>
  <c r="C1438" i="1"/>
  <c r="I1438" i="1"/>
  <c r="B1439" i="1"/>
  <c r="C1439" i="1"/>
  <c r="I1439" i="1"/>
  <c r="B1440" i="1"/>
  <c r="C1440" i="1"/>
  <c r="I1440" i="1"/>
  <c r="B1441" i="1"/>
  <c r="C1441" i="1"/>
  <c r="I1441" i="1"/>
  <c r="B1442" i="1"/>
  <c r="C1442" i="1"/>
  <c r="I1442" i="1"/>
  <c r="B1443" i="1"/>
  <c r="C1443" i="1"/>
  <c r="I1443" i="1"/>
  <c r="B1444" i="1"/>
  <c r="C1444" i="1"/>
  <c r="I1444" i="1"/>
  <c r="B1445" i="1"/>
  <c r="C1445" i="1"/>
  <c r="I1445" i="1"/>
  <c r="B1446" i="1"/>
  <c r="C1446" i="1"/>
  <c r="I1446" i="1"/>
  <c r="B1447" i="1"/>
  <c r="C1447" i="1"/>
  <c r="I1447" i="1"/>
  <c r="B1448" i="1"/>
  <c r="C1448" i="1"/>
  <c r="I1448" i="1"/>
  <c r="B1449" i="1"/>
  <c r="C1449" i="1"/>
  <c r="I1449" i="1"/>
  <c r="B1450" i="1"/>
  <c r="C1450" i="1"/>
  <c r="I1450" i="1"/>
  <c r="B1451" i="1"/>
  <c r="C1451" i="1"/>
  <c r="I1451" i="1"/>
  <c r="B1452" i="1"/>
  <c r="C1452" i="1"/>
  <c r="I1452" i="1"/>
  <c r="B1453" i="1"/>
  <c r="C1453" i="1"/>
  <c r="I1453" i="1"/>
  <c r="B1454" i="1"/>
  <c r="C1454" i="1"/>
  <c r="I1454" i="1"/>
  <c r="B1455" i="1"/>
  <c r="C1455" i="1"/>
  <c r="I1455" i="1"/>
  <c r="B1456" i="1"/>
  <c r="C1456" i="1"/>
  <c r="I1456" i="1"/>
  <c r="B1457" i="1"/>
  <c r="C1457" i="1"/>
  <c r="I1457" i="1"/>
  <c r="B1458" i="1"/>
  <c r="C1458" i="1"/>
  <c r="I1458" i="1"/>
  <c r="B1459" i="1"/>
  <c r="C1459" i="1"/>
  <c r="I1459" i="1"/>
  <c r="B1460" i="1"/>
  <c r="C1460" i="1"/>
  <c r="I1460" i="1"/>
  <c r="B1461" i="1"/>
  <c r="C1461" i="1"/>
  <c r="I1461" i="1"/>
  <c r="B1462" i="1"/>
  <c r="C1462" i="1"/>
  <c r="I1462" i="1"/>
  <c r="B1463" i="1"/>
  <c r="C1463" i="1"/>
  <c r="I1463" i="1"/>
  <c r="B1464" i="1"/>
  <c r="C1464" i="1"/>
  <c r="I1464" i="1"/>
  <c r="B1465" i="1"/>
  <c r="C1465" i="1"/>
  <c r="I1465" i="1"/>
  <c r="B1466" i="1"/>
  <c r="C1466" i="1"/>
  <c r="I1466" i="1"/>
  <c r="B1467" i="1"/>
  <c r="C1467" i="1"/>
  <c r="I1467" i="1"/>
  <c r="B1468" i="1"/>
  <c r="C1468" i="1"/>
  <c r="I1468" i="1"/>
  <c r="B1469" i="1"/>
  <c r="C1469" i="1"/>
  <c r="I1469" i="1"/>
  <c r="B1470" i="1"/>
  <c r="C1470" i="1"/>
  <c r="I1470" i="1"/>
  <c r="B1471" i="1"/>
  <c r="C1471" i="1"/>
  <c r="I1471" i="1"/>
  <c r="B1472" i="1"/>
  <c r="C1472" i="1"/>
  <c r="I1472" i="1"/>
  <c r="B1473" i="1"/>
  <c r="C1473" i="1"/>
  <c r="I1473" i="1"/>
  <c r="B1474" i="1"/>
  <c r="C1474" i="1"/>
  <c r="I1474" i="1"/>
  <c r="B1475" i="1"/>
  <c r="C1475" i="1"/>
  <c r="I1475" i="1"/>
  <c r="B1476" i="1"/>
  <c r="C1476" i="1"/>
  <c r="I1476" i="1"/>
  <c r="B1477" i="1"/>
  <c r="C1477" i="1"/>
  <c r="I1477" i="1"/>
  <c r="B1478" i="1"/>
  <c r="C1478" i="1"/>
  <c r="I1478" i="1"/>
  <c r="B1479" i="1"/>
  <c r="C1479" i="1"/>
  <c r="I1479" i="1"/>
  <c r="B1480" i="1"/>
  <c r="C1480" i="1"/>
  <c r="I1480" i="1"/>
  <c r="B1481" i="1"/>
  <c r="C1481" i="1"/>
  <c r="I1481" i="1"/>
  <c r="B1482" i="1"/>
  <c r="C1482" i="1"/>
  <c r="I1482" i="1"/>
  <c r="B1483" i="1"/>
  <c r="C1483" i="1"/>
  <c r="I1483" i="1"/>
  <c r="B1484" i="1"/>
  <c r="C1484" i="1"/>
  <c r="I1484" i="1"/>
  <c r="B1485" i="1"/>
  <c r="C1485" i="1"/>
  <c r="I1485" i="1"/>
  <c r="B1486" i="1"/>
  <c r="C1486" i="1"/>
  <c r="I1486" i="1"/>
  <c r="B1487" i="1"/>
  <c r="C1487" i="1"/>
  <c r="I1487" i="1"/>
  <c r="B1488" i="1"/>
  <c r="C1488" i="1"/>
  <c r="I1488" i="1"/>
  <c r="B1489" i="1"/>
  <c r="C1489" i="1"/>
  <c r="I1489" i="1"/>
  <c r="B1490" i="1"/>
  <c r="C1490" i="1"/>
  <c r="I1490" i="1"/>
  <c r="B1491" i="1"/>
  <c r="C1491" i="1"/>
  <c r="I1491" i="1"/>
  <c r="B1492" i="1"/>
  <c r="C1492" i="1"/>
  <c r="I1492" i="1"/>
  <c r="B1493" i="1"/>
  <c r="C1493" i="1"/>
  <c r="I1493" i="1"/>
  <c r="B1494" i="1"/>
  <c r="C1494" i="1"/>
  <c r="I1494" i="1"/>
  <c r="B1495" i="1"/>
  <c r="C1495" i="1"/>
  <c r="I1495" i="1"/>
  <c r="B1496" i="1"/>
  <c r="C1496" i="1"/>
  <c r="I1496" i="1"/>
  <c r="B1497" i="1"/>
  <c r="C1497" i="1"/>
  <c r="I1497" i="1"/>
  <c r="B1498" i="1"/>
  <c r="C1498" i="1"/>
  <c r="I1498" i="1"/>
  <c r="B1499" i="1"/>
  <c r="C1499" i="1"/>
  <c r="I1499" i="1"/>
  <c r="B1500" i="1"/>
  <c r="C1500" i="1"/>
  <c r="I1500" i="1"/>
  <c r="B1501" i="1"/>
  <c r="C1501" i="1"/>
  <c r="I1501" i="1"/>
  <c r="B1502" i="1"/>
  <c r="C1502" i="1"/>
  <c r="I1502" i="1"/>
  <c r="B1503" i="1"/>
  <c r="C1503" i="1"/>
  <c r="I1503" i="1"/>
  <c r="B1504" i="1"/>
  <c r="C1504" i="1"/>
  <c r="I1504" i="1"/>
  <c r="B1505" i="1"/>
  <c r="C1505" i="1"/>
  <c r="I1505" i="1"/>
  <c r="B1506" i="1"/>
  <c r="C1506" i="1"/>
  <c r="I1506" i="1"/>
  <c r="B1507" i="1"/>
  <c r="C1507" i="1"/>
  <c r="I1507" i="1"/>
  <c r="B1508" i="1"/>
  <c r="C1508" i="1"/>
  <c r="I1508" i="1"/>
  <c r="B1509" i="1"/>
  <c r="C1509" i="1"/>
  <c r="I1509" i="1"/>
  <c r="B1510" i="1"/>
  <c r="C1510" i="1"/>
  <c r="I1510" i="1"/>
  <c r="B1511" i="1"/>
  <c r="C1511" i="1"/>
  <c r="I1511" i="1"/>
  <c r="B1512" i="1"/>
  <c r="C1512" i="1"/>
  <c r="I1512" i="1"/>
  <c r="B1513" i="1"/>
  <c r="C1513" i="1"/>
  <c r="I1513" i="1"/>
  <c r="B1514" i="1"/>
  <c r="C1514" i="1"/>
  <c r="I1514" i="1"/>
  <c r="B1515" i="1"/>
  <c r="C1515" i="1"/>
  <c r="I1515" i="1"/>
  <c r="B1516" i="1"/>
  <c r="C1516" i="1"/>
  <c r="I1516" i="1"/>
  <c r="B1517" i="1"/>
  <c r="C1517" i="1"/>
  <c r="I1517" i="1"/>
  <c r="B1518" i="1"/>
  <c r="C1518" i="1"/>
  <c r="I1518" i="1"/>
  <c r="B1519" i="1"/>
  <c r="C1519" i="1"/>
  <c r="I1519" i="1"/>
  <c r="B1520" i="1"/>
  <c r="C1520" i="1"/>
  <c r="I1520" i="1"/>
  <c r="B1521" i="1"/>
  <c r="C1521" i="1"/>
  <c r="I1521" i="1"/>
  <c r="B1522" i="1"/>
  <c r="C1522" i="1"/>
  <c r="I1522" i="1"/>
  <c r="B1523" i="1"/>
  <c r="C1523" i="1"/>
  <c r="I1523" i="1"/>
  <c r="B1524" i="1"/>
  <c r="C1524" i="1"/>
  <c r="I1524" i="1"/>
  <c r="B1525" i="1"/>
  <c r="C1525" i="1"/>
  <c r="I1525" i="1"/>
  <c r="B1526" i="1"/>
  <c r="C1526" i="1"/>
  <c r="I1526" i="1"/>
  <c r="B1527" i="1"/>
  <c r="C1527" i="1"/>
  <c r="I1527" i="1"/>
  <c r="B1528" i="1"/>
  <c r="C1528" i="1"/>
  <c r="I1528" i="1"/>
  <c r="B1529" i="1"/>
  <c r="C1529" i="1"/>
  <c r="I1529" i="1"/>
  <c r="B1530" i="1"/>
  <c r="C1530" i="1"/>
  <c r="I1530" i="1"/>
  <c r="B1531" i="1"/>
  <c r="C1531" i="1"/>
  <c r="I1531" i="1"/>
  <c r="B1532" i="1"/>
  <c r="C1532" i="1"/>
  <c r="I1532" i="1"/>
  <c r="B1533" i="1"/>
  <c r="C1533" i="1"/>
  <c r="I1533" i="1"/>
  <c r="B1534" i="1"/>
  <c r="C1534" i="1"/>
  <c r="I1534" i="1"/>
  <c r="B1535" i="1"/>
  <c r="C1535" i="1"/>
  <c r="I1535" i="1"/>
  <c r="B1536" i="1"/>
  <c r="C1536" i="1"/>
  <c r="I1536" i="1"/>
  <c r="B1537" i="1"/>
  <c r="C1537" i="1"/>
  <c r="I1537" i="1"/>
  <c r="B1538" i="1"/>
  <c r="C1538" i="1"/>
  <c r="I1538" i="1"/>
  <c r="B1539" i="1"/>
  <c r="C1539" i="1"/>
  <c r="I1539" i="1"/>
  <c r="B1540" i="1"/>
  <c r="C1540" i="1"/>
  <c r="I1540" i="1"/>
  <c r="B1541" i="1"/>
  <c r="C1541" i="1"/>
  <c r="I1541" i="1"/>
  <c r="B1542" i="1"/>
  <c r="C1542" i="1"/>
  <c r="I1542" i="1"/>
  <c r="B1543" i="1"/>
  <c r="C1543" i="1"/>
  <c r="I1543" i="1"/>
  <c r="B1544" i="1"/>
  <c r="C1544" i="1"/>
  <c r="I1544" i="1"/>
  <c r="B1545" i="1"/>
  <c r="C1545" i="1"/>
  <c r="I1545" i="1"/>
  <c r="B1546" i="1"/>
  <c r="C1546" i="1"/>
  <c r="I1546" i="1"/>
  <c r="B1547" i="1"/>
  <c r="C1547" i="1"/>
  <c r="I1547" i="1"/>
  <c r="B1548" i="1"/>
  <c r="C1548" i="1"/>
  <c r="I1548" i="1"/>
  <c r="B1549" i="1"/>
  <c r="C1549" i="1"/>
  <c r="I1549" i="1"/>
  <c r="B1550" i="1"/>
  <c r="C1550" i="1"/>
  <c r="I1550" i="1"/>
  <c r="B1551" i="1"/>
  <c r="C1551" i="1"/>
  <c r="I1551" i="1"/>
  <c r="B1552" i="1"/>
  <c r="C1552" i="1"/>
  <c r="I1552" i="1"/>
  <c r="B1553" i="1"/>
  <c r="C1553" i="1"/>
  <c r="I1553" i="1"/>
  <c r="B1554" i="1"/>
  <c r="C1554" i="1"/>
  <c r="I1554" i="1"/>
  <c r="B1555" i="1"/>
  <c r="C1555" i="1"/>
  <c r="I1555" i="1"/>
  <c r="B1556" i="1"/>
  <c r="C1556" i="1"/>
  <c r="I1556" i="1"/>
  <c r="B1557" i="1"/>
  <c r="C1557" i="1"/>
  <c r="I1557" i="1"/>
  <c r="B1558" i="1"/>
  <c r="C1558" i="1"/>
  <c r="I1558" i="1"/>
  <c r="B1559" i="1"/>
  <c r="C1559" i="1"/>
  <c r="I1559" i="1"/>
  <c r="B1560" i="1"/>
  <c r="C1560" i="1"/>
  <c r="I1560" i="1"/>
  <c r="B1561" i="1"/>
  <c r="C1561" i="1"/>
  <c r="I1561" i="1"/>
  <c r="B1562" i="1"/>
  <c r="C1562" i="1"/>
  <c r="I1562" i="1"/>
  <c r="B1563" i="1"/>
  <c r="C1563" i="1"/>
  <c r="I1563" i="1"/>
  <c r="B1564" i="1"/>
  <c r="C1564" i="1"/>
  <c r="I1564" i="1"/>
  <c r="B1565" i="1"/>
  <c r="C1565" i="1"/>
  <c r="I1565" i="1"/>
  <c r="B1566" i="1"/>
  <c r="C1566" i="1"/>
  <c r="I1566" i="1"/>
  <c r="B1567" i="1"/>
  <c r="C1567" i="1"/>
  <c r="I1567" i="1"/>
  <c r="B1568" i="1"/>
  <c r="C1568" i="1"/>
  <c r="I1568" i="1"/>
  <c r="B1569" i="1"/>
  <c r="C1569" i="1"/>
  <c r="I1569" i="1"/>
  <c r="B1570" i="1"/>
  <c r="C1570" i="1"/>
  <c r="I1570" i="1"/>
  <c r="B1571" i="1"/>
  <c r="C1571" i="1"/>
  <c r="I1571" i="1"/>
  <c r="B1572" i="1"/>
  <c r="C1572" i="1"/>
  <c r="I1572" i="1"/>
  <c r="B1573" i="1"/>
  <c r="C1573" i="1"/>
  <c r="I1573" i="1"/>
  <c r="B1574" i="1"/>
  <c r="C1574" i="1"/>
  <c r="I1574" i="1"/>
  <c r="B1575" i="1"/>
  <c r="C1575" i="1"/>
  <c r="I1575" i="1"/>
  <c r="B1576" i="1"/>
  <c r="C1576" i="1"/>
  <c r="I1576" i="1"/>
  <c r="B1577" i="1"/>
  <c r="C1577" i="1"/>
  <c r="I1577" i="1"/>
  <c r="B1578" i="1"/>
  <c r="C1578" i="1"/>
  <c r="I1578" i="1"/>
  <c r="B1579" i="1"/>
  <c r="C1579" i="1"/>
  <c r="I1579" i="1"/>
  <c r="B1580" i="1"/>
  <c r="C1580" i="1"/>
  <c r="I1580" i="1"/>
  <c r="B1581" i="1"/>
  <c r="C1581" i="1"/>
  <c r="I1581" i="1"/>
  <c r="B1582" i="1"/>
  <c r="C1582" i="1"/>
  <c r="I1582" i="1"/>
  <c r="B1583" i="1"/>
  <c r="C1583" i="1"/>
  <c r="I1583" i="1"/>
  <c r="B1584" i="1"/>
  <c r="C1584" i="1"/>
  <c r="I1584" i="1"/>
  <c r="B1585" i="1"/>
  <c r="C1585" i="1"/>
  <c r="I1585" i="1"/>
  <c r="B1586" i="1"/>
  <c r="C1586" i="1"/>
  <c r="I1586" i="1"/>
  <c r="B1587" i="1"/>
  <c r="C1587" i="1"/>
  <c r="I1587" i="1"/>
  <c r="B1588" i="1"/>
  <c r="C1588" i="1"/>
  <c r="I1588" i="1"/>
  <c r="B1589" i="1"/>
  <c r="C1589" i="1"/>
  <c r="I1589" i="1"/>
  <c r="B1590" i="1"/>
  <c r="C1590" i="1"/>
  <c r="I1590" i="1"/>
  <c r="B1591" i="1"/>
  <c r="C1591" i="1"/>
  <c r="I1591" i="1"/>
  <c r="B1592" i="1"/>
  <c r="C1592" i="1"/>
  <c r="I1592" i="1"/>
  <c r="B1593" i="1"/>
  <c r="C1593" i="1"/>
  <c r="I1593" i="1"/>
  <c r="B1594" i="1"/>
  <c r="C1594" i="1"/>
  <c r="I1594" i="1"/>
  <c r="B1595" i="1"/>
  <c r="C1595" i="1"/>
  <c r="I1595" i="1"/>
  <c r="B1596" i="1"/>
  <c r="C1596" i="1"/>
  <c r="I1596" i="1"/>
  <c r="B1597" i="1"/>
  <c r="C1597" i="1"/>
  <c r="I1597" i="1"/>
  <c r="B1598" i="1"/>
  <c r="C1598" i="1"/>
  <c r="I1598" i="1"/>
  <c r="B1599" i="1"/>
  <c r="C1599" i="1"/>
  <c r="I1599" i="1"/>
  <c r="B1600" i="1"/>
  <c r="C1600" i="1"/>
  <c r="I1600" i="1"/>
  <c r="B1601" i="1"/>
  <c r="C1601" i="1"/>
  <c r="I1601" i="1"/>
  <c r="B1602" i="1"/>
  <c r="C1602" i="1"/>
  <c r="I1602" i="1"/>
  <c r="B1603" i="1"/>
  <c r="C1603" i="1"/>
  <c r="I1603" i="1"/>
  <c r="B1604" i="1"/>
  <c r="C1604" i="1"/>
  <c r="I1604" i="1"/>
  <c r="B1605" i="1"/>
  <c r="C1605" i="1"/>
  <c r="I1605" i="1"/>
  <c r="B1606" i="1"/>
  <c r="C1606" i="1"/>
  <c r="I1606" i="1"/>
  <c r="B1607" i="1"/>
  <c r="C1607" i="1"/>
  <c r="I1607" i="1"/>
  <c r="B1608" i="1"/>
  <c r="C1608" i="1"/>
  <c r="I1608" i="1"/>
  <c r="B1609" i="1"/>
  <c r="C1609" i="1"/>
  <c r="I1609" i="1"/>
  <c r="B1610" i="1"/>
  <c r="C1610" i="1"/>
  <c r="I1610" i="1"/>
  <c r="B1611" i="1"/>
  <c r="C1611" i="1"/>
  <c r="I1611" i="1"/>
  <c r="B1612" i="1"/>
  <c r="C1612" i="1"/>
  <c r="I1612" i="1"/>
  <c r="B1613" i="1"/>
  <c r="C1613" i="1"/>
  <c r="I1613" i="1"/>
  <c r="B1614" i="1"/>
  <c r="C1614" i="1"/>
  <c r="I1614" i="1"/>
  <c r="B1615" i="1"/>
  <c r="C1615" i="1"/>
  <c r="I1615" i="1"/>
  <c r="B1616" i="1"/>
  <c r="C1616" i="1"/>
  <c r="I1616" i="1"/>
  <c r="B1617" i="1"/>
  <c r="C1617" i="1"/>
  <c r="I1617" i="1"/>
  <c r="B1618" i="1"/>
  <c r="C1618" i="1"/>
  <c r="I1618" i="1"/>
  <c r="B1619" i="1"/>
  <c r="C1619" i="1"/>
  <c r="I1619" i="1"/>
  <c r="B1620" i="1"/>
  <c r="C1620" i="1"/>
  <c r="I1620" i="1"/>
  <c r="B1621" i="1"/>
  <c r="C1621" i="1"/>
  <c r="I1621" i="1"/>
  <c r="B1622" i="1"/>
  <c r="C1622" i="1"/>
  <c r="I1622" i="1"/>
  <c r="B1623" i="1"/>
  <c r="C1623" i="1"/>
  <c r="I1623" i="1"/>
  <c r="B1624" i="1"/>
  <c r="C1624" i="1"/>
  <c r="I1624" i="1"/>
  <c r="B1625" i="1"/>
  <c r="C1625" i="1"/>
  <c r="I1625" i="1"/>
  <c r="B1626" i="1"/>
  <c r="C1626" i="1"/>
  <c r="I1626" i="1"/>
  <c r="B1627" i="1"/>
  <c r="C1627" i="1"/>
  <c r="I1627" i="1"/>
  <c r="B1628" i="1"/>
  <c r="C1628" i="1"/>
  <c r="I1628" i="1"/>
  <c r="B1629" i="1"/>
  <c r="C1629" i="1"/>
  <c r="I1629" i="1"/>
  <c r="B1630" i="1"/>
  <c r="C1630" i="1"/>
  <c r="I1630" i="1"/>
  <c r="B1631" i="1"/>
  <c r="C1631" i="1"/>
  <c r="I1631" i="1"/>
  <c r="B1632" i="1"/>
  <c r="C1632" i="1"/>
  <c r="I1632" i="1"/>
  <c r="B1633" i="1"/>
  <c r="C1633" i="1"/>
  <c r="I1633" i="1"/>
  <c r="B1634" i="1"/>
  <c r="C1634" i="1"/>
  <c r="I1634" i="1"/>
  <c r="B1635" i="1"/>
  <c r="C1635" i="1"/>
  <c r="I1635" i="1"/>
  <c r="B1636" i="1"/>
  <c r="C1636" i="1"/>
  <c r="I1636" i="1"/>
  <c r="B1637" i="1"/>
  <c r="C1637" i="1"/>
  <c r="I1637" i="1"/>
  <c r="B1638" i="1"/>
  <c r="C1638" i="1"/>
  <c r="I1638" i="1"/>
  <c r="B1639" i="1"/>
  <c r="C1639" i="1"/>
  <c r="I1639" i="1"/>
  <c r="B1640" i="1"/>
  <c r="C1640" i="1"/>
  <c r="I1640" i="1"/>
  <c r="B1641" i="1"/>
  <c r="C1641" i="1"/>
  <c r="I1641" i="1"/>
  <c r="B1642" i="1"/>
  <c r="C1642" i="1"/>
  <c r="I1642" i="1"/>
  <c r="B1643" i="1"/>
  <c r="C1643" i="1"/>
  <c r="I1643" i="1"/>
  <c r="B1644" i="1"/>
  <c r="C1644" i="1"/>
  <c r="I1644" i="1"/>
  <c r="B1645" i="1"/>
  <c r="C1645" i="1"/>
  <c r="I1645" i="1"/>
  <c r="B1646" i="1"/>
  <c r="C1646" i="1"/>
  <c r="I1646" i="1"/>
  <c r="B1647" i="1"/>
  <c r="C1647" i="1"/>
  <c r="I1647" i="1"/>
  <c r="B1648" i="1"/>
  <c r="C1648" i="1"/>
  <c r="I1648" i="1"/>
  <c r="B1649" i="1"/>
  <c r="C1649" i="1"/>
  <c r="I1649" i="1"/>
  <c r="B1650" i="1"/>
  <c r="C1650" i="1"/>
  <c r="I1650" i="1"/>
  <c r="B1651" i="1"/>
  <c r="C1651" i="1"/>
  <c r="I1651" i="1"/>
  <c r="B1652" i="1"/>
  <c r="C1652" i="1"/>
  <c r="I1652" i="1"/>
  <c r="B1653" i="1"/>
  <c r="C1653" i="1"/>
  <c r="I1653" i="1"/>
  <c r="B1654" i="1"/>
  <c r="C1654" i="1"/>
  <c r="I1654" i="1"/>
  <c r="B1655" i="1"/>
  <c r="C1655" i="1"/>
  <c r="I1655" i="1"/>
  <c r="B1656" i="1"/>
  <c r="C1656" i="1"/>
  <c r="I1656" i="1"/>
  <c r="B1657" i="1"/>
  <c r="C1657" i="1"/>
  <c r="I1657" i="1"/>
  <c r="B1658" i="1"/>
  <c r="C1658" i="1"/>
  <c r="I1658" i="1"/>
  <c r="B1659" i="1"/>
  <c r="C1659" i="1"/>
  <c r="I1659" i="1"/>
  <c r="B1660" i="1"/>
  <c r="C1660" i="1"/>
  <c r="I1660" i="1"/>
  <c r="B1661" i="1"/>
  <c r="C1661" i="1"/>
  <c r="I1661" i="1"/>
  <c r="B1662" i="1"/>
  <c r="C1662" i="1"/>
  <c r="I1662" i="1"/>
  <c r="B1663" i="1"/>
  <c r="C1663" i="1"/>
  <c r="I1663" i="1"/>
  <c r="B1664" i="1"/>
  <c r="C1664" i="1"/>
  <c r="I1664" i="1"/>
  <c r="B1665" i="1"/>
  <c r="C1665" i="1"/>
  <c r="I1665" i="1"/>
  <c r="B1666" i="1"/>
  <c r="C1666" i="1"/>
  <c r="I1666" i="1"/>
  <c r="B1667" i="1"/>
  <c r="C1667" i="1"/>
  <c r="I1667" i="1"/>
  <c r="B1668" i="1"/>
  <c r="C1668" i="1"/>
  <c r="I1668" i="1"/>
  <c r="B1669" i="1"/>
  <c r="C1669" i="1"/>
  <c r="I1669" i="1"/>
  <c r="B1670" i="1"/>
  <c r="C1670" i="1"/>
  <c r="I1670" i="1"/>
  <c r="B1671" i="1"/>
  <c r="C1671" i="1"/>
  <c r="I1671" i="1"/>
  <c r="B1672" i="1"/>
  <c r="C1672" i="1"/>
  <c r="I1672" i="1"/>
  <c r="B1673" i="1"/>
  <c r="C1673" i="1"/>
  <c r="I1673" i="1"/>
  <c r="B1674" i="1"/>
  <c r="C1674" i="1"/>
  <c r="I1674" i="1"/>
  <c r="B1675" i="1"/>
  <c r="C1675" i="1"/>
  <c r="I1675" i="1"/>
  <c r="B1676" i="1"/>
  <c r="C1676" i="1"/>
  <c r="I1676" i="1"/>
  <c r="B1677" i="1"/>
  <c r="C1677" i="1"/>
  <c r="I1677" i="1"/>
  <c r="B1678" i="1"/>
  <c r="C1678" i="1"/>
  <c r="I1678" i="1"/>
  <c r="B1679" i="1"/>
  <c r="C1679" i="1"/>
  <c r="I1679" i="1"/>
  <c r="B1680" i="1"/>
  <c r="C1680" i="1"/>
  <c r="I1680" i="1"/>
  <c r="B1681" i="1"/>
  <c r="C1681" i="1"/>
  <c r="I1681" i="1"/>
  <c r="B1682" i="1"/>
  <c r="C1682" i="1"/>
  <c r="I1682" i="1"/>
  <c r="B1683" i="1"/>
  <c r="C1683" i="1"/>
  <c r="I1683" i="1"/>
  <c r="B1684" i="1"/>
  <c r="C1684" i="1"/>
  <c r="I1684" i="1"/>
  <c r="B1685" i="1"/>
  <c r="C1685" i="1"/>
  <c r="I1685" i="1"/>
  <c r="B1686" i="1"/>
  <c r="C1686" i="1"/>
  <c r="I1686" i="1"/>
  <c r="B1687" i="1"/>
  <c r="C1687" i="1"/>
  <c r="I1687" i="1"/>
  <c r="B1688" i="1"/>
  <c r="C1688" i="1"/>
  <c r="I1688" i="1"/>
  <c r="B1689" i="1"/>
  <c r="C1689" i="1"/>
  <c r="I1689" i="1"/>
  <c r="B1690" i="1"/>
  <c r="C1690" i="1"/>
  <c r="I1690" i="1"/>
  <c r="B1691" i="1"/>
  <c r="C1691" i="1"/>
  <c r="I1691" i="1"/>
  <c r="B1692" i="1"/>
  <c r="C1692" i="1"/>
  <c r="I1692" i="1"/>
  <c r="B1693" i="1"/>
  <c r="C1693" i="1"/>
  <c r="I1693" i="1"/>
  <c r="B1694" i="1"/>
  <c r="C1694" i="1"/>
  <c r="I1694" i="1"/>
  <c r="B1695" i="1"/>
  <c r="C1695" i="1"/>
  <c r="I1695" i="1"/>
  <c r="B1696" i="1"/>
  <c r="C1696" i="1"/>
  <c r="I1696" i="1"/>
  <c r="B1697" i="1"/>
  <c r="C1697" i="1"/>
  <c r="I1697" i="1"/>
  <c r="B1698" i="1"/>
  <c r="C1698" i="1"/>
  <c r="I1698" i="1"/>
  <c r="B1699" i="1"/>
  <c r="C1699" i="1"/>
  <c r="I1699" i="1"/>
  <c r="B1700" i="1"/>
  <c r="C1700" i="1"/>
  <c r="I1700" i="1"/>
  <c r="B1701" i="1"/>
  <c r="C1701" i="1"/>
  <c r="I1701" i="1"/>
  <c r="B1702" i="1"/>
  <c r="C1702" i="1"/>
  <c r="I1702" i="1"/>
  <c r="B1703" i="1"/>
  <c r="C1703" i="1"/>
  <c r="I1703" i="1"/>
  <c r="B1704" i="1"/>
  <c r="C1704" i="1"/>
  <c r="I1704" i="1"/>
  <c r="B1705" i="1"/>
  <c r="C1705" i="1"/>
  <c r="I1705" i="1"/>
  <c r="B1706" i="1"/>
  <c r="C1706" i="1"/>
  <c r="I1706" i="1"/>
  <c r="B1707" i="1"/>
  <c r="C1707" i="1"/>
  <c r="I1707" i="1"/>
  <c r="B1708" i="1"/>
  <c r="C1708" i="1"/>
  <c r="I1708" i="1"/>
  <c r="B1709" i="1"/>
  <c r="C1709" i="1"/>
  <c r="I1709" i="1"/>
  <c r="B1710" i="1"/>
  <c r="C1710" i="1"/>
  <c r="I1710" i="1"/>
  <c r="B1711" i="1"/>
  <c r="C1711" i="1"/>
  <c r="I1711" i="1"/>
  <c r="B1712" i="1"/>
  <c r="C1712" i="1"/>
  <c r="I1712" i="1"/>
  <c r="B1713" i="1"/>
  <c r="C1713" i="1"/>
  <c r="I1713" i="1"/>
  <c r="B1714" i="1"/>
  <c r="C1714" i="1"/>
  <c r="I1714" i="1"/>
  <c r="B1715" i="1"/>
  <c r="C1715" i="1"/>
  <c r="I1715" i="1"/>
  <c r="B1716" i="1"/>
  <c r="C1716" i="1"/>
  <c r="I1716" i="1"/>
  <c r="B1717" i="1"/>
  <c r="C1717" i="1"/>
  <c r="I1717" i="1"/>
  <c r="B1718" i="1"/>
  <c r="C1718" i="1"/>
  <c r="I1718" i="1"/>
  <c r="B1719" i="1"/>
  <c r="C1719" i="1"/>
  <c r="I1719" i="1"/>
  <c r="B1720" i="1"/>
  <c r="C1720" i="1"/>
  <c r="I1720" i="1"/>
  <c r="B1721" i="1"/>
  <c r="C1721" i="1"/>
  <c r="I1721" i="1"/>
  <c r="B1722" i="1"/>
  <c r="C1722" i="1"/>
  <c r="I1722" i="1"/>
  <c r="B1723" i="1"/>
  <c r="C1723" i="1"/>
  <c r="I1723" i="1"/>
  <c r="B1724" i="1"/>
  <c r="C1724" i="1"/>
  <c r="I1724" i="1"/>
  <c r="B1725" i="1"/>
  <c r="C1725" i="1"/>
  <c r="I1725" i="1"/>
  <c r="B1726" i="1"/>
  <c r="C1726" i="1"/>
  <c r="I1726" i="1"/>
  <c r="B1727" i="1"/>
  <c r="C1727" i="1"/>
  <c r="I1727" i="1"/>
  <c r="B1728" i="1"/>
  <c r="C1728" i="1"/>
  <c r="I1728" i="1"/>
  <c r="B1729" i="1"/>
  <c r="C1729" i="1"/>
  <c r="I1729" i="1"/>
  <c r="B1730" i="1"/>
  <c r="C1730" i="1"/>
  <c r="I1730" i="1"/>
  <c r="B1731" i="1"/>
  <c r="C1731" i="1"/>
  <c r="I1731" i="1"/>
  <c r="B1732" i="1"/>
  <c r="C1732" i="1"/>
  <c r="I1732" i="1"/>
  <c r="B1733" i="1"/>
  <c r="C1733" i="1"/>
  <c r="I1733" i="1"/>
  <c r="B1734" i="1"/>
  <c r="C1734" i="1"/>
  <c r="I1734" i="1"/>
  <c r="B1735" i="1"/>
  <c r="C1735" i="1"/>
  <c r="I1735" i="1"/>
  <c r="B1736" i="1"/>
  <c r="C1736" i="1"/>
  <c r="I1736" i="1"/>
  <c r="B1737" i="1"/>
  <c r="C1737" i="1"/>
  <c r="I1737" i="1"/>
  <c r="B1738" i="1"/>
  <c r="C1738" i="1"/>
  <c r="I1738" i="1"/>
  <c r="B1739" i="1"/>
  <c r="C1739" i="1"/>
  <c r="I1739" i="1"/>
  <c r="B1740" i="1"/>
  <c r="C1740" i="1"/>
  <c r="I1740" i="1"/>
  <c r="B1741" i="1"/>
  <c r="C1741" i="1"/>
  <c r="I1741" i="1"/>
  <c r="B1742" i="1"/>
  <c r="C1742" i="1"/>
  <c r="I1742" i="1"/>
  <c r="B1743" i="1"/>
  <c r="C1743" i="1"/>
  <c r="I1743" i="1"/>
  <c r="B1744" i="1"/>
  <c r="C1744" i="1"/>
  <c r="I1744" i="1"/>
  <c r="B1745" i="1"/>
  <c r="C1745" i="1"/>
  <c r="I1745" i="1"/>
  <c r="B1746" i="1"/>
  <c r="C1746" i="1"/>
  <c r="I1746" i="1"/>
  <c r="B1747" i="1"/>
  <c r="C1747" i="1"/>
  <c r="I1747" i="1"/>
  <c r="B1748" i="1"/>
  <c r="C1748" i="1"/>
  <c r="I1748" i="1"/>
  <c r="B1749" i="1"/>
  <c r="C1749" i="1"/>
  <c r="I1749" i="1"/>
  <c r="B1750" i="1"/>
  <c r="C1750" i="1"/>
  <c r="I1750" i="1"/>
  <c r="B1751" i="1"/>
  <c r="C1751" i="1"/>
  <c r="I1751" i="1"/>
  <c r="B1752" i="1"/>
  <c r="C1752" i="1"/>
  <c r="I1752" i="1"/>
  <c r="B1753" i="1"/>
  <c r="C1753" i="1"/>
  <c r="I1753" i="1"/>
  <c r="B1754" i="1"/>
  <c r="C1754" i="1"/>
  <c r="I1754" i="1"/>
  <c r="B1755" i="1"/>
  <c r="C1755" i="1"/>
  <c r="I1755" i="1"/>
  <c r="B1756" i="1"/>
  <c r="C1756" i="1"/>
  <c r="I1756" i="1"/>
  <c r="B1757" i="1"/>
  <c r="C1757" i="1"/>
  <c r="I1757" i="1"/>
  <c r="B1758" i="1"/>
  <c r="C1758" i="1"/>
  <c r="I1758" i="1"/>
  <c r="B1759" i="1"/>
  <c r="C1759" i="1"/>
  <c r="I1759" i="1"/>
  <c r="B1760" i="1"/>
  <c r="C1760" i="1"/>
  <c r="I1760" i="1"/>
  <c r="B1761" i="1"/>
  <c r="C1761" i="1"/>
  <c r="I1761" i="1"/>
  <c r="B1762" i="1"/>
  <c r="C1762" i="1"/>
  <c r="I1762" i="1"/>
  <c r="B1763" i="1"/>
  <c r="C1763" i="1"/>
  <c r="I1763" i="1"/>
  <c r="B1764" i="1"/>
  <c r="C1764" i="1"/>
  <c r="I1764" i="1"/>
  <c r="B1765" i="1"/>
  <c r="C1765" i="1"/>
  <c r="I1765" i="1"/>
  <c r="B1766" i="1"/>
  <c r="C1766" i="1"/>
  <c r="I1766" i="1"/>
  <c r="B1767" i="1"/>
  <c r="C1767" i="1"/>
  <c r="I1767" i="1"/>
  <c r="B1768" i="1"/>
  <c r="C1768" i="1"/>
  <c r="I1768" i="1"/>
  <c r="B1769" i="1"/>
  <c r="C1769" i="1"/>
  <c r="I1769" i="1"/>
  <c r="B1770" i="1"/>
  <c r="C1770" i="1"/>
  <c r="I1770" i="1"/>
  <c r="B1771" i="1"/>
  <c r="C1771" i="1"/>
  <c r="I1771" i="1"/>
  <c r="B1772" i="1"/>
  <c r="C1772" i="1"/>
  <c r="I1772" i="1"/>
  <c r="B1773" i="1"/>
  <c r="C1773" i="1"/>
  <c r="I1773" i="1"/>
  <c r="B1774" i="1"/>
  <c r="C1774" i="1"/>
  <c r="I1774" i="1"/>
  <c r="B1775" i="1"/>
  <c r="C1775" i="1"/>
  <c r="I1775" i="1"/>
  <c r="B1776" i="1"/>
  <c r="C1776" i="1"/>
  <c r="I1776" i="1"/>
  <c r="B1777" i="1"/>
  <c r="C1777" i="1"/>
  <c r="I1777" i="1"/>
  <c r="B1778" i="1"/>
  <c r="C1778" i="1"/>
  <c r="I1778" i="1"/>
  <c r="B1779" i="1"/>
  <c r="C1779" i="1"/>
  <c r="I1779" i="1"/>
  <c r="B1780" i="1"/>
  <c r="C1780" i="1"/>
  <c r="I1780" i="1"/>
  <c r="B1781" i="1"/>
  <c r="C1781" i="1"/>
  <c r="I1781" i="1"/>
  <c r="B1782" i="1"/>
  <c r="C1782" i="1"/>
  <c r="I1782" i="1"/>
  <c r="B1783" i="1"/>
  <c r="C1783" i="1"/>
  <c r="I1783" i="1"/>
  <c r="B1784" i="1"/>
  <c r="C1784" i="1"/>
  <c r="I1784" i="1"/>
  <c r="B1785" i="1"/>
  <c r="C1785" i="1"/>
  <c r="I1785" i="1"/>
  <c r="B1786" i="1"/>
  <c r="C1786" i="1"/>
  <c r="I1786" i="1"/>
  <c r="B1787" i="1"/>
  <c r="C1787" i="1"/>
  <c r="I1787" i="1"/>
  <c r="B1788" i="1"/>
  <c r="C1788" i="1"/>
  <c r="I1788" i="1"/>
  <c r="B1789" i="1"/>
  <c r="C1789" i="1"/>
  <c r="I1789" i="1"/>
  <c r="B1790" i="1"/>
  <c r="C1790" i="1"/>
  <c r="I1790" i="1"/>
  <c r="B1791" i="1"/>
  <c r="C1791" i="1"/>
  <c r="I1791" i="1"/>
  <c r="B1792" i="1"/>
  <c r="C1792" i="1"/>
  <c r="I1792" i="1"/>
  <c r="B1793" i="1"/>
  <c r="C1793" i="1"/>
  <c r="I1793" i="1"/>
  <c r="B1794" i="1"/>
  <c r="C1794" i="1"/>
  <c r="I1794" i="1"/>
  <c r="B1795" i="1"/>
  <c r="C1795" i="1"/>
  <c r="I1795" i="1"/>
  <c r="B1796" i="1"/>
  <c r="C1796" i="1"/>
  <c r="I1796" i="1"/>
  <c r="B1797" i="1"/>
  <c r="C1797" i="1"/>
  <c r="I1797" i="1"/>
  <c r="B1798" i="1"/>
  <c r="C1798" i="1"/>
  <c r="I1798" i="1"/>
  <c r="B1799" i="1"/>
  <c r="C1799" i="1"/>
  <c r="I1799" i="1"/>
  <c r="B1800" i="1"/>
  <c r="C1800" i="1"/>
  <c r="I1800" i="1"/>
  <c r="B1801" i="1"/>
  <c r="C1801" i="1"/>
  <c r="I1801" i="1"/>
  <c r="B1802" i="1"/>
  <c r="C1802" i="1"/>
  <c r="I1802" i="1"/>
  <c r="B1803" i="1"/>
  <c r="C1803" i="1"/>
  <c r="I1803" i="1"/>
  <c r="B1804" i="1"/>
  <c r="C1804" i="1"/>
  <c r="I1804" i="1"/>
  <c r="B1805" i="1"/>
  <c r="C1805" i="1"/>
  <c r="I1805" i="1"/>
  <c r="B1806" i="1"/>
  <c r="C1806" i="1"/>
  <c r="I1806" i="1"/>
  <c r="B1807" i="1"/>
  <c r="C1807" i="1"/>
  <c r="I1807" i="1"/>
  <c r="B1808" i="1"/>
  <c r="C1808" i="1"/>
  <c r="I1808" i="1"/>
  <c r="B1809" i="1"/>
  <c r="C1809" i="1"/>
  <c r="I1809" i="1"/>
  <c r="B1810" i="1"/>
  <c r="C1810" i="1"/>
  <c r="I1810" i="1"/>
  <c r="B1811" i="1"/>
  <c r="C1811" i="1"/>
  <c r="I1811" i="1"/>
  <c r="B1812" i="1"/>
  <c r="C1812" i="1"/>
  <c r="I1812" i="1"/>
  <c r="B1813" i="1"/>
  <c r="C1813" i="1"/>
  <c r="I1813" i="1"/>
  <c r="B1814" i="1"/>
  <c r="C1814" i="1"/>
  <c r="I1814" i="1"/>
  <c r="B1815" i="1"/>
  <c r="C1815" i="1"/>
  <c r="I1815" i="1"/>
  <c r="B1816" i="1"/>
  <c r="C1816" i="1"/>
  <c r="I1816" i="1"/>
  <c r="B1817" i="1"/>
  <c r="C1817" i="1"/>
  <c r="I1817" i="1"/>
  <c r="B1818" i="1"/>
  <c r="C1818" i="1"/>
  <c r="I1818" i="1"/>
  <c r="B1819" i="1"/>
  <c r="C1819" i="1"/>
  <c r="I1819" i="1"/>
  <c r="B1820" i="1"/>
  <c r="C1820" i="1"/>
  <c r="I1820" i="1"/>
  <c r="B1821" i="1"/>
  <c r="C1821" i="1"/>
  <c r="I1821" i="1"/>
  <c r="B1822" i="1"/>
  <c r="C1822" i="1"/>
  <c r="I1822" i="1"/>
  <c r="B1823" i="1"/>
  <c r="C1823" i="1"/>
  <c r="I1823" i="1"/>
  <c r="B1824" i="1"/>
  <c r="C1824" i="1"/>
  <c r="I1824" i="1"/>
  <c r="B1825" i="1"/>
  <c r="C1825" i="1"/>
  <c r="I1825" i="1"/>
  <c r="B1826" i="1"/>
  <c r="C1826" i="1"/>
  <c r="I1826" i="1"/>
  <c r="B1827" i="1"/>
  <c r="C1827" i="1"/>
  <c r="I1827" i="1"/>
  <c r="B1828" i="1"/>
  <c r="C1828" i="1"/>
  <c r="I1828" i="1"/>
  <c r="B1829" i="1"/>
  <c r="C1829" i="1"/>
  <c r="I1829" i="1"/>
  <c r="B1830" i="1"/>
  <c r="C1830" i="1"/>
  <c r="I1830" i="1"/>
  <c r="B1831" i="1"/>
  <c r="C1831" i="1"/>
  <c r="I1831" i="1"/>
  <c r="B1832" i="1"/>
  <c r="C1832" i="1"/>
  <c r="I1832" i="1"/>
  <c r="B1833" i="1"/>
  <c r="C1833" i="1"/>
  <c r="I1833" i="1"/>
  <c r="B1834" i="1"/>
  <c r="C1834" i="1"/>
  <c r="I1834" i="1"/>
  <c r="B1835" i="1"/>
  <c r="C1835" i="1"/>
  <c r="I1835" i="1"/>
  <c r="B1836" i="1"/>
  <c r="C1836" i="1"/>
  <c r="I1836" i="1"/>
  <c r="B1837" i="1"/>
  <c r="C1837" i="1"/>
  <c r="I1837" i="1"/>
  <c r="B1838" i="1"/>
  <c r="C1838" i="1"/>
  <c r="I1838" i="1"/>
  <c r="B1839" i="1"/>
  <c r="C1839" i="1"/>
  <c r="I1839" i="1"/>
  <c r="B1840" i="1"/>
  <c r="C1840" i="1"/>
  <c r="I1840" i="1"/>
  <c r="B1841" i="1"/>
  <c r="C1841" i="1"/>
  <c r="I1841" i="1"/>
  <c r="B1842" i="1"/>
  <c r="C1842" i="1"/>
  <c r="I1842" i="1"/>
  <c r="B1843" i="1"/>
  <c r="C1843" i="1"/>
  <c r="I1843" i="1"/>
  <c r="B1844" i="1"/>
  <c r="C1844" i="1"/>
  <c r="I1844" i="1"/>
  <c r="B1845" i="1"/>
  <c r="C1845" i="1"/>
  <c r="I1845" i="1"/>
  <c r="B1846" i="1"/>
  <c r="C1846" i="1"/>
  <c r="I1846" i="1"/>
  <c r="B1847" i="1"/>
  <c r="C1847" i="1"/>
  <c r="I1847" i="1"/>
  <c r="B1848" i="1"/>
  <c r="C1848" i="1"/>
  <c r="I1848" i="1"/>
  <c r="B1849" i="1"/>
  <c r="C1849" i="1"/>
  <c r="I1849" i="1"/>
  <c r="B1850" i="1"/>
  <c r="C1850" i="1"/>
  <c r="I1850" i="1"/>
  <c r="B1851" i="1"/>
  <c r="C1851" i="1"/>
  <c r="I1851" i="1"/>
  <c r="B1852" i="1"/>
  <c r="C1852" i="1"/>
  <c r="I1852" i="1"/>
  <c r="B1853" i="1"/>
  <c r="C1853" i="1"/>
  <c r="I1853" i="1"/>
  <c r="B1854" i="1"/>
  <c r="C1854" i="1"/>
  <c r="I1854" i="1"/>
  <c r="B1855" i="1"/>
  <c r="C1855" i="1"/>
  <c r="I1855" i="1"/>
  <c r="B1856" i="1"/>
  <c r="C1856" i="1"/>
  <c r="I1856" i="1"/>
  <c r="B1857" i="1"/>
  <c r="C1857" i="1"/>
  <c r="I1857" i="1"/>
  <c r="B1858" i="1"/>
  <c r="C1858" i="1"/>
  <c r="I1858" i="1"/>
  <c r="B1859" i="1"/>
  <c r="C1859" i="1"/>
  <c r="I1859" i="1"/>
  <c r="B1860" i="1"/>
  <c r="C1860" i="1"/>
  <c r="I1860" i="1"/>
  <c r="B1861" i="1"/>
  <c r="C1861" i="1"/>
  <c r="I1861" i="1"/>
  <c r="B1862" i="1"/>
  <c r="C1862" i="1"/>
  <c r="I1862" i="1"/>
  <c r="B1863" i="1"/>
  <c r="C1863" i="1"/>
  <c r="I1863" i="1"/>
  <c r="B1864" i="1"/>
  <c r="C1864" i="1"/>
  <c r="I1864" i="1"/>
  <c r="B1865" i="1"/>
  <c r="C1865" i="1"/>
  <c r="I1865" i="1"/>
  <c r="B1866" i="1"/>
  <c r="C1866" i="1"/>
  <c r="I1866" i="1"/>
  <c r="B1867" i="1"/>
  <c r="C1867" i="1"/>
  <c r="I1867" i="1"/>
  <c r="B1868" i="1"/>
  <c r="C1868" i="1"/>
  <c r="I1868" i="1"/>
  <c r="B1869" i="1"/>
  <c r="C1869" i="1"/>
  <c r="I1869" i="1"/>
  <c r="B1870" i="1"/>
  <c r="C1870" i="1"/>
  <c r="I1870" i="1"/>
  <c r="B1871" i="1"/>
  <c r="C1871" i="1"/>
  <c r="I1871" i="1"/>
  <c r="B1872" i="1"/>
  <c r="C1872" i="1"/>
  <c r="I1872" i="1"/>
  <c r="B1873" i="1"/>
  <c r="C1873" i="1"/>
  <c r="I1873" i="1"/>
  <c r="B1874" i="1"/>
  <c r="C1874" i="1"/>
  <c r="I1874" i="1"/>
  <c r="B1875" i="1"/>
  <c r="C1875" i="1"/>
  <c r="I1875" i="1"/>
  <c r="B1876" i="1"/>
  <c r="C1876" i="1"/>
  <c r="I1876" i="1"/>
  <c r="B1877" i="1"/>
  <c r="C1877" i="1"/>
  <c r="I1877" i="1"/>
  <c r="B1878" i="1"/>
  <c r="C1878" i="1"/>
  <c r="I1878" i="1"/>
  <c r="B1879" i="1"/>
  <c r="C1879" i="1"/>
  <c r="I1879" i="1"/>
  <c r="B1880" i="1"/>
  <c r="C1880" i="1"/>
  <c r="I1880" i="1"/>
  <c r="B1881" i="1"/>
  <c r="C1881" i="1"/>
  <c r="I1881" i="1"/>
  <c r="B1882" i="1"/>
  <c r="C1882" i="1"/>
  <c r="I1882" i="1"/>
  <c r="B1883" i="1"/>
  <c r="C1883" i="1"/>
  <c r="I1883" i="1"/>
  <c r="B1884" i="1"/>
  <c r="C1884" i="1"/>
  <c r="I1884" i="1"/>
  <c r="B1885" i="1"/>
  <c r="C1885" i="1"/>
  <c r="I1885" i="1"/>
  <c r="B1886" i="1"/>
  <c r="C1886" i="1"/>
  <c r="I1886" i="1"/>
  <c r="B1887" i="1"/>
  <c r="C1887" i="1"/>
  <c r="I1887" i="1"/>
  <c r="B1888" i="1"/>
  <c r="C1888" i="1"/>
  <c r="I1888" i="1"/>
  <c r="B1889" i="1"/>
  <c r="C1889" i="1"/>
  <c r="I1889" i="1"/>
  <c r="B1890" i="1"/>
  <c r="C1890" i="1"/>
  <c r="I1890" i="1"/>
  <c r="B1891" i="1"/>
  <c r="C1891" i="1"/>
  <c r="I1891" i="1"/>
  <c r="B1892" i="1"/>
  <c r="C1892" i="1"/>
  <c r="I1892" i="1"/>
  <c r="B1893" i="1"/>
  <c r="C1893" i="1"/>
  <c r="I1893" i="1"/>
  <c r="B1894" i="1"/>
  <c r="C1894" i="1"/>
  <c r="I1894" i="1"/>
  <c r="B1895" i="1"/>
  <c r="C1895" i="1"/>
  <c r="I1895" i="1"/>
  <c r="B1896" i="1"/>
  <c r="C1896" i="1"/>
  <c r="I1896" i="1"/>
  <c r="B1897" i="1"/>
  <c r="C1897" i="1"/>
  <c r="I1897" i="1"/>
  <c r="B1898" i="1"/>
  <c r="C1898" i="1"/>
  <c r="I1898" i="1"/>
  <c r="B1899" i="1"/>
  <c r="C1899" i="1"/>
  <c r="I1899" i="1"/>
  <c r="B1900" i="1"/>
  <c r="C1900" i="1"/>
  <c r="I1900" i="1"/>
  <c r="B1901" i="1"/>
  <c r="C1901" i="1"/>
  <c r="I1901" i="1"/>
  <c r="B1902" i="1"/>
  <c r="C1902" i="1"/>
  <c r="I1902" i="1"/>
  <c r="B1903" i="1"/>
  <c r="C1903" i="1"/>
  <c r="I1903" i="1"/>
  <c r="B1904" i="1"/>
  <c r="C1904" i="1"/>
  <c r="I1904" i="1"/>
  <c r="B1905" i="1"/>
  <c r="C1905" i="1"/>
  <c r="I1905" i="1"/>
  <c r="B1906" i="1"/>
  <c r="C1906" i="1"/>
  <c r="I1906" i="1"/>
  <c r="B1907" i="1"/>
  <c r="C1907" i="1"/>
  <c r="I1907" i="1"/>
  <c r="B1908" i="1"/>
  <c r="C1908" i="1"/>
  <c r="I1908" i="1"/>
  <c r="B1909" i="1"/>
  <c r="C1909" i="1"/>
  <c r="I1909" i="1"/>
  <c r="B1910" i="1"/>
  <c r="C1910" i="1"/>
  <c r="I1910" i="1"/>
  <c r="B1911" i="1"/>
  <c r="C1911" i="1"/>
  <c r="I1911" i="1"/>
  <c r="B1912" i="1"/>
  <c r="C1912" i="1"/>
  <c r="I1912" i="1"/>
  <c r="B1913" i="1"/>
  <c r="C1913" i="1"/>
  <c r="I1913" i="1"/>
  <c r="B1914" i="1"/>
  <c r="C1914" i="1"/>
  <c r="I1914" i="1"/>
  <c r="B1915" i="1"/>
  <c r="C1915" i="1"/>
  <c r="I1915" i="1"/>
  <c r="B1916" i="1"/>
  <c r="C1916" i="1"/>
  <c r="I1916" i="1"/>
  <c r="B1917" i="1"/>
  <c r="C1917" i="1"/>
  <c r="I1917" i="1"/>
  <c r="B1918" i="1"/>
  <c r="C1918" i="1"/>
  <c r="I1918" i="1"/>
  <c r="B1919" i="1"/>
  <c r="C1919" i="1"/>
  <c r="I1919" i="1"/>
  <c r="B1920" i="1"/>
  <c r="C1920" i="1"/>
  <c r="I1920" i="1"/>
  <c r="B1921" i="1"/>
  <c r="C1921" i="1"/>
  <c r="I1921" i="1"/>
  <c r="B1922" i="1"/>
  <c r="C1922" i="1"/>
  <c r="I1922" i="1"/>
  <c r="B1923" i="1"/>
  <c r="C1923" i="1"/>
  <c r="I1923" i="1"/>
  <c r="B1924" i="1"/>
  <c r="C1924" i="1"/>
  <c r="I1924" i="1"/>
  <c r="B1925" i="1"/>
  <c r="C1925" i="1"/>
  <c r="I1925" i="1"/>
  <c r="B1926" i="1"/>
  <c r="C1926" i="1"/>
  <c r="I1926" i="1"/>
  <c r="B1927" i="1"/>
  <c r="C1927" i="1"/>
  <c r="I1927" i="1"/>
  <c r="B1928" i="1"/>
  <c r="C1928" i="1"/>
  <c r="I1928" i="1"/>
  <c r="B1929" i="1"/>
  <c r="C1929" i="1"/>
  <c r="I1929" i="1"/>
  <c r="B1930" i="1"/>
  <c r="C1930" i="1"/>
  <c r="I1930" i="1"/>
  <c r="B1931" i="1"/>
  <c r="C1931" i="1"/>
  <c r="I1931" i="1"/>
  <c r="B1932" i="1"/>
  <c r="C1932" i="1"/>
  <c r="I1932" i="1"/>
  <c r="B1933" i="1"/>
  <c r="C1933" i="1"/>
  <c r="I1933" i="1"/>
  <c r="B1934" i="1"/>
  <c r="C1934" i="1"/>
  <c r="I1934" i="1"/>
  <c r="B1935" i="1"/>
  <c r="C1935" i="1"/>
  <c r="I1935" i="1"/>
  <c r="B1936" i="1"/>
  <c r="C1936" i="1"/>
  <c r="I1936" i="1"/>
  <c r="B1937" i="1"/>
  <c r="C1937" i="1"/>
  <c r="I1937" i="1"/>
  <c r="B1938" i="1"/>
  <c r="C1938" i="1"/>
  <c r="I1938" i="1"/>
  <c r="B1939" i="1"/>
  <c r="C1939" i="1"/>
  <c r="I1939" i="1"/>
  <c r="B1940" i="1"/>
  <c r="C1940" i="1"/>
  <c r="I1940" i="1"/>
  <c r="B1941" i="1"/>
  <c r="C1941" i="1"/>
  <c r="I1941" i="1"/>
  <c r="B1942" i="1"/>
  <c r="C1942" i="1"/>
  <c r="I1942" i="1"/>
  <c r="B1943" i="1"/>
  <c r="C1943" i="1"/>
  <c r="I1943" i="1"/>
  <c r="B1944" i="1"/>
  <c r="C1944" i="1"/>
  <c r="I1944" i="1"/>
  <c r="B1945" i="1"/>
  <c r="C1945" i="1"/>
  <c r="I1945" i="1"/>
  <c r="B1946" i="1"/>
  <c r="C1946" i="1"/>
  <c r="I1946" i="1"/>
  <c r="B1947" i="1"/>
  <c r="C1947" i="1"/>
  <c r="I1947" i="1"/>
  <c r="B1948" i="1"/>
  <c r="C1948" i="1"/>
  <c r="I1948" i="1"/>
  <c r="B1949" i="1"/>
  <c r="C1949" i="1"/>
  <c r="I1949" i="1"/>
  <c r="B1950" i="1"/>
  <c r="C1950" i="1"/>
  <c r="I1950" i="1"/>
  <c r="B1951" i="1"/>
  <c r="C1951" i="1"/>
  <c r="I1951" i="1"/>
  <c r="B1952" i="1"/>
  <c r="C1952" i="1"/>
  <c r="I1952" i="1"/>
  <c r="B1953" i="1"/>
  <c r="C1953" i="1"/>
  <c r="I1953" i="1"/>
  <c r="B1954" i="1"/>
  <c r="C1954" i="1"/>
  <c r="I1954" i="1"/>
  <c r="B1955" i="1"/>
  <c r="C1955" i="1"/>
  <c r="I1955" i="1"/>
  <c r="B1956" i="1"/>
  <c r="C1956" i="1"/>
  <c r="I1956" i="1"/>
  <c r="B1957" i="1"/>
  <c r="C1957" i="1"/>
  <c r="I1957" i="1"/>
  <c r="B1958" i="1"/>
  <c r="C1958" i="1"/>
  <c r="I1958" i="1"/>
  <c r="B1959" i="1"/>
  <c r="C1959" i="1"/>
  <c r="I1959" i="1"/>
  <c r="B1960" i="1"/>
  <c r="C1960" i="1"/>
  <c r="I1960" i="1"/>
  <c r="B1961" i="1"/>
  <c r="C1961" i="1"/>
  <c r="I1961" i="1"/>
  <c r="B1962" i="1"/>
  <c r="C1962" i="1"/>
  <c r="I1962" i="1"/>
  <c r="B1963" i="1"/>
  <c r="C1963" i="1"/>
  <c r="I1963" i="1"/>
  <c r="B1964" i="1"/>
  <c r="C1964" i="1"/>
  <c r="I1964" i="1"/>
  <c r="B1965" i="1"/>
  <c r="C1965" i="1"/>
  <c r="I1965" i="1"/>
  <c r="B1966" i="1"/>
  <c r="C1966" i="1"/>
  <c r="I1966" i="1"/>
  <c r="B1967" i="1"/>
  <c r="C1967" i="1"/>
  <c r="I1967" i="1"/>
  <c r="B1968" i="1"/>
  <c r="C1968" i="1"/>
  <c r="I1968" i="1"/>
  <c r="B1969" i="1"/>
  <c r="C1969" i="1"/>
  <c r="I1969" i="1"/>
  <c r="B1970" i="1"/>
  <c r="C1970" i="1"/>
  <c r="I1970" i="1"/>
  <c r="B1971" i="1"/>
  <c r="C1971" i="1"/>
  <c r="I1971" i="1"/>
  <c r="B1972" i="1"/>
  <c r="C1972" i="1"/>
  <c r="I1972" i="1"/>
  <c r="B1973" i="1"/>
  <c r="C1973" i="1"/>
  <c r="I1973" i="1"/>
  <c r="B1974" i="1"/>
  <c r="C1974" i="1"/>
  <c r="I1974" i="1"/>
  <c r="B1975" i="1"/>
  <c r="C1975" i="1"/>
  <c r="I1975" i="1"/>
  <c r="B1976" i="1"/>
  <c r="C1976" i="1"/>
  <c r="I1976" i="1"/>
  <c r="B1977" i="1"/>
  <c r="C1977" i="1"/>
  <c r="I1977" i="1"/>
  <c r="B1978" i="1"/>
  <c r="C1978" i="1"/>
  <c r="I1978" i="1"/>
  <c r="B1979" i="1"/>
  <c r="C1979" i="1"/>
  <c r="I1979" i="1"/>
  <c r="B1980" i="1"/>
  <c r="C1980" i="1"/>
  <c r="I1980" i="1"/>
  <c r="B1981" i="1"/>
  <c r="C1981" i="1"/>
  <c r="I1981" i="1"/>
  <c r="B1982" i="1"/>
  <c r="C1982" i="1"/>
  <c r="I1982" i="1"/>
  <c r="B1983" i="1"/>
  <c r="C1983" i="1"/>
  <c r="I1983" i="1"/>
  <c r="B1984" i="1"/>
  <c r="C1984" i="1"/>
  <c r="I1984" i="1"/>
  <c r="B1985" i="1"/>
  <c r="C1985" i="1"/>
  <c r="I1985" i="1"/>
  <c r="B1986" i="1"/>
  <c r="C1986" i="1"/>
  <c r="I1986" i="1"/>
  <c r="B1987" i="1"/>
  <c r="C1987" i="1"/>
  <c r="I1987" i="1"/>
  <c r="B1988" i="1"/>
  <c r="C1988" i="1"/>
  <c r="I1988" i="1"/>
  <c r="B1989" i="1"/>
  <c r="C1989" i="1"/>
  <c r="I1989" i="1"/>
  <c r="B1990" i="1"/>
  <c r="C1990" i="1"/>
  <c r="I1990" i="1"/>
  <c r="B1991" i="1"/>
  <c r="C1991" i="1"/>
  <c r="I1991" i="1"/>
  <c r="B1992" i="1"/>
  <c r="C1992" i="1"/>
  <c r="I1992" i="1"/>
  <c r="B1993" i="1"/>
  <c r="C1993" i="1"/>
  <c r="I1993" i="1"/>
  <c r="B1994" i="1"/>
  <c r="C1994" i="1"/>
  <c r="I1994" i="1"/>
  <c r="B1995" i="1"/>
  <c r="C1995" i="1"/>
  <c r="I1995" i="1"/>
  <c r="B1996" i="1"/>
  <c r="C1996" i="1"/>
  <c r="I1996" i="1"/>
  <c r="B1997" i="1"/>
  <c r="C1997" i="1"/>
  <c r="I1997" i="1"/>
  <c r="B1998" i="1"/>
  <c r="C1998" i="1"/>
  <c r="I1998" i="1"/>
  <c r="B1999" i="1"/>
  <c r="C1999" i="1"/>
  <c r="I1999" i="1"/>
  <c r="B2000" i="1"/>
  <c r="C2000" i="1"/>
  <c r="I2000" i="1"/>
  <c r="B2001" i="1"/>
  <c r="C2001" i="1"/>
  <c r="I2001" i="1"/>
  <c r="B2002" i="1"/>
  <c r="C2002" i="1"/>
  <c r="I2002" i="1"/>
  <c r="B2003" i="1"/>
  <c r="C2003" i="1"/>
  <c r="I2003" i="1"/>
  <c r="B2004" i="1"/>
  <c r="C2004" i="1"/>
  <c r="I2004" i="1"/>
  <c r="B2005" i="1"/>
  <c r="C2005" i="1"/>
  <c r="I2005" i="1"/>
  <c r="B2006" i="1"/>
  <c r="C2006" i="1"/>
  <c r="I2006" i="1"/>
  <c r="B2007" i="1"/>
  <c r="C2007" i="1"/>
  <c r="I2007" i="1"/>
  <c r="B2008" i="1"/>
  <c r="C2008" i="1"/>
  <c r="I2008" i="1"/>
  <c r="B2009" i="1"/>
  <c r="C2009" i="1"/>
  <c r="I2009" i="1"/>
  <c r="B2010" i="1"/>
  <c r="C2010" i="1"/>
  <c r="I2010" i="1"/>
  <c r="B2011" i="1"/>
  <c r="C2011" i="1"/>
  <c r="I2011" i="1"/>
  <c r="B2012" i="1"/>
  <c r="C2012" i="1"/>
  <c r="I2012" i="1"/>
  <c r="B2013" i="1"/>
  <c r="C2013" i="1"/>
  <c r="I2013" i="1"/>
  <c r="B2014" i="1"/>
  <c r="C2014" i="1"/>
  <c r="I2014" i="1"/>
  <c r="B2015" i="1"/>
  <c r="C2015" i="1"/>
  <c r="I2015" i="1"/>
  <c r="B2016" i="1"/>
  <c r="C2016" i="1"/>
  <c r="I2016" i="1"/>
  <c r="B2017" i="1"/>
  <c r="C2017" i="1"/>
  <c r="I2017" i="1"/>
  <c r="B2018" i="1"/>
  <c r="C2018" i="1"/>
  <c r="I2018" i="1"/>
  <c r="B2019" i="1"/>
  <c r="C2019" i="1"/>
  <c r="I2019" i="1"/>
  <c r="B2020" i="1"/>
  <c r="C2020" i="1"/>
  <c r="I2020" i="1"/>
  <c r="B2021" i="1"/>
  <c r="C2021" i="1"/>
  <c r="I2021" i="1"/>
  <c r="B2022" i="1"/>
  <c r="C2022" i="1"/>
  <c r="I2022" i="1"/>
  <c r="B2023" i="1"/>
  <c r="C2023" i="1"/>
  <c r="I2023" i="1"/>
  <c r="B2024" i="1"/>
  <c r="C2024" i="1"/>
  <c r="I2024" i="1"/>
  <c r="B2025" i="1"/>
  <c r="C2025" i="1"/>
  <c r="I2025" i="1"/>
  <c r="B2026" i="1"/>
  <c r="C2026" i="1"/>
  <c r="I2026" i="1"/>
  <c r="B2027" i="1"/>
  <c r="C2027" i="1"/>
  <c r="I2027" i="1"/>
  <c r="B2028" i="1"/>
  <c r="C2028" i="1"/>
  <c r="I2028" i="1"/>
  <c r="B2029" i="1"/>
  <c r="C2029" i="1"/>
  <c r="I2029" i="1"/>
  <c r="B2030" i="1"/>
  <c r="C2030" i="1"/>
  <c r="I2030" i="1"/>
  <c r="B2031" i="1"/>
  <c r="C2031" i="1"/>
  <c r="I2031" i="1"/>
  <c r="B2032" i="1"/>
  <c r="C2032" i="1"/>
  <c r="I2032" i="1"/>
  <c r="B2033" i="1"/>
  <c r="C2033" i="1"/>
  <c r="I2033" i="1"/>
  <c r="B2034" i="1"/>
  <c r="C2034" i="1"/>
  <c r="I2034" i="1"/>
  <c r="B2035" i="1"/>
  <c r="C2035" i="1"/>
  <c r="I2035" i="1"/>
  <c r="B2036" i="1"/>
  <c r="C2036" i="1"/>
  <c r="I2036" i="1"/>
  <c r="B2037" i="1"/>
  <c r="C2037" i="1"/>
  <c r="I2037" i="1"/>
  <c r="B2038" i="1"/>
  <c r="C2038" i="1"/>
  <c r="I2038" i="1"/>
  <c r="B2039" i="1"/>
  <c r="C2039" i="1"/>
  <c r="I2039" i="1"/>
  <c r="B2040" i="1"/>
  <c r="C2040" i="1"/>
  <c r="I2040" i="1"/>
  <c r="B2041" i="1"/>
  <c r="C2041" i="1"/>
  <c r="I2041" i="1"/>
  <c r="B2042" i="1"/>
  <c r="C2042" i="1"/>
  <c r="I2042" i="1"/>
  <c r="B2043" i="1"/>
  <c r="C2043" i="1"/>
  <c r="I2043" i="1"/>
  <c r="B2044" i="1"/>
  <c r="C2044" i="1"/>
  <c r="I2044" i="1"/>
  <c r="B2045" i="1"/>
  <c r="C2045" i="1"/>
  <c r="I2045" i="1"/>
  <c r="B2046" i="1"/>
  <c r="C2046" i="1"/>
  <c r="I2046" i="1"/>
  <c r="B2047" i="1"/>
  <c r="C2047" i="1"/>
  <c r="I2047" i="1"/>
  <c r="B2048" i="1"/>
  <c r="C2048" i="1"/>
  <c r="I2048" i="1"/>
  <c r="B2049" i="1"/>
  <c r="C2049" i="1"/>
  <c r="I2049" i="1"/>
  <c r="B2050" i="1"/>
  <c r="C2050" i="1"/>
  <c r="I2050" i="1"/>
  <c r="B2051" i="1"/>
  <c r="C2051" i="1"/>
  <c r="I2051" i="1"/>
  <c r="B2052" i="1"/>
  <c r="C2052" i="1"/>
  <c r="I2052" i="1"/>
  <c r="B2053" i="1"/>
  <c r="C2053" i="1"/>
  <c r="I2053" i="1"/>
  <c r="B2054" i="1"/>
  <c r="C2054" i="1"/>
  <c r="I2054" i="1"/>
  <c r="B2055" i="1"/>
  <c r="C2055" i="1"/>
  <c r="I2055" i="1"/>
  <c r="B2056" i="1"/>
  <c r="C2056" i="1"/>
  <c r="I2056" i="1"/>
  <c r="B2057" i="1"/>
  <c r="C2057" i="1"/>
  <c r="I2057" i="1"/>
  <c r="B2058" i="1"/>
  <c r="C2058" i="1"/>
  <c r="I2058" i="1"/>
  <c r="B2059" i="1"/>
  <c r="C2059" i="1"/>
  <c r="I2059" i="1"/>
  <c r="B2060" i="1"/>
  <c r="C2060" i="1"/>
  <c r="I2060" i="1"/>
  <c r="B2061" i="1"/>
  <c r="C2061" i="1"/>
  <c r="I2061" i="1"/>
  <c r="B2062" i="1"/>
  <c r="C2062" i="1"/>
  <c r="I2062" i="1"/>
  <c r="B2063" i="1"/>
  <c r="C2063" i="1"/>
  <c r="I2063" i="1"/>
  <c r="B2064" i="1"/>
  <c r="C2064" i="1"/>
  <c r="I2064" i="1"/>
  <c r="B2065" i="1"/>
  <c r="C2065" i="1"/>
  <c r="I2065" i="1"/>
  <c r="B2066" i="1"/>
  <c r="C2066" i="1"/>
  <c r="I2066" i="1"/>
  <c r="B2067" i="1"/>
  <c r="C2067" i="1"/>
  <c r="I2067" i="1"/>
  <c r="B2068" i="1"/>
  <c r="C2068" i="1"/>
  <c r="I2068" i="1"/>
  <c r="B2069" i="1"/>
  <c r="C2069" i="1"/>
  <c r="I2069" i="1"/>
  <c r="B2070" i="1"/>
  <c r="C2070" i="1"/>
  <c r="I2070" i="1"/>
  <c r="B2071" i="1"/>
  <c r="C2071" i="1"/>
  <c r="I2071" i="1"/>
  <c r="B2072" i="1"/>
  <c r="C2072" i="1"/>
  <c r="I2072" i="1"/>
  <c r="B2073" i="1"/>
  <c r="C2073" i="1"/>
  <c r="I2073" i="1"/>
  <c r="B2074" i="1"/>
  <c r="C2074" i="1"/>
  <c r="I2074" i="1"/>
  <c r="B2075" i="1"/>
  <c r="C2075" i="1"/>
  <c r="I2075" i="1"/>
  <c r="B2076" i="1"/>
  <c r="C2076" i="1"/>
  <c r="I2076" i="1"/>
  <c r="B2077" i="1"/>
  <c r="C2077" i="1"/>
  <c r="I2077" i="1"/>
  <c r="B2078" i="1"/>
  <c r="C2078" i="1"/>
  <c r="I2078" i="1"/>
  <c r="B2079" i="1"/>
  <c r="C2079" i="1"/>
  <c r="I2079" i="1"/>
  <c r="B2080" i="1"/>
  <c r="C2080" i="1"/>
  <c r="I2080" i="1"/>
  <c r="B2081" i="1"/>
  <c r="C2081" i="1"/>
  <c r="I2081" i="1"/>
  <c r="B2082" i="1"/>
  <c r="C2082" i="1"/>
  <c r="I2082" i="1"/>
  <c r="B2083" i="1"/>
  <c r="C2083" i="1"/>
  <c r="I2083" i="1"/>
  <c r="B2084" i="1"/>
  <c r="C2084" i="1"/>
  <c r="I2084" i="1"/>
  <c r="B2085" i="1"/>
  <c r="C2085" i="1"/>
  <c r="I2085" i="1"/>
  <c r="B2086" i="1"/>
  <c r="C2086" i="1"/>
  <c r="I2086" i="1"/>
  <c r="B2087" i="1"/>
  <c r="C2087" i="1"/>
  <c r="I2087" i="1"/>
  <c r="B2088" i="1"/>
  <c r="C2088" i="1"/>
  <c r="I2088" i="1"/>
  <c r="B2089" i="1"/>
  <c r="C2089" i="1"/>
  <c r="I2089" i="1"/>
  <c r="B2090" i="1"/>
  <c r="C2090" i="1"/>
  <c r="I2090" i="1"/>
  <c r="B2091" i="1"/>
  <c r="C2091" i="1"/>
  <c r="I2091" i="1"/>
  <c r="B2092" i="1"/>
  <c r="C2092" i="1"/>
  <c r="I2092" i="1"/>
  <c r="B2093" i="1"/>
  <c r="C2093" i="1"/>
  <c r="I2093" i="1"/>
  <c r="B2094" i="1"/>
  <c r="C2094" i="1"/>
  <c r="I2094" i="1"/>
  <c r="B2095" i="1"/>
  <c r="C2095" i="1"/>
  <c r="I2095" i="1"/>
  <c r="B2096" i="1"/>
  <c r="C2096" i="1"/>
  <c r="I2096" i="1"/>
  <c r="B2097" i="1"/>
  <c r="C2097" i="1"/>
  <c r="I2097" i="1"/>
  <c r="B2098" i="1"/>
  <c r="C2098" i="1"/>
  <c r="I2098" i="1"/>
  <c r="B2099" i="1"/>
  <c r="C2099" i="1"/>
  <c r="I2099" i="1"/>
  <c r="B2100" i="1"/>
  <c r="C2100" i="1"/>
  <c r="I2100" i="1"/>
  <c r="B2101" i="1"/>
  <c r="C2101" i="1"/>
  <c r="I2101" i="1"/>
  <c r="B2102" i="1"/>
  <c r="C2102" i="1"/>
  <c r="I2102" i="1"/>
  <c r="B2103" i="1"/>
  <c r="C2103" i="1"/>
  <c r="I2103" i="1"/>
  <c r="B2104" i="1"/>
  <c r="C2104" i="1"/>
  <c r="I2104" i="1"/>
  <c r="B2105" i="1"/>
  <c r="C2105" i="1"/>
  <c r="I2105" i="1"/>
  <c r="B2106" i="1"/>
  <c r="C2106" i="1"/>
  <c r="I2106" i="1"/>
  <c r="B2107" i="1"/>
  <c r="C2107" i="1"/>
  <c r="I2107" i="1"/>
  <c r="B2108" i="1"/>
  <c r="C2108" i="1"/>
  <c r="I2108" i="1"/>
  <c r="B2109" i="1"/>
  <c r="C2109" i="1"/>
  <c r="I2109" i="1"/>
  <c r="B2110" i="1"/>
  <c r="C2110" i="1"/>
  <c r="I2110" i="1"/>
  <c r="B2111" i="1"/>
  <c r="C2111" i="1"/>
  <c r="I2111" i="1"/>
  <c r="B2112" i="1"/>
  <c r="C2112" i="1"/>
  <c r="I2112" i="1"/>
  <c r="B2113" i="1"/>
  <c r="C2113" i="1"/>
  <c r="I2113" i="1"/>
  <c r="B2114" i="1"/>
  <c r="C2114" i="1"/>
  <c r="I2114" i="1"/>
  <c r="B2115" i="1"/>
  <c r="C2115" i="1"/>
  <c r="I2115" i="1"/>
  <c r="B2116" i="1"/>
  <c r="C2116" i="1"/>
  <c r="I2116" i="1"/>
  <c r="B2117" i="1"/>
  <c r="C2117" i="1"/>
  <c r="I2117" i="1"/>
  <c r="B2118" i="1"/>
  <c r="C2118" i="1"/>
  <c r="I2118" i="1"/>
  <c r="B2119" i="1"/>
  <c r="C2119" i="1"/>
  <c r="I2119" i="1"/>
  <c r="B2120" i="1"/>
  <c r="C2120" i="1"/>
  <c r="I2120" i="1"/>
  <c r="B2121" i="1"/>
  <c r="C2121" i="1"/>
  <c r="I2121" i="1"/>
  <c r="B2122" i="1"/>
  <c r="C2122" i="1"/>
  <c r="I2122" i="1"/>
  <c r="B2123" i="1"/>
  <c r="C2123" i="1"/>
  <c r="I2123" i="1"/>
  <c r="B2124" i="1"/>
  <c r="C2124" i="1"/>
  <c r="I2124" i="1"/>
  <c r="B2125" i="1"/>
  <c r="C2125" i="1"/>
  <c r="I2125" i="1"/>
  <c r="B2126" i="1"/>
  <c r="C2126" i="1"/>
  <c r="I2126" i="1"/>
  <c r="B2127" i="1"/>
  <c r="C2127" i="1"/>
  <c r="I2127" i="1"/>
  <c r="B2128" i="1"/>
  <c r="C2128" i="1"/>
  <c r="I2128" i="1"/>
  <c r="B2129" i="1"/>
  <c r="C2129" i="1"/>
  <c r="I2129" i="1"/>
  <c r="B2130" i="1"/>
  <c r="C2130" i="1"/>
  <c r="I2130" i="1"/>
  <c r="B2131" i="1"/>
  <c r="C2131" i="1"/>
  <c r="I2131" i="1"/>
  <c r="B2132" i="1"/>
  <c r="C2132" i="1"/>
  <c r="I2132" i="1"/>
  <c r="B2133" i="1"/>
  <c r="C2133" i="1"/>
  <c r="I2133" i="1"/>
  <c r="B2134" i="1"/>
  <c r="C2134" i="1"/>
  <c r="I2134" i="1"/>
  <c r="B2135" i="1"/>
  <c r="C2135" i="1"/>
  <c r="I2135" i="1"/>
  <c r="B2136" i="1"/>
  <c r="C2136" i="1"/>
  <c r="I2136" i="1"/>
  <c r="B2137" i="1"/>
  <c r="C2137" i="1"/>
  <c r="I2137" i="1"/>
  <c r="B2138" i="1"/>
  <c r="C2138" i="1"/>
  <c r="I2138" i="1"/>
  <c r="B2139" i="1"/>
  <c r="C2139" i="1"/>
  <c r="I2139" i="1"/>
  <c r="B2140" i="1"/>
  <c r="C2140" i="1"/>
  <c r="I2140" i="1"/>
  <c r="B2141" i="1"/>
  <c r="C2141" i="1"/>
  <c r="I2141" i="1"/>
  <c r="B2142" i="1"/>
  <c r="C2142" i="1"/>
  <c r="I2142" i="1"/>
  <c r="B2143" i="1"/>
  <c r="C2143" i="1"/>
  <c r="I2143" i="1"/>
  <c r="B2144" i="1"/>
  <c r="C2144" i="1"/>
  <c r="I2144" i="1"/>
  <c r="B2145" i="1"/>
  <c r="C2145" i="1"/>
  <c r="I2145" i="1"/>
  <c r="B2146" i="1"/>
  <c r="C2146" i="1"/>
  <c r="I2146" i="1"/>
  <c r="B2147" i="1"/>
  <c r="C2147" i="1"/>
  <c r="I2147" i="1"/>
  <c r="B2148" i="1"/>
  <c r="C2148" i="1"/>
  <c r="I2148" i="1"/>
  <c r="B2149" i="1"/>
  <c r="C2149" i="1"/>
  <c r="I2149" i="1"/>
  <c r="B2150" i="1"/>
  <c r="C2150" i="1"/>
  <c r="I2150" i="1"/>
  <c r="B2151" i="1"/>
  <c r="C2151" i="1"/>
  <c r="I2151" i="1"/>
  <c r="B2152" i="1"/>
  <c r="C2152" i="1"/>
  <c r="I2152" i="1"/>
  <c r="B2153" i="1"/>
  <c r="C2153" i="1"/>
  <c r="I2153" i="1"/>
  <c r="B2154" i="1"/>
  <c r="C2154" i="1"/>
  <c r="I2154" i="1"/>
  <c r="B2155" i="1"/>
  <c r="C2155" i="1"/>
  <c r="I2155" i="1"/>
  <c r="B2156" i="1"/>
  <c r="C2156" i="1"/>
  <c r="I2156" i="1"/>
  <c r="B2157" i="1"/>
  <c r="C2157" i="1"/>
  <c r="I2157" i="1"/>
  <c r="B2158" i="1"/>
  <c r="C2158" i="1"/>
  <c r="I2158" i="1"/>
  <c r="B2159" i="1"/>
  <c r="C2159" i="1"/>
  <c r="I2159" i="1"/>
  <c r="B2160" i="1"/>
  <c r="C2160" i="1"/>
  <c r="I2160" i="1"/>
  <c r="B2161" i="1"/>
  <c r="C2161" i="1"/>
  <c r="I2161" i="1"/>
  <c r="B2162" i="1"/>
  <c r="C2162" i="1"/>
  <c r="I2162" i="1"/>
  <c r="B2163" i="1"/>
  <c r="C2163" i="1"/>
  <c r="I2163" i="1"/>
  <c r="B2164" i="1"/>
  <c r="C2164" i="1"/>
  <c r="I2164" i="1"/>
  <c r="B2165" i="1"/>
  <c r="C2165" i="1"/>
  <c r="I2165" i="1"/>
  <c r="B2166" i="1"/>
  <c r="C2166" i="1"/>
  <c r="I2166" i="1"/>
  <c r="B2167" i="1"/>
  <c r="C2167" i="1"/>
  <c r="I2167" i="1"/>
  <c r="B2168" i="1"/>
  <c r="C2168" i="1"/>
  <c r="I2168" i="1"/>
  <c r="B2169" i="1"/>
  <c r="C2169" i="1"/>
  <c r="I2169" i="1"/>
  <c r="B2170" i="1"/>
  <c r="C2170" i="1"/>
  <c r="I2170" i="1"/>
  <c r="B2171" i="1"/>
  <c r="C2171" i="1"/>
  <c r="I2171" i="1"/>
  <c r="B2172" i="1"/>
  <c r="C2172" i="1"/>
  <c r="I2172" i="1"/>
  <c r="B2173" i="1"/>
  <c r="C2173" i="1"/>
  <c r="I2173" i="1"/>
  <c r="B2174" i="1"/>
  <c r="C2174" i="1"/>
  <c r="I2174" i="1"/>
  <c r="B2175" i="1"/>
  <c r="C2175" i="1"/>
  <c r="I2175" i="1"/>
  <c r="B2176" i="1"/>
  <c r="C2176" i="1"/>
  <c r="I2176" i="1"/>
  <c r="B2177" i="1"/>
  <c r="C2177" i="1"/>
  <c r="I2177" i="1"/>
  <c r="B2178" i="1"/>
  <c r="C2178" i="1"/>
  <c r="I2178" i="1"/>
  <c r="B2179" i="1"/>
  <c r="C2179" i="1"/>
  <c r="I2179" i="1"/>
  <c r="B2180" i="1"/>
  <c r="C2180" i="1"/>
  <c r="I2180" i="1"/>
  <c r="B2181" i="1"/>
  <c r="C2181" i="1"/>
  <c r="I2181" i="1"/>
  <c r="B2182" i="1"/>
  <c r="C2182" i="1"/>
  <c r="I2182" i="1"/>
  <c r="B2183" i="1"/>
  <c r="C2183" i="1"/>
  <c r="I2183" i="1"/>
  <c r="B2184" i="1"/>
  <c r="C2184" i="1"/>
  <c r="I2184" i="1"/>
  <c r="B2185" i="1"/>
  <c r="C2185" i="1"/>
  <c r="I2185" i="1"/>
  <c r="B2186" i="1"/>
  <c r="C2186" i="1"/>
  <c r="I2186" i="1"/>
  <c r="B2187" i="1"/>
  <c r="C2187" i="1"/>
  <c r="I2187" i="1"/>
  <c r="B2188" i="1"/>
  <c r="C2188" i="1"/>
  <c r="I2188" i="1"/>
  <c r="B2189" i="1"/>
  <c r="C2189" i="1"/>
  <c r="I2189" i="1"/>
  <c r="B2190" i="1"/>
  <c r="C2190" i="1"/>
  <c r="I2190" i="1"/>
  <c r="B2191" i="1"/>
  <c r="C2191" i="1"/>
  <c r="I2191" i="1"/>
  <c r="B2192" i="1"/>
  <c r="C2192" i="1"/>
  <c r="I2192" i="1"/>
  <c r="B2193" i="1"/>
  <c r="C2193" i="1"/>
  <c r="I2193" i="1"/>
  <c r="B2194" i="1"/>
  <c r="C2194" i="1"/>
  <c r="I2194" i="1"/>
  <c r="B2195" i="1"/>
  <c r="C2195" i="1"/>
  <c r="I2195" i="1"/>
  <c r="B2196" i="1"/>
  <c r="C2196" i="1"/>
  <c r="I2196" i="1"/>
  <c r="B2197" i="1"/>
  <c r="C2197" i="1"/>
  <c r="I2197" i="1"/>
  <c r="B2198" i="1"/>
  <c r="C2198" i="1"/>
  <c r="I2198" i="1"/>
  <c r="B2199" i="1"/>
  <c r="C2199" i="1"/>
  <c r="I2199" i="1"/>
  <c r="B2200" i="1"/>
  <c r="C2200" i="1"/>
  <c r="I2200" i="1"/>
  <c r="B2201" i="1"/>
  <c r="C2201" i="1"/>
  <c r="I2201" i="1"/>
  <c r="B2202" i="1"/>
  <c r="C2202" i="1"/>
  <c r="I2202" i="1"/>
  <c r="B2203" i="1"/>
  <c r="C2203" i="1"/>
  <c r="I2203" i="1"/>
  <c r="B2204" i="1"/>
  <c r="C2204" i="1"/>
  <c r="I2204" i="1"/>
  <c r="B2205" i="1"/>
  <c r="C2205" i="1"/>
  <c r="I2205" i="1"/>
  <c r="B2206" i="1"/>
  <c r="C2206" i="1"/>
  <c r="I2206" i="1"/>
  <c r="B2207" i="1"/>
  <c r="C2207" i="1"/>
  <c r="I2207" i="1"/>
  <c r="B2208" i="1"/>
  <c r="C2208" i="1"/>
  <c r="I2208" i="1"/>
  <c r="B2209" i="1"/>
  <c r="C2209" i="1"/>
  <c r="I2209" i="1"/>
  <c r="B2210" i="1"/>
  <c r="C2210" i="1"/>
  <c r="I2210" i="1"/>
  <c r="B2211" i="1"/>
  <c r="C2211" i="1"/>
  <c r="I2211" i="1"/>
  <c r="B2212" i="1"/>
  <c r="C2212" i="1"/>
  <c r="I2212" i="1"/>
  <c r="B2213" i="1"/>
  <c r="C2213" i="1"/>
  <c r="I2213" i="1"/>
  <c r="B2214" i="1"/>
  <c r="C2214" i="1"/>
  <c r="I2214" i="1"/>
  <c r="B2215" i="1"/>
  <c r="C2215" i="1"/>
  <c r="I2215" i="1"/>
  <c r="B2216" i="1"/>
  <c r="C2216" i="1"/>
  <c r="I2216" i="1"/>
  <c r="B2217" i="1"/>
  <c r="C2217" i="1"/>
  <c r="I2217" i="1"/>
  <c r="B2218" i="1"/>
  <c r="C2218" i="1"/>
  <c r="I2218" i="1"/>
  <c r="B2219" i="1"/>
  <c r="C2219" i="1"/>
  <c r="I2219" i="1"/>
  <c r="B2220" i="1"/>
  <c r="C2220" i="1"/>
  <c r="I2220" i="1"/>
  <c r="B2221" i="1"/>
  <c r="C2221" i="1"/>
  <c r="I2221" i="1"/>
  <c r="B2222" i="1"/>
  <c r="C2222" i="1"/>
  <c r="I2222" i="1"/>
  <c r="B2223" i="1"/>
  <c r="C2223" i="1"/>
  <c r="I2223" i="1"/>
  <c r="B2224" i="1"/>
  <c r="C2224" i="1"/>
  <c r="I2224" i="1"/>
  <c r="B2225" i="1"/>
  <c r="C2225" i="1"/>
  <c r="I2225" i="1"/>
  <c r="B2226" i="1"/>
  <c r="C2226" i="1"/>
  <c r="I2226" i="1"/>
  <c r="B2227" i="1"/>
  <c r="C2227" i="1"/>
  <c r="I2227" i="1"/>
  <c r="B2228" i="1"/>
  <c r="C2228" i="1"/>
  <c r="I2228" i="1"/>
  <c r="B2229" i="1"/>
  <c r="C2229" i="1"/>
  <c r="I2229" i="1"/>
  <c r="B2230" i="1"/>
  <c r="C2230" i="1"/>
  <c r="I2230" i="1"/>
  <c r="B2231" i="1"/>
  <c r="C2231" i="1"/>
  <c r="I2231" i="1"/>
  <c r="B2232" i="1"/>
  <c r="C2232" i="1"/>
  <c r="I2232" i="1"/>
  <c r="B2233" i="1"/>
  <c r="C2233" i="1"/>
  <c r="I2233" i="1"/>
  <c r="B2234" i="1"/>
  <c r="C2234" i="1"/>
  <c r="I2234" i="1"/>
  <c r="B2235" i="1"/>
  <c r="C2235" i="1"/>
  <c r="I2235" i="1"/>
  <c r="B2236" i="1"/>
  <c r="C2236" i="1"/>
  <c r="I2236" i="1"/>
  <c r="B2237" i="1"/>
  <c r="C2237" i="1"/>
  <c r="I2237" i="1"/>
  <c r="B2238" i="1"/>
  <c r="C2238" i="1"/>
  <c r="I2238" i="1"/>
  <c r="B2239" i="1"/>
  <c r="C2239" i="1"/>
  <c r="I2239" i="1"/>
  <c r="B2240" i="1"/>
  <c r="C2240" i="1"/>
  <c r="I2240" i="1"/>
  <c r="B2241" i="1"/>
  <c r="C2241" i="1"/>
  <c r="I2241" i="1"/>
  <c r="B2242" i="1"/>
  <c r="C2242" i="1"/>
  <c r="I2242" i="1"/>
  <c r="B2243" i="1"/>
  <c r="C2243" i="1"/>
  <c r="I2243" i="1"/>
  <c r="B2244" i="1"/>
  <c r="C2244" i="1"/>
  <c r="I2244" i="1"/>
  <c r="B2245" i="1"/>
  <c r="C2245" i="1"/>
  <c r="I2245" i="1"/>
  <c r="B2246" i="1"/>
  <c r="C2246" i="1"/>
  <c r="I2246" i="1"/>
  <c r="B2247" i="1"/>
  <c r="C2247" i="1"/>
  <c r="I2247" i="1"/>
  <c r="B2248" i="1"/>
  <c r="C2248" i="1"/>
  <c r="I2248" i="1"/>
  <c r="B2249" i="1"/>
  <c r="C2249" i="1"/>
  <c r="I2249" i="1"/>
  <c r="B2250" i="1"/>
  <c r="C2250" i="1"/>
  <c r="I2250" i="1"/>
  <c r="B2251" i="1"/>
  <c r="C2251" i="1"/>
  <c r="I2251" i="1"/>
  <c r="B2252" i="1"/>
  <c r="C2252" i="1"/>
  <c r="I2252" i="1"/>
  <c r="B2253" i="1"/>
  <c r="C2253" i="1"/>
  <c r="I2253" i="1"/>
  <c r="B2254" i="1"/>
  <c r="C2254" i="1"/>
  <c r="I2254" i="1"/>
  <c r="B2255" i="1"/>
  <c r="C2255" i="1"/>
  <c r="I2255" i="1"/>
  <c r="B2256" i="1"/>
  <c r="C2256" i="1"/>
  <c r="I2256" i="1"/>
  <c r="B2257" i="1"/>
  <c r="C2257" i="1"/>
  <c r="I2257" i="1"/>
  <c r="B2258" i="1"/>
  <c r="C2258" i="1"/>
  <c r="I2258" i="1"/>
  <c r="B2259" i="1"/>
  <c r="C2259" i="1"/>
  <c r="I2259" i="1"/>
  <c r="B2260" i="1"/>
  <c r="C2260" i="1"/>
  <c r="I2260" i="1"/>
  <c r="B2261" i="1"/>
  <c r="C2261" i="1"/>
  <c r="I2261" i="1"/>
  <c r="B2262" i="1"/>
  <c r="C2262" i="1"/>
  <c r="I2262" i="1"/>
  <c r="B2263" i="1"/>
  <c r="C2263" i="1"/>
  <c r="I2263" i="1"/>
  <c r="B2264" i="1"/>
  <c r="C2264" i="1"/>
  <c r="I2264" i="1"/>
  <c r="B2265" i="1"/>
  <c r="C2265" i="1"/>
  <c r="I2265" i="1"/>
  <c r="B2266" i="1"/>
  <c r="C2266" i="1"/>
  <c r="I2266" i="1"/>
  <c r="B2267" i="1"/>
  <c r="C2267" i="1"/>
  <c r="I2267" i="1"/>
  <c r="B2268" i="1"/>
  <c r="C2268" i="1"/>
  <c r="I2268" i="1"/>
  <c r="B2269" i="1"/>
  <c r="C2269" i="1"/>
  <c r="I2269" i="1"/>
  <c r="B2270" i="1"/>
  <c r="C2270" i="1"/>
  <c r="I2270" i="1"/>
  <c r="B2271" i="1"/>
  <c r="C2271" i="1"/>
  <c r="I2271" i="1"/>
  <c r="B2272" i="1"/>
  <c r="C2272" i="1"/>
  <c r="I2272" i="1"/>
  <c r="B2273" i="1"/>
  <c r="C2273" i="1"/>
  <c r="I2273" i="1"/>
  <c r="B2274" i="1"/>
  <c r="C2274" i="1"/>
  <c r="I2274" i="1"/>
  <c r="B2275" i="1"/>
  <c r="C2275" i="1"/>
  <c r="I2275" i="1"/>
  <c r="B2276" i="1"/>
  <c r="C2276" i="1"/>
  <c r="I2276" i="1"/>
  <c r="B2277" i="1"/>
  <c r="C2277" i="1"/>
  <c r="I2277" i="1"/>
  <c r="B2278" i="1"/>
  <c r="C2278" i="1"/>
  <c r="I2278" i="1"/>
  <c r="B2279" i="1"/>
  <c r="C2279" i="1"/>
  <c r="I2279" i="1"/>
  <c r="B2280" i="1"/>
  <c r="C2280" i="1"/>
  <c r="I2280" i="1"/>
  <c r="B2281" i="1"/>
  <c r="C2281" i="1"/>
  <c r="I2281" i="1"/>
  <c r="B2282" i="1"/>
  <c r="C2282" i="1"/>
  <c r="I2282" i="1"/>
  <c r="B2283" i="1"/>
  <c r="C2283" i="1"/>
  <c r="I2283" i="1"/>
  <c r="B2284" i="1"/>
  <c r="C2284" i="1"/>
  <c r="I2284" i="1"/>
  <c r="B2285" i="1"/>
  <c r="C2285" i="1"/>
  <c r="I2285" i="1"/>
  <c r="B2286" i="1"/>
  <c r="C2286" i="1"/>
  <c r="I2286" i="1"/>
  <c r="B2287" i="1"/>
  <c r="C2287" i="1"/>
  <c r="I2287" i="1"/>
  <c r="B2288" i="1"/>
  <c r="C2288" i="1"/>
  <c r="I2288" i="1"/>
  <c r="B2289" i="1"/>
  <c r="C2289" i="1"/>
  <c r="I2289" i="1"/>
  <c r="B2290" i="1"/>
  <c r="C2290" i="1"/>
  <c r="I2290" i="1"/>
  <c r="B2291" i="1"/>
  <c r="C2291" i="1"/>
  <c r="I2291" i="1"/>
  <c r="B2292" i="1"/>
  <c r="C2292" i="1"/>
  <c r="I2292" i="1"/>
  <c r="B2293" i="1"/>
  <c r="C2293" i="1"/>
  <c r="I2293" i="1"/>
  <c r="B2294" i="1"/>
  <c r="C2294" i="1"/>
  <c r="I2294" i="1"/>
  <c r="B2295" i="1"/>
  <c r="C2295" i="1"/>
  <c r="I2295" i="1"/>
  <c r="B2296" i="1"/>
  <c r="C2296" i="1"/>
  <c r="I2296" i="1"/>
  <c r="B2297" i="1"/>
  <c r="C2297" i="1"/>
  <c r="I2297" i="1"/>
  <c r="B2298" i="1"/>
  <c r="C2298" i="1"/>
  <c r="I2298" i="1"/>
  <c r="B2299" i="1"/>
  <c r="C2299" i="1"/>
  <c r="I2299" i="1"/>
  <c r="B2300" i="1"/>
  <c r="C2300" i="1"/>
  <c r="I2300" i="1"/>
  <c r="B2301" i="1"/>
  <c r="C2301" i="1"/>
  <c r="I2301" i="1"/>
  <c r="B2302" i="1"/>
  <c r="C2302" i="1"/>
  <c r="I2302" i="1"/>
  <c r="B2303" i="1"/>
  <c r="C2303" i="1"/>
  <c r="I2303" i="1"/>
  <c r="B2304" i="1"/>
  <c r="C2304" i="1"/>
  <c r="I2304" i="1"/>
  <c r="B2305" i="1"/>
  <c r="C2305" i="1"/>
  <c r="I2305" i="1"/>
  <c r="B2306" i="1"/>
  <c r="C2306" i="1"/>
  <c r="I2306" i="1"/>
  <c r="B2307" i="1"/>
  <c r="C2307" i="1"/>
  <c r="I2307" i="1"/>
  <c r="B2308" i="1"/>
  <c r="C2308" i="1"/>
  <c r="I2308" i="1"/>
  <c r="B2309" i="1"/>
  <c r="C2309" i="1"/>
  <c r="I2309" i="1"/>
  <c r="B2310" i="1"/>
  <c r="C2310" i="1"/>
  <c r="I2310" i="1"/>
  <c r="B2311" i="1"/>
  <c r="C2311" i="1"/>
  <c r="I2311" i="1"/>
  <c r="B2312" i="1"/>
  <c r="C2312" i="1"/>
  <c r="I2312" i="1"/>
  <c r="B2313" i="1"/>
  <c r="C2313" i="1"/>
  <c r="I2313" i="1"/>
  <c r="B2314" i="1"/>
  <c r="C2314" i="1"/>
  <c r="I2314" i="1"/>
  <c r="B2315" i="1"/>
  <c r="C2315" i="1"/>
  <c r="I2315" i="1"/>
  <c r="B2316" i="1"/>
  <c r="C2316" i="1"/>
  <c r="I2316" i="1"/>
  <c r="B2317" i="1"/>
  <c r="C2317" i="1"/>
  <c r="I2317" i="1"/>
  <c r="B2318" i="1"/>
  <c r="C2318" i="1"/>
  <c r="I2318" i="1"/>
  <c r="B2319" i="1"/>
  <c r="C2319" i="1"/>
  <c r="I2319" i="1"/>
  <c r="B2320" i="1"/>
  <c r="C2320" i="1"/>
  <c r="I2320" i="1"/>
  <c r="B2321" i="1"/>
  <c r="C2321" i="1"/>
  <c r="I2321" i="1"/>
  <c r="B2322" i="1"/>
  <c r="C2322" i="1"/>
  <c r="I2322" i="1"/>
  <c r="B2323" i="1"/>
  <c r="C2323" i="1"/>
  <c r="I2323" i="1"/>
  <c r="B2324" i="1"/>
  <c r="C2324" i="1"/>
  <c r="I2324" i="1"/>
  <c r="B2325" i="1"/>
  <c r="C2325" i="1"/>
  <c r="I2325" i="1"/>
  <c r="B2326" i="1"/>
  <c r="C2326" i="1"/>
  <c r="I2326" i="1"/>
  <c r="B2327" i="1"/>
  <c r="C2327" i="1"/>
  <c r="I2327" i="1"/>
  <c r="B2328" i="1"/>
  <c r="C2328" i="1"/>
  <c r="I2328" i="1"/>
  <c r="B2329" i="1"/>
  <c r="C2329" i="1"/>
  <c r="I2329" i="1"/>
  <c r="B2330" i="1"/>
  <c r="C2330" i="1"/>
  <c r="I2330" i="1"/>
  <c r="B2331" i="1"/>
  <c r="C2331" i="1"/>
  <c r="I2331" i="1"/>
  <c r="B2332" i="1"/>
  <c r="C2332" i="1"/>
  <c r="I2332" i="1"/>
  <c r="B2333" i="1"/>
  <c r="C2333" i="1"/>
  <c r="I2333" i="1"/>
  <c r="B2334" i="1"/>
  <c r="C2334" i="1"/>
  <c r="I2334" i="1"/>
  <c r="B2335" i="1"/>
  <c r="C2335" i="1"/>
  <c r="I2335" i="1"/>
  <c r="B2336" i="1"/>
  <c r="C2336" i="1"/>
  <c r="I2336" i="1"/>
  <c r="B2337" i="1"/>
  <c r="C2337" i="1"/>
  <c r="I2337" i="1"/>
  <c r="B2338" i="1"/>
  <c r="C2338" i="1"/>
  <c r="I2338" i="1"/>
  <c r="B2339" i="1"/>
  <c r="C2339" i="1"/>
  <c r="I2339" i="1"/>
  <c r="B2340" i="1"/>
  <c r="C2340" i="1"/>
  <c r="I2340" i="1"/>
  <c r="B2341" i="1"/>
  <c r="C2341" i="1"/>
  <c r="I2341" i="1"/>
  <c r="B2342" i="1"/>
  <c r="C2342" i="1"/>
  <c r="I2342" i="1"/>
  <c r="B2343" i="1"/>
  <c r="C2343" i="1"/>
  <c r="I2343" i="1"/>
  <c r="B2344" i="1"/>
  <c r="C2344" i="1"/>
  <c r="I2344" i="1"/>
  <c r="B2345" i="1"/>
  <c r="C2345" i="1"/>
  <c r="I2345" i="1"/>
  <c r="B2346" i="1"/>
  <c r="C2346" i="1"/>
  <c r="I2346" i="1"/>
  <c r="B2347" i="1"/>
  <c r="C2347" i="1"/>
  <c r="I2347" i="1"/>
  <c r="B2348" i="1"/>
  <c r="C2348" i="1"/>
  <c r="I2348" i="1"/>
  <c r="B2349" i="1"/>
  <c r="C2349" i="1"/>
  <c r="I2349" i="1"/>
  <c r="B2350" i="1"/>
  <c r="C2350" i="1"/>
  <c r="I2350" i="1"/>
  <c r="B2351" i="1"/>
  <c r="C2351" i="1"/>
  <c r="I2351" i="1"/>
  <c r="B2352" i="1"/>
  <c r="C2352" i="1"/>
  <c r="I2352" i="1"/>
  <c r="B2353" i="1"/>
  <c r="C2353" i="1"/>
  <c r="I2353" i="1"/>
  <c r="B2354" i="1"/>
  <c r="C2354" i="1"/>
  <c r="I2354" i="1"/>
  <c r="B2355" i="1"/>
  <c r="C2355" i="1"/>
  <c r="I2355" i="1"/>
  <c r="B2356" i="1"/>
  <c r="C2356" i="1"/>
  <c r="I2356" i="1"/>
  <c r="B2357" i="1"/>
  <c r="C2357" i="1"/>
  <c r="I2357" i="1"/>
  <c r="B2358" i="1"/>
  <c r="C2358" i="1"/>
  <c r="I2358" i="1"/>
  <c r="B2359" i="1"/>
  <c r="C2359" i="1"/>
  <c r="I2359" i="1"/>
  <c r="B2360" i="1"/>
  <c r="C2360" i="1"/>
  <c r="I2360" i="1"/>
  <c r="B2361" i="1"/>
  <c r="C2361" i="1"/>
  <c r="I2361" i="1"/>
  <c r="B2362" i="1"/>
  <c r="C2362" i="1"/>
  <c r="I2362" i="1"/>
  <c r="B2363" i="1"/>
  <c r="C2363" i="1"/>
  <c r="I2363" i="1"/>
  <c r="B2364" i="1"/>
  <c r="C2364" i="1"/>
  <c r="I2364" i="1"/>
  <c r="B2365" i="1"/>
  <c r="C2365" i="1"/>
  <c r="I2365" i="1"/>
  <c r="B2366" i="1"/>
  <c r="C2366" i="1"/>
  <c r="I2366" i="1"/>
  <c r="B2367" i="1"/>
  <c r="C2367" i="1"/>
  <c r="I2367" i="1"/>
  <c r="B2368" i="1"/>
  <c r="C2368" i="1"/>
  <c r="I2368" i="1"/>
  <c r="B2369" i="1"/>
  <c r="C2369" i="1"/>
  <c r="I2369" i="1"/>
  <c r="B2370" i="1"/>
  <c r="C2370" i="1"/>
  <c r="I2370" i="1"/>
  <c r="B2371" i="1"/>
  <c r="C2371" i="1"/>
  <c r="I2371" i="1"/>
  <c r="B2372" i="1"/>
  <c r="C2372" i="1"/>
  <c r="I2372" i="1"/>
  <c r="B2373" i="1"/>
  <c r="C2373" i="1"/>
  <c r="I2373" i="1"/>
  <c r="B2374" i="1"/>
  <c r="C2374" i="1"/>
  <c r="I2374" i="1"/>
  <c r="B2375" i="1"/>
  <c r="C2375" i="1"/>
  <c r="I2375" i="1"/>
  <c r="B2376" i="1"/>
  <c r="C2376" i="1"/>
  <c r="I2376" i="1"/>
  <c r="B2377" i="1"/>
  <c r="C2377" i="1"/>
  <c r="I2377" i="1"/>
  <c r="B2378" i="1"/>
  <c r="C2378" i="1"/>
  <c r="I2378" i="1"/>
  <c r="B2379" i="1"/>
  <c r="C2379" i="1"/>
  <c r="I2379" i="1"/>
  <c r="B2380" i="1"/>
  <c r="C2380" i="1"/>
  <c r="I2380" i="1"/>
  <c r="B2381" i="1"/>
  <c r="C2381" i="1"/>
  <c r="I2381" i="1"/>
  <c r="B2382" i="1"/>
  <c r="C2382" i="1"/>
  <c r="I2382" i="1"/>
  <c r="B2383" i="1"/>
  <c r="C2383" i="1"/>
  <c r="I2383" i="1"/>
  <c r="B2384" i="1"/>
  <c r="C2384" i="1"/>
  <c r="I2384" i="1"/>
  <c r="B2385" i="1"/>
  <c r="C2385" i="1"/>
  <c r="I2385" i="1"/>
  <c r="B2386" i="1"/>
  <c r="C2386" i="1"/>
  <c r="I2386" i="1"/>
  <c r="B2387" i="1"/>
  <c r="C2387" i="1"/>
  <c r="I2387" i="1"/>
  <c r="B2388" i="1"/>
  <c r="C2388" i="1"/>
  <c r="I2388" i="1"/>
  <c r="B2389" i="1"/>
  <c r="C2389" i="1"/>
  <c r="I2389" i="1"/>
  <c r="B2390" i="1"/>
  <c r="C2390" i="1"/>
  <c r="I2390" i="1"/>
  <c r="B2391" i="1"/>
  <c r="C2391" i="1"/>
  <c r="I2391" i="1"/>
  <c r="B2392" i="1"/>
  <c r="C2392" i="1"/>
  <c r="I2392" i="1"/>
  <c r="B2393" i="1"/>
  <c r="C2393" i="1"/>
  <c r="I2393" i="1"/>
  <c r="B2394" i="1"/>
  <c r="C2394" i="1"/>
  <c r="I2394" i="1"/>
  <c r="B2395" i="1"/>
  <c r="C2395" i="1"/>
  <c r="I2395" i="1"/>
  <c r="B2396" i="1"/>
  <c r="C2396" i="1"/>
  <c r="I2396" i="1"/>
  <c r="B2397" i="1"/>
  <c r="C2397" i="1"/>
  <c r="I2397" i="1"/>
  <c r="B2398" i="1"/>
  <c r="C2398" i="1"/>
  <c r="I2398" i="1"/>
  <c r="B2399" i="1"/>
  <c r="C2399" i="1"/>
  <c r="I2399" i="1"/>
  <c r="B2400" i="1"/>
  <c r="C2400" i="1"/>
  <c r="I2400" i="1"/>
  <c r="B2401" i="1"/>
  <c r="C2401" i="1"/>
  <c r="I2401" i="1"/>
  <c r="B2402" i="1"/>
  <c r="C2402" i="1"/>
  <c r="I2402" i="1"/>
  <c r="B2403" i="1"/>
  <c r="C2403" i="1"/>
  <c r="I2403" i="1"/>
  <c r="B2404" i="1"/>
  <c r="C2404" i="1"/>
  <c r="I2404" i="1"/>
  <c r="B2405" i="1"/>
  <c r="C2405" i="1"/>
  <c r="I2405" i="1"/>
  <c r="B2406" i="1"/>
  <c r="C2406" i="1"/>
  <c r="I2406" i="1"/>
  <c r="B2407" i="1"/>
  <c r="C2407" i="1"/>
  <c r="I2407" i="1"/>
  <c r="B2408" i="1"/>
  <c r="C2408" i="1"/>
  <c r="I2408" i="1"/>
  <c r="B2409" i="1"/>
  <c r="C2409" i="1"/>
  <c r="I2409" i="1"/>
  <c r="B2410" i="1"/>
  <c r="C2410" i="1"/>
  <c r="I2410" i="1"/>
  <c r="B2411" i="1"/>
  <c r="C2411" i="1"/>
  <c r="I2411" i="1"/>
  <c r="B2412" i="1"/>
  <c r="C2412" i="1"/>
  <c r="I2412" i="1"/>
  <c r="B2413" i="1"/>
  <c r="C2413" i="1"/>
  <c r="I2413" i="1"/>
  <c r="B2414" i="1"/>
  <c r="C2414" i="1"/>
  <c r="I2414" i="1"/>
  <c r="B2415" i="1"/>
  <c r="C2415" i="1"/>
  <c r="I2415" i="1"/>
  <c r="B2416" i="1"/>
  <c r="C2416" i="1"/>
  <c r="I2416" i="1"/>
  <c r="B2417" i="1"/>
  <c r="C2417" i="1"/>
  <c r="I2417" i="1"/>
  <c r="B2418" i="1"/>
  <c r="C2418" i="1"/>
  <c r="I2418" i="1"/>
  <c r="B2419" i="1"/>
  <c r="C2419" i="1"/>
  <c r="I2419" i="1"/>
  <c r="B2420" i="1"/>
  <c r="C2420" i="1"/>
  <c r="I2420" i="1"/>
  <c r="B2421" i="1"/>
  <c r="C2421" i="1"/>
  <c r="I2421" i="1"/>
  <c r="B2422" i="1"/>
  <c r="C2422" i="1"/>
  <c r="I2422" i="1"/>
  <c r="B2423" i="1"/>
  <c r="C2423" i="1"/>
  <c r="I2423" i="1"/>
  <c r="B2424" i="1"/>
  <c r="C2424" i="1"/>
  <c r="I2424" i="1"/>
  <c r="B2425" i="1"/>
  <c r="C2425" i="1"/>
  <c r="I2425" i="1"/>
  <c r="B2426" i="1"/>
  <c r="C2426" i="1"/>
  <c r="I2426" i="1"/>
  <c r="B2427" i="1"/>
  <c r="C2427" i="1"/>
  <c r="I2427" i="1"/>
  <c r="B2428" i="1"/>
  <c r="C2428" i="1"/>
  <c r="I2428" i="1"/>
  <c r="B2429" i="1"/>
  <c r="C2429" i="1"/>
  <c r="I2429" i="1"/>
  <c r="B2430" i="1"/>
  <c r="C2430" i="1"/>
  <c r="I2430" i="1"/>
  <c r="B2431" i="1"/>
  <c r="C2431" i="1"/>
  <c r="I2431" i="1"/>
  <c r="B2432" i="1"/>
  <c r="C2432" i="1"/>
  <c r="I2432" i="1"/>
  <c r="B2433" i="1"/>
  <c r="C2433" i="1"/>
  <c r="I2433" i="1"/>
  <c r="B2434" i="1"/>
  <c r="C2434" i="1"/>
  <c r="I2434" i="1"/>
  <c r="B2435" i="1"/>
  <c r="C2435" i="1"/>
  <c r="I2435" i="1"/>
  <c r="B2436" i="1"/>
  <c r="C2436" i="1"/>
  <c r="I2436" i="1"/>
  <c r="B2437" i="1"/>
  <c r="C2437" i="1"/>
  <c r="I2437" i="1"/>
  <c r="B2438" i="1"/>
  <c r="C2438" i="1"/>
  <c r="I2438" i="1"/>
  <c r="B2439" i="1"/>
  <c r="C2439" i="1"/>
  <c r="I2439" i="1"/>
  <c r="B2440" i="1"/>
  <c r="C2440" i="1"/>
  <c r="I2440" i="1"/>
  <c r="B2441" i="1"/>
  <c r="C2441" i="1"/>
  <c r="I2441" i="1"/>
  <c r="B2442" i="1"/>
  <c r="C2442" i="1"/>
  <c r="I2442" i="1"/>
  <c r="B2443" i="1"/>
  <c r="C2443" i="1"/>
  <c r="I2443" i="1"/>
  <c r="B2444" i="1"/>
  <c r="C2444" i="1"/>
  <c r="I2444" i="1"/>
  <c r="B2445" i="1"/>
  <c r="C2445" i="1"/>
  <c r="I2445" i="1"/>
  <c r="B2446" i="1"/>
  <c r="C2446" i="1"/>
  <c r="I2446" i="1"/>
  <c r="B2447" i="1"/>
  <c r="C2447" i="1"/>
  <c r="I2447" i="1"/>
  <c r="B2448" i="1"/>
  <c r="C2448" i="1"/>
  <c r="I2448" i="1"/>
  <c r="B2449" i="1"/>
  <c r="C2449" i="1"/>
  <c r="I2449" i="1"/>
  <c r="B2450" i="1"/>
  <c r="C2450" i="1"/>
  <c r="I2450" i="1"/>
  <c r="B2451" i="1"/>
  <c r="C2451" i="1"/>
  <c r="I2451" i="1"/>
  <c r="B2452" i="1"/>
  <c r="C2452" i="1"/>
  <c r="I2452" i="1"/>
  <c r="B2453" i="1"/>
  <c r="C2453" i="1"/>
  <c r="I2453" i="1"/>
  <c r="B2454" i="1"/>
  <c r="C2454" i="1"/>
  <c r="I2454" i="1"/>
  <c r="B2455" i="1"/>
  <c r="C2455" i="1"/>
  <c r="I2455" i="1"/>
  <c r="B2456" i="1"/>
  <c r="C2456" i="1"/>
  <c r="I2456" i="1"/>
  <c r="B2457" i="1"/>
  <c r="C2457" i="1"/>
  <c r="I2457" i="1"/>
  <c r="B2458" i="1"/>
  <c r="C2458" i="1"/>
  <c r="I2458" i="1"/>
  <c r="B2459" i="1"/>
  <c r="C2459" i="1"/>
  <c r="I2459" i="1"/>
  <c r="B2460" i="1"/>
  <c r="C2460" i="1"/>
  <c r="I2460" i="1"/>
  <c r="B2461" i="1"/>
  <c r="C2461" i="1"/>
  <c r="I2461" i="1"/>
  <c r="B2462" i="1"/>
  <c r="C2462" i="1"/>
  <c r="I2462" i="1"/>
  <c r="B2463" i="1"/>
  <c r="C2463" i="1"/>
  <c r="I2463" i="1"/>
  <c r="B2464" i="1"/>
  <c r="C2464" i="1"/>
  <c r="I2464" i="1"/>
  <c r="B2465" i="1"/>
  <c r="C2465" i="1"/>
  <c r="I2465" i="1"/>
  <c r="B2466" i="1"/>
  <c r="C2466" i="1"/>
  <c r="I2466" i="1"/>
  <c r="B2467" i="1"/>
  <c r="C2467" i="1"/>
  <c r="I2467" i="1"/>
  <c r="B2468" i="1"/>
  <c r="C2468" i="1"/>
  <c r="I2468" i="1"/>
  <c r="B2469" i="1"/>
  <c r="C2469" i="1"/>
  <c r="I2469" i="1"/>
  <c r="B2470" i="1"/>
  <c r="C2470" i="1"/>
  <c r="I2470" i="1"/>
  <c r="B2471" i="1"/>
  <c r="C2471" i="1"/>
  <c r="I2471" i="1"/>
  <c r="B2472" i="1"/>
  <c r="C2472" i="1"/>
  <c r="I2472" i="1"/>
  <c r="B2473" i="1"/>
  <c r="C2473" i="1"/>
  <c r="I2473" i="1"/>
  <c r="B2474" i="1"/>
  <c r="C2474" i="1"/>
  <c r="I2474" i="1"/>
  <c r="B2475" i="1"/>
  <c r="C2475" i="1"/>
  <c r="I2475" i="1"/>
  <c r="B2476" i="1"/>
  <c r="C2476" i="1"/>
  <c r="I2476" i="1"/>
  <c r="B2477" i="1"/>
  <c r="C2477" i="1"/>
  <c r="I2477" i="1"/>
  <c r="B2478" i="1"/>
  <c r="C2478" i="1"/>
  <c r="I2478" i="1"/>
  <c r="B2479" i="1"/>
  <c r="C2479" i="1"/>
  <c r="I2479" i="1"/>
  <c r="B2480" i="1"/>
  <c r="C2480" i="1"/>
  <c r="I2480" i="1"/>
  <c r="B2481" i="1"/>
  <c r="C2481" i="1"/>
  <c r="I2481" i="1"/>
  <c r="B2482" i="1"/>
  <c r="C2482" i="1"/>
  <c r="I2482" i="1"/>
  <c r="B2483" i="1"/>
  <c r="C2483" i="1"/>
  <c r="I2483" i="1"/>
  <c r="B2484" i="1"/>
  <c r="C2484" i="1"/>
  <c r="I2484" i="1"/>
  <c r="B2485" i="1"/>
  <c r="C2485" i="1"/>
  <c r="I2485" i="1"/>
  <c r="B2486" i="1"/>
  <c r="C2486" i="1"/>
  <c r="I2486" i="1"/>
  <c r="B2487" i="1"/>
  <c r="C2487" i="1"/>
  <c r="I2487" i="1"/>
  <c r="B2488" i="1"/>
  <c r="C2488" i="1"/>
  <c r="I2488" i="1"/>
  <c r="B2489" i="1"/>
  <c r="C2489" i="1"/>
  <c r="I2489" i="1"/>
  <c r="B2490" i="1"/>
  <c r="C2490" i="1"/>
  <c r="I2490" i="1"/>
  <c r="B2491" i="1"/>
  <c r="C2491" i="1"/>
  <c r="I2491" i="1"/>
  <c r="B2492" i="1"/>
  <c r="C2492" i="1"/>
  <c r="I2492" i="1"/>
  <c r="B2493" i="1"/>
  <c r="C2493" i="1"/>
  <c r="I2493" i="1"/>
  <c r="B2494" i="1"/>
  <c r="C2494" i="1"/>
  <c r="I2494" i="1"/>
  <c r="B2495" i="1"/>
  <c r="C2495" i="1"/>
  <c r="I2495" i="1"/>
  <c r="B2496" i="1"/>
  <c r="C2496" i="1"/>
  <c r="I2496" i="1"/>
  <c r="B2497" i="1"/>
  <c r="C2497" i="1"/>
  <c r="I2497" i="1"/>
  <c r="B2498" i="1"/>
  <c r="C2498" i="1"/>
  <c r="I2498" i="1"/>
  <c r="B2499" i="1"/>
  <c r="C2499" i="1"/>
  <c r="I2499" i="1"/>
  <c r="B2500" i="1"/>
  <c r="C2500" i="1"/>
  <c r="I2500" i="1"/>
  <c r="B2501" i="1"/>
  <c r="C2501" i="1"/>
  <c r="I2501" i="1"/>
  <c r="B2502" i="1"/>
  <c r="C2502" i="1"/>
  <c r="I2502" i="1"/>
  <c r="B2503" i="1"/>
  <c r="C2503" i="1"/>
  <c r="I2503" i="1"/>
  <c r="B2504" i="1"/>
  <c r="C2504" i="1"/>
  <c r="I2504" i="1"/>
  <c r="B2505" i="1"/>
  <c r="C2505" i="1"/>
  <c r="I2505" i="1"/>
  <c r="B2506" i="1"/>
  <c r="C2506" i="1"/>
  <c r="I2506" i="1"/>
  <c r="B2507" i="1"/>
  <c r="C2507" i="1"/>
  <c r="I2507" i="1"/>
  <c r="B2508" i="1"/>
  <c r="C2508" i="1"/>
  <c r="I2508" i="1"/>
  <c r="B2509" i="1"/>
  <c r="C2509" i="1"/>
  <c r="I2509" i="1"/>
  <c r="B2510" i="1"/>
  <c r="C2510" i="1"/>
  <c r="I2510" i="1"/>
  <c r="B2511" i="1"/>
  <c r="C2511" i="1"/>
  <c r="I2511" i="1"/>
  <c r="B2512" i="1"/>
  <c r="C2512" i="1"/>
  <c r="I2512" i="1"/>
  <c r="B2513" i="1"/>
  <c r="C2513" i="1"/>
  <c r="I2513" i="1"/>
  <c r="B2514" i="1"/>
  <c r="C2514" i="1"/>
  <c r="I2514" i="1"/>
  <c r="B2515" i="1"/>
  <c r="C2515" i="1"/>
  <c r="I2515" i="1"/>
  <c r="B2516" i="1"/>
  <c r="C2516" i="1"/>
  <c r="I2516" i="1"/>
  <c r="B2517" i="1"/>
  <c r="C2517" i="1"/>
  <c r="I2517" i="1"/>
  <c r="B2518" i="1"/>
  <c r="C2518" i="1"/>
  <c r="I2518" i="1"/>
  <c r="B2519" i="1"/>
  <c r="C2519" i="1"/>
  <c r="I2519" i="1"/>
  <c r="B2520" i="1"/>
  <c r="C2520" i="1"/>
  <c r="I2520" i="1"/>
  <c r="B2521" i="1"/>
  <c r="C2521" i="1"/>
  <c r="I2521" i="1"/>
  <c r="B2522" i="1"/>
  <c r="C2522" i="1"/>
  <c r="I2522" i="1"/>
  <c r="B2523" i="1"/>
  <c r="C2523" i="1"/>
  <c r="I2523" i="1"/>
  <c r="B2524" i="1"/>
  <c r="C2524" i="1"/>
  <c r="I2524" i="1"/>
  <c r="B2525" i="1"/>
  <c r="C2525" i="1"/>
  <c r="I2525" i="1"/>
  <c r="B2526" i="1"/>
  <c r="C2526" i="1"/>
  <c r="I2526" i="1"/>
  <c r="B2527" i="1"/>
  <c r="C2527" i="1"/>
  <c r="I2527" i="1"/>
  <c r="B2528" i="1"/>
  <c r="C2528" i="1"/>
  <c r="I2528" i="1"/>
  <c r="B2529" i="1"/>
  <c r="C2529" i="1"/>
  <c r="I2529" i="1"/>
  <c r="B2530" i="1"/>
  <c r="C2530" i="1"/>
  <c r="I2530" i="1"/>
  <c r="B2531" i="1"/>
  <c r="C2531" i="1"/>
  <c r="I2531" i="1"/>
  <c r="B2532" i="1"/>
  <c r="C2532" i="1"/>
  <c r="I2532" i="1"/>
  <c r="B2533" i="1"/>
  <c r="C2533" i="1"/>
  <c r="I2533" i="1"/>
  <c r="B2534" i="1"/>
  <c r="C2534" i="1"/>
  <c r="I2534" i="1"/>
  <c r="B2535" i="1"/>
  <c r="C2535" i="1"/>
  <c r="I2535" i="1"/>
  <c r="B2536" i="1"/>
  <c r="C2536" i="1"/>
  <c r="I2536" i="1"/>
  <c r="B2537" i="1"/>
  <c r="C2537" i="1"/>
  <c r="I2537" i="1"/>
  <c r="B2538" i="1"/>
  <c r="C2538" i="1"/>
  <c r="I2538" i="1"/>
  <c r="B2539" i="1"/>
  <c r="C2539" i="1"/>
  <c r="I2539" i="1"/>
  <c r="B2540" i="1"/>
  <c r="C2540" i="1"/>
  <c r="I2540" i="1"/>
  <c r="B2541" i="1"/>
  <c r="C2541" i="1"/>
  <c r="I2541" i="1"/>
  <c r="B2542" i="1"/>
  <c r="C2542" i="1"/>
  <c r="I2542" i="1"/>
  <c r="B2543" i="1"/>
  <c r="C2543" i="1"/>
  <c r="I2543" i="1"/>
  <c r="B2544" i="1"/>
  <c r="C2544" i="1"/>
  <c r="I2544" i="1"/>
  <c r="B2545" i="1"/>
  <c r="C2545" i="1"/>
  <c r="I2545" i="1"/>
  <c r="B2546" i="1"/>
  <c r="C2546" i="1"/>
  <c r="I2546" i="1"/>
  <c r="B2547" i="1"/>
  <c r="C2547" i="1"/>
  <c r="I2547" i="1"/>
  <c r="B2548" i="1"/>
  <c r="C2548" i="1"/>
  <c r="I2548" i="1"/>
  <c r="B2549" i="1"/>
  <c r="C2549" i="1"/>
  <c r="I2549" i="1"/>
  <c r="B2550" i="1"/>
  <c r="C2550" i="1"/>
  <c r="I2550" i="1"/>
  <c r="B2551" i="1"/>
  <c r="C2551" i="1"/>
  <c r="I2551" i="1"/>
  <c r="B2552" i="1"/>
  <c r="C2552" i="1"/>
  <c r="I2552" i="1"/>
  <c r="B2553" i="1"/>
  <c r="C2553" i="1"/>
  <c r="I2553" i="1"/>
  <c r="B2554" i="1"/>
  <c r="C2554" i="1"/>
  <c r="I2554" i="1"/>
  <c r="B2555" i="1"/>
  <c r="C2555" i="1"/>
  <c r="I2555" i="1"/>
  <c r="B2556" i="1"/>
  <c r="C2556" i="1"/>
  <c r="I2556" i="1"/>
  <c r="B2557" i="1"/>
  <c r="C2557" i="1"/>
  <c r="I2557" i="1"/>
  <c r="B2558" i="1"/>
  <c r="C2558" i="1"/>
  <c r="I2558" i="1"/>
  <c r="B2559" i="1"/>
  <c r="C2559" i="1"/>
  <c r="I2559" i="1"/>
  <c r="B2560" i="1"/>
  <c r="C2560" i="1"/>
  <c r="I2560" i="1"/>
  <c r="B2561" i="1"/>
  <c r="C2561" i="1"/>
  <c r="I2561" i="1"/>
  <c r="B2562" i="1"/>
  <c r="C2562" i="1"/>
  <c r="I2562" i="1"/>
  <c r="B2563" i="1"/>
  <c r="C2563" i="1"/>
  <c r="I2563" i="1"/>
  <c r="B2564" i="1"/>
  <c r="C2564" i="1"/>
  <c r="I2564" i="1"/>
  <c r="B2565" i="1"/>
  <c r="C2565" i="1"/>
  <c r="I2565" i="1"/>
  <c r="B2566" i="1"/>
  <c r="C2566" i="1"/>
  <c r="I2566" i="1"/>
  <c r="B2567" i="1"/>
  <c r="C2567" i="1"/>
  <c r="I2567" i="1"/>
  <c r="B2568" i="1"/>
  <c r="C2568" i="1"/>
  <c r="I2568" i="1"/>
  <c r="B2569" i="1"/>
  <c r="C2569" i="1"/>
  <c r="I2569" i="1"/>
  <c r="B2570" i="1"/>
  <c r="C2570" i="1"/>
  <c r="I2570" i="1"/>
  <c r="B2571" i="1"/>
  <c r="C2571" i="1"/>
  <c r="I2571" i="1"/>
  <c r="B2572" i="1"/>
  <c r="C2572" i="1"/>
  <c r="I2572" i="1"/>
  <c r="B2573" i="1"/>
  <c r="C2573" i="1"/>
  <c r="I2573" i="1"/>
  <c r="B2574" i="1"/>
  <c r="C2574" i="1"/>
  <c r="I2574" i="1"/>
  <c r="B2575" i="1"/>
  <c r="C2575" i="1"/>
  <c r="I2575" i="1"/>
  <c r="B2576" i="1"/>
  <c r="C2576" i="1"/>
  <c r="I2576" i="1"/>
  <c r="B2577" i="1"/>
  <c r="C2577" i="1"/>
  <c r="I2577" i="1"/>
  <c r="B2578" i="1"/>
  <c r="C2578" i="1"/>
  <c r="I2578" i="1"/>
  <c r="B2579" i="1"/>
  <c r="C2579" i="1"/>
  <c r="I2579" i="1"/>
  <c r="B2580" i="1"/>
  <c r="C2580" i="1"/>
  <c r="I2580" i="1"/>
  <c r="B2581" i="1"/>
  <c r="C2581" i="1"/>
  <c r="I2581" i="1"/>
  <c r="B2582" i="1"/>
  <c r="C2582" i="1"/>
  <c r="I2582" i="1"/>
  <c r="B2583" i="1"/>
  <c r="C2583" i="1"/>
  <c r="I2583" i="1"/>
  <c r="B2584" i="1"/>
  <c r="C2584" i="1"/>
  <c r="I2584" i="1"/>
  <c r="B2585" i="1"/>
  <c r="C2585" i="1"/>
  <c r="I2585" i="1"/>
  <c r="B2586" i="1"/>
  <c r="C2586" i="1"/>
  <c r="I2586" i="1"/>
  <c r="B2587" i="1"/>
  <c r="C2587" i="1"/>
  <c r="I2587" i="1"/>
  <c r="B2588" i="1"/>
  <c r="C2588" i="1"/>
  <c r="I2588" i="1"/>
  <c r="B2589" i="1"/>
  <c r="C2589" i="1"/>
  <c r="I2589" i="1"/>
  <c r="B2590" i="1"/>
  <c r="C2590" i="1"/>
  <c r="I2590" i="1"/>
  <c r="B2591" i="1"/>
  <c r="C2591" i="1"/>
  <c r="I2591" i="1"/>
  <c r="B2592" i="1"/>
  <c r="C2592" i="1"/>
  <c r="I2592" i="1"/>
  <c r="B2593" i="1"/>
  <c r="C2593" i="1"/>
  <c r="I2593" i="1"/>
  <c r="B2594" i="1"/>
  <c r="C2594" i="1"/>
  <c r="I2594" i="1"/>
  <c r="B2595" i="1"/>
  <c r="C2595" i="1"/>
  <c r="I2595" i="1"/>
  <c r="B2596" i="1"/>
  <c r="C2596" i="1"/>
  <c r="I2596" i="1"/>
  <c r="B2597" i="1"/>
  <c r="C2597" i="1"/>
  <c r="I2597" i="1"/>
  <c r="B2598" i="1"/>
  <c r="C2598" i="1"/>
  <c r="I2598" i="1"/>
  <c r="B2599" i="1"/>
  <c r="C2599" i="1"/>
  <c r="I2599" i="1"/>
  <c r="B2600" i="1"/>
  <c r="C2600" i="1"/>
  <c r="I2600" i="1"/>
  <c r="B2601" i="1"/>
  <c r="C2601" i="1"/>
  <c r="I2601" i="1"/>
  <c r="B2602" i="1"/>
  <c r="C2602" i="1"/>
  <c r="I2602" i="1"/>
  <c r="B2603" i="1"/>
  <c r="C2603" i="1"/>
  <c r="I2603" i="1"/>
  <c r="B2604" i="1"/>
  <c r="C2604" i="1"/>
  <c r="I2604" i="1"/>
  <c r="B2605" i="1"/>
  <c r="C2605" i="1"/>
  <c r="I2605" i="1"/>
  <c r="B2606" i="1"/>
  <c r="C2606" i="1"/>
  <c r="I2606" i="1"/>
  <c r="B2607" i="1"/>
  <c r="C2607" i="1"/>
  <c r="I2607" i="1"/>
  <c r="B2608" i="1"/>
  <c r="C2608" i="1"/>
  <c r="I2608" i="1"/>
  <c r="B2609" i="1"/>
  <c r="C2609" i="1"/>
  <c r="I2609" i="1"/>
  <c r="B2610" i="1"/>
  <c r="C2610" i="1"/>
  <c r="I2610" i="1"/>
  <c r="B2611" i="1"/>
  <c r="C2611" i="1"/>
  <c r="I2611" i="1"/>
  <c r="B2612" i="1"/>
  <c r="C2612" i="1"/>
  <c r="I2612" i="1"/>
  <c r="B2613" i="1"/>
  <c r="C2613" i="1"/>
  <c r="I2613" i="1"/>
  <c r="B2614" i="1"/>
  <c r="C2614" i="1"/>
  <c r="I2614" i="1"/>
  <c r="B2615" i="1"/>
  <c r="C2615" i="1"/>
  <c r="I2615" i="1"/>
  <c r="B2616" i="1"/>
  <c r="C2616" i="1"/>
  <c r="I2616" i="1"/>
  <c r="B2617" i="1"/>
  <c r="C2617" i="1"/>
  <c r="I2617" i="1"/>
  <c r="B2618" i="1"/>
  <c r="C2618" i="1"/>
  <c r="I2618" i="1"/>
  <c r="B2619" i="1"/>
  <c r="C2619" i="1"/>
  <c r="I2619" i="1"/>
  <c r="B2620" i="1"/>
  <c r="C2620" i="1"/>
  <c r="I2620" i="1"/>
  <c r="B2621" i="1"/>
  <c r="C2621" i="1"/>
  <c r="I2621" i="1"/>
  <c r="B2622" i="1"/>
  <c r="C2622" i="1"/>
  <c r="I2622" i="1"/>
  <c r="B2623" i="1"/>
  <c r="C2623" i="1"/>
  <c r="I2623" i="1"/>
  <c r="B2624" i="1"/>
  <c r="C2624" i="1"/>
  <c r="I2624" i="1"/>
  <c r="B2625" i="1"/>
  <c r="C2625" i="1"/>
  <c r="I2625" i="1"/>
  <c r="B2626" i="1"/>
  <c r="C2626" i="1"/>
  <c r="I2626" i="1"/>
  <c r="B2627" i="1"/>
  <c r="C2627" i="1"/>
  <c r="I2627" i="1"/>
  <c r="B2628" i="1"/>
  <c r="C2628" i="1"/>
  <c r="I2628" i="1"/>
  <c r="B2629" i="1"/>
  <c r="C2629" i="1"/>
  <c r="I2629" i="1"/>
  <c r="B2630" i="1"/>
  <c r="C2630" i="1"/>
  <c r="I2630" i="1"/>
  <c r="B2631" i="1"/>
  <c r="C2631" i="1"/>
  <c r="I2631" i="1"/>
  <c r="B2632" i="1"/>
  <c r="C2632" i="1"/>
  <c r="I2632" i="1"/>
  <c r="B2633" i="1"/>
  <c r="C2633" i="1"/>
  <c r="I2633" i="1"/>
  <c r="B2634" i="1"/>
  <c r="C2634" i="1"/>
  <c r="I2634" i="1"/>
  <c r="B2635" i="1"/>
  <c r="C2635" i="1"/>
  <c r="I2635" i="1"/>
  <c r="B2636" i="1"/>
  <c r="C2636" i="1"/>
  <c r="I2636" i="1"/>
  <c r="B2637" i="1"/>
  <c r="C2637" i="1"/>
  <c r="I2637" i="1"/>
  <c r="B2638" i="1"/>
  <c r="C2638" i="1"/>
  <c r="I2638" i="1"/>
  <c r="B2639" i="1"/>
  <c r="C2639" i="1"/>
  <c r="I2639" i="1"/>
  <c r="B2640" i="1"/>
  <c r="C2640" i="1"/>
  <c r="I2640" i="1"/>
  <c r="B2641" i="1"/>
  <c r="C2641" i="1"/>
  <c r="I2641" i="1"/>
  <c r="B2642" i="1"/>
  <c r="C2642" i="1"/>
  <c r="I2642" i="1"/>
  <c r="B2643" i="1"/>
  <c r="C2643" i="1"/>
  <c r="I2643" i="1"/>
  <c r="B2644" i="1"/>
  <c r="C2644" i="1"/>
  <c r="I2644" i="1"/>
  <c r="B2645" i="1"/>
  <c r="C2645" i="1"/>
  <c r="I2645" i="1"/>
  <c r="B2646" i="1"/>
  <c r="C2646" i="1"/>
  <c r="I2646" i="1"/>
  <c r="B2647" i="1"/>
  <c r="C2647" i="1"/>
  <c r="I2647" i="1"/>
  <c r="B2648" i="1"/>
  <c r="C2648" i="1"/>
  <c r="I2648" i="1"/>
  <c r="B2649" i="1"/>
  <c r="C2649" i="1"/>
  <c r="I2649" i="1"/>
  <c r="B2650" i="1"/>
  <c r="C2650" i="1"/>
  <c r="I2650" i="1"/>
  <c r="B2651" i="1"/>
  <c r="C2651" i="1"/>
  <c r="I2651" i="1"/>
  <c r="B2652" i="1"/>
  <c r="C2652" i="1"/>
  <c r="I2652" i="1"/>
  <c r="B2653" i="1"/>
  <c r="C2653" i="1"/>
  <c r="I2653" i="1"/>
  <c r="B2654" i="1"/>
  <c r="C2654" i="1"/>
  <c r="I2654" i="1"/>
  <c r="B2655" i="1"/>
  <c r="C2655" i="1"/>
  <c r="I2655" i="1"/>
  <c r="B2656" i="1"/>
  <c r="C2656" i="1"/>
  <c r="I2656" i="1"/>
  <c r="B2657" i="1"/>
  <c r="C2657" i="1"/>
  <c r="I2657" i="1"/>
  <c r="B2658" i="1"/>
  <c r="C2658" i="1"/>
  <c r="I2658" i="1"/>
  <c r="B2659" i="1"/>
  <c r="C2659" i="1"/>
  <c r="I2659" i="1"/>
  <c r="B2660" i="1"/>
  <c r="C2660" i="1"/>
  <c r="I2660" i="1"/>
  <c r="B2661" i="1"/>
  <c r="C2661" i="1"/>
  <c r="I2661" i="1"/>
  <c r="B2662" i="1"/>
  <c r="C2662" i="1"/>
  <c r="I2662" i="1"/>
  <c r="B2663" i="1"/>
  <c r="C2663" i="1"/>
  <c r="I2663" i="1"/>
  <c r="B2664" i="1"/>
  <c r="C2664" i="1"/>
  <c r="I2664" i="1"/>
  <c r="B2665" i="1"/>
  <c r="C2665" i="1"/>
  <c r="I2665" i="1"/>
  <c r="B2666" i="1"/>
  <c r="C2666" i="1"/>
  <c r="I2666" i="1"/>
  <c r="B2667" i="1"/>
  <c r="C2667" i="1"/>
  <c r="I2667" i="1"/>
  <c r="B2668" i="1"/>
  <c r="C2668" i="1"/>
  <c r="I2668" i="1"/>
  <c r="B2669" i="1"/>
  <c r="C2669" i="1"/>
  <c r="I2669" i="1"/>
  <c r="B2670" i="1"/>
  <c r="C2670" i="1"/>
  <c r="I2670" i="1"/>
  <c r="B2671" i="1"/>
  <c r="C2671" i="1"/>
  <c r="I2671" i="1"/>
  <c r="B2672" i="1"/>
  <c r="C2672" i="1"/>
  <c r="I2672" i="1"/>
  <c r="B2673" i="1"/>
  <c r="C2673" i="1"/>
  <c r="I2673" i="1"/>
  <c r="B2674" i="1"/>
  <c r="C2674" i="1"/>
  <c r="I2674" i="1"/>
  <c r="B2675" i="1"/>
  <c r="C2675" i="1"/>
  <c r="I2675" i="1"/>
  <c r="B2676" i="1"/>
  <c r="C2676" i="1"/>
  <c r="I2676" i="1"/>
  <c r="B2677" i="1"/>
  <c r="C2677" i="1"/>
  <c r="I2677" i="1"/>
  <c r="B2678" i="1"/>
  <c r="C2678" i="1"/>
  <c r="I2678" i="1"/>
  <c r="B2679" i="1"/>
  <c r="C2679" i="1"/>
  <c r="I2679" i="1"/>
  <c r="B2680" i="1"/>
  <c r="C2680" i="1"/>
  <c r="I2680" i="1"/>
  <c r="B2681" i="1"/>
  <c r="C2681" i="1"/>
  <c r="I2681" i="1"/>
  <c r="B2682" i="1"/>
  <c r="C2682" i="1"/>
  <c r="I2682" i="1"/>
  <c r="B2683" i="1"/>
  <c r="C2683" i="1"/>
  <c r="I2683" i="1"/>
  <c r="B2684" i="1"/>
  <c r="C2684" i="1"/>
  <c r="I2684" i="1"/>
  <c r="B2685" i="1"/>
  <c r="C2685" i="1"/>
  <c r="I2685" i="1"/>
  <c r="B2686" i="1"/>
  <c r="C2686" i="1"/>
  <c r="I2686" i="1"/>
  <c r="B2687" i="1"/>
  <c r="C2687" i="1"/>
  <c r="I2687" i="1"/>
  <c r="B2688" i="1"/>
  <c r="C2688" i="1"/>
  <c r="I2688" i="1"/>
  <c r="B2689" i="1"/>
  <c r="C2689" i="1"/>
  <c r="I2689" i="1"/>
  <c r="B2690" i="1"/>
  <c r="C2690" i="1"/>
  <c r="I2690" i="1"/>
  <c r="B2691" i="1"/>
  <c r="C2691" i="1"/>
  <c r="I2691" i="1"/>
  <c r="B2692" i="1"/>
  <c r="C2692" i="1"/>
  <c r="I2692" i="1"/>
  <c r="B2693" i="1"/>
  <c r="C2693" i="1"/>
  <c r="I2693" i="1"/>
  <c r="B2694" i="1"/>
  <c r="C2694" i="1"/>
  <c r="I2694" i="1"/>
  <c r="B2695" i="1"/>
  <c r="C2695" i="1"/>
  <c r="I2695" i="1"/>
  <c r="B2696" i="1"/>
  <c r="C2696" i="1"/>
  <c r="I2696" i="1"/>
  <c r="B2697" i="1"/>
  <c r="C2697" i="1"/>
  <c r="I2697" i="1"/>
  <c r="B2698" i="1"/>
  <c r="C2698" i="1"/>
  <c r="I2698" i="1"/>
  <c r="B2699" i="1"/>
  <c r="C2699" i="1"/>
  <c r="I2699" i="1"/>
  <c r="B2700" i="1"/>
  <c r="C2700" i="1"/>
  <c r="I2700" i="1"/>
  <c r="B2701" i="1"/>
  <c r="C2701" i="1"/>
  <c r="I2701" i="1"/>
  <c r="B2702" i="1"/>
  <c r="C2702" i="1"/>
  <c r="I2702" i="1"/>
  <c r="B2703" i="1"/>
  <c r="C2703" i="1"/>
  <c r="I2703" i="1"/>
  <c r="B2704" i="1"/>
  <c r="C2704" i="1"/>
  <c r="I2704" i="1"/>
  <c r="B2705" i="1"/>
  <c r="C2705" i="1"/>
  <c r="I2705" i="1"/>
  <c r="B2706" i="1"/>
  <c r="C2706" i="1"/>
  <c r="I2706" i="1"/>
  <c r="B2707" i="1"/>
  <c r="C2707" i="1"/>
  <c r="I2707" i="1"/>
  <c r="B2708" i="1"/>
  <c r="C2708" i="1"/>
  <c r="I2708" i="1"/>
  <c r="B2709" i="1"/>
  <c r="C2709" i="1"/>
  <c r="I2709" i="1"/>
  <c r="B2710" i="1"/>
  <c r="C2710" i="1"/>
  <c r="I2710" i="1"/>
  <c r="B2711" i="1"/>
  <c r="C2711" i="1"/>
  <c r="I2711" i="1"/>
  <c r="B2712" i="1"/>
  <c r="C2712" i="1"/>
  <c r="I2712" i="1"/>
  <c r="B2713" i="1"/>
  <c r="C2713" i="1"/>
  <c r="I2713" i="1"/>
  <c r="B2714" i="1"/>
  <c r="C2714" i="1"/>
  <c r="I2714" i="1"/>
  <c r="B2715" i="1"/>
  <c r="C2715" i="1"/>
  <c r="I2715" i="1"/>
  <c r="B2716" i="1"/>
  <c r="C2716" i="1"/>
  <c r="I2716" i="1"/>
  <c r="B2717" i="1"/>
  <c r="C2717" i="1"/>
  <c r="I2717" i="1"/>
  <c r="B2718" i="1"/>
  <c r="C2718" i="1"/>
  <c r="I2718" i="1"/>
  <c r="B2719" i="1"/>
  <c r="C2719" i="1"/>
  <c r="I2719" i="1"/>
  <c r="B2720" i="1"/>
  <c r="C2720" i="1"/>
  <c r="I2720" i="1"/>
  <c r="B2721" i="1"/>
  <c r="C2721" i="1"/>
  <c r="I2721" i="1"/>
  <c r="B2722" i="1"/>
  <c r="C2722" i="1"/>
  <c r="I2722" i="1"/>
  <c r="B2723" i="1"/>
  <c r="C2723" i="1"/>
  <c r="I2723" i="1"/>
  <c r="B2724" i="1"/>
  <c r="C2724" i="1"/>
  <c r="I2724" i="1"/>
  <c r="B2725" i="1"/>
  <c r="C2725" i="1"/>
  <c r="I2725" i="1"/>
  <c r="B2726" i="1"/>
  <c r="C2726" i="1"/>
  <c r="I2726" i="1"/>
  <c r="B2727" i="1"/>
  <c r="C2727" i="1"/>
  <c r="I2727" i="1"/>
  <c r="B2728" i="1"/>
  <c r="C2728" i="1"/>
  <c r="I2728" i="1"/>
  <c r="B2729" i="1"/>
  <c r="C2729" i="1"/>
  <c r="I2729" i="1"/>
  <c r="B2730" i="1"/>
  <c r="C2730" i="1"/>
  <c r="I2730" i="1"/>
  <c r="B2731" i="1"/>
  <c r="C2731" i="1"/>
  <c r="I2731" i="1"/>
  <c r="B2732" i="1"/>
  <c r="C2732" i="1"/>
  <c r="I2732" i="1"/>
  <c r="B2733" i="1"/>
  <c r="C2733" i="1"/>
  <c r="I2733" i="1"/>
  <c r="B2734" i="1"/>
  <c r="C2734" i="1"/>
  <c r="I2734" i="1"/>
  <c r="B2735" i="1"/>
  <c r="C2735" i="1"/>
  <c r="I2735" i="1"/>
  <c r="B2736" i="1"/>
  <c r="C2736" i="1"/>
  <c r="I2736" i="1"/>
  <c r="B2737" i="1"/>
  <c r="C2737" i="1"/>
  <c r="I2737" i="1"/>
  <c r="B2738" i="1"/>
  <c r="C2738" i="1"/>
  <c r="I2738" i="1"/>
  <c r="B2739" i="1"/>
  <c r="C2739" i="1"/>
  <c r="I2739" i="1"/>
  <c r="B2740" i="1"/>
  <c r="C2740" i="1"/>
  <c r="I2740" i="1"/>
  <c r="B2741" i="1"/>
  <c r="C2741" i="1"/>
  <c r="I2741" i="1"/>
  <c r="B2742" i="1"/>
  <c r="C2742" i="1"/>
  <c r="I2742" i="1"/>
  <c r="B2743" i="1"/>
  <c r="C2743" i="1"/>
  <c r="I2743" i="1"/>
  <c r="B2744" i="1"/>
  <c r="C2744" i="1"/>
  <c r="I2744" i="1"/>
  <c r="B2745" i="1"/>
  <c r="C2745" i="1"/>
  <c r="I2745" i="1"/>
  <c r="B2746" i="1"/>
  <c r="C2746" i="1"/>
  <c r="I2746" i="1"/>
  <c r="B2747" i="1"/>
  <c r="C2747" i="1"/>
  <c r="I2747" i="1"/>
  <c r="B2748" i="1"/>
  <c r="C2748" i="1"/>
  <c r="I2748" i="1"/>
  <c r="B2749" i="1"/>
  <c r="C2749" i="1"/>
  <c r="I2749" i="1"/>
  <c r="B2750" i="1"/>
  <c r="C2750" i="1"/>
  <c r="I2750" i="1"/>
  <c r="B2751" i="1"/>
  <c r="C2751" i="1"/>
  <c r="I2751" i="1"/>
  <c r="B2752" i="1"/>
  <c r="C2752" i="1"/>
  <c r="I2752" i="1"/>
  <c r="B2753" i="1"/>
  <c r="C2753" i="1"/>
  <c r="I2753" i="1"/>
  <c r="B2754" i="1"/>
  <c r="C2754" i="1"/>
  <c r="I2754" i="1"/>
  <c r="B2755" i="1"/>
  <c r="C2755" i="1"/>
  <c r="I2755" i="1"/>
  <c r="B2756" i="1"/>
  <c r="C2756" i="1"/>
  <c r="I2756" i="1"/>
  <c r="B2757" i="1"/>
  <c r="C2757" i="1"/>
  <c r="I2757" i="1"/>
  <c r="B2758" i="1"/>
  <c r="C2758" i="1"/>
  <c r="I2758" i="1"/>
  <c r="B2759" i="1"/>
  <c r="C2759" i="1"/>
  <c r="I2759" i="1"/>
  <c r="B2760" i="1"/>
  <c r="C2760" i="1"/>
  <c r="I2760" i="1"/>
  <c r="B2761" i="1"/>
  <c r="C2761" i="1"/>
  <c r="I2761" i="1"/>
  <c r="B2762" i="1"/>
  <c r="C2762" i="1"/>
  <c r="I2762" i="1"/>
  <c r="B2763" i="1"/>
  <c r="C2763" i="1"/>
  <c r="I2763" i="1"/>
  <c r="B2764" i="1"/>
  <c r="C2764" i="1"/>
  <c r="I2764" i="1"/>
  <c r="B2765" i="1"/>
  <c r="C2765" i="1"/>
  <c r="I2765" i="1"/>
  <c r="B2766" i="1"/>
  <c r="C2766" i="1"/>
  <c r="I2766" i="1"/>
  <c r="B2767" i="1"/>
  <c r="C2767" i="1"/>
  <c r="I2767" i="1"/>
  <c r="B2768" i="1"/>
  <c r="C2768" i="1"/>
  <c r="I2768" i="1"/>
  <c r="B2769" i="1"/>
  <c r="C2769" i="1"/>
  <c r="I2769" i="1"/>
  <c r="B2770" i="1"/>
  <c r="C2770" i="1"/>
  <c r="I2770" i="1"/>
  <c r="B2771" i="1"/>
  <c r="C2771" i="1"/>
  <c r="I2771" i="1"/>
  <c r="B2772" i="1"/>
  <c r="C2772" i="1"/>
  <c r="I2772" i="1"/>
  <c r="B2773" i="1"/>
  <c r="C2773" i="1"/>
  <c r="I2773" i="1"/>
  <c r="B2774" i="1"/>
  <c r="C2774" i="1"/>
  <c r="I2774" i="1"/>
  <c r="B2775" i="1"/>
  <c r="C2775" i="1"/>
  <c r="I2775" i="1"/>
  <c r="B2776" i="1"/>
  <c r="C2776" i="1"/>
  <c r="I2776" i="1"/>
  <c r="B2777" i="1"/>
  <c r="C2777" i="1"/>
  <c r="I2777" i="1"/>
  <c r="B2778" i="1"/>
  <c r="C2778" i="1"/>
  <c r="I2778" i="1"/>
  <c r="B2779" i="1"/>
  <c r="C2779" i="1"/>
  <c r="I2779" i="1"/>
  <c r="B2780" i="1"/>
  <c r="C2780" i="1"/>
  <c r="I2780" i="1"/>
  <c r="B2781" i="1"/>
  <c r="C2781" i="1"/>
  <c r="I2781" i="1"/>
  <c r="B2782" i="1"/>
  <c r="C2782" i="1"/>
  <c r="I2782" i="1"/>
  <c r="B2783" i="1"/>
  <c r="C2783" i="1"/>
  <c r="I2783" i="1"/>
  <c r="B2784" i="1"/>
  <c r="C2784" i="1"/>
  <c r="I2784" i="1"/>
  <c r="B2785" i="1"/>
  <c r="C2785" i="1"/>
  <c r="I2785" i="1"/>
  <c r="B2786" i="1"/>
  <c r="C2786" i="1"/>
  <c r="I2786" i="1"/>
  <c r="B2787" i="1"/>
  <c r="C2787" i="1"/>
  <c r="I2787" i="1"/>
  <c r="B2788" i="1"/>
  <c r="C2788" i="1"/>
  <c r="I2788" i="1"/>
  <c r="B2789" i="1"/>
  <c r="C2789" i="1"/>
  <c r="I2789" i="1"/>
  <c r="B2790" i="1"/>
  <c r="C2790" i="1"/>
  <c r="I2790" i="1"/>
  <c r="B2791" i="1"/>
  <c r="C2791" i="1"/>
  <c r="I2791" i="1"/>
  <c r="B2792" i="1"/>
  <c r="C2792" i="1"/>
  <c r="I2792" i="1"/>
  <c r="B2793" i="1"/>
  <c r="C2793" i="1"/>
  <c r="I2793" i="1"/>
  <c r="B2794" i="1"/>
  <c r="C2794" i="1"/>
  <c r="I2794" i="1"/>
  <c r="B2795" i="1"/>
  <c r="C2795" i="1"/>
  <c r="I2795" i="1"/>
  <c r="B2796" i="1"/>
  <c r="C2796" i="1"/>
  <c r="I2796" i="1"/>
  <c r="B2797" i="1"/>
  <c r="C2797" i="1"/>
  <c r="I2797" i="1"/>
  <c r="B2798" i="1"/>
  <c r="C2798" i="1"/>
  <c r="I2798" i="1"/>
  <c r="B2799" i="1"/>
  <c r="C2799" i="1"/>
  <c r="I2799" i="1"/>
  <c r="B2800" i="1"/>
  <c r="C2800" i="1"/>
  <c r="I2800" i="1"/>
  <c r="B2801" i="1"/>
  <c r="C2801" i="1"/>
  <c r="I2801" i="1"/>
  <c r="B2802" i="1"/>
  <c r="C2802" i="1"/>
  <c r="I2802" i="1"/>
  <c r="B2803" i="1"/>
  <c r="C2803" i="1"/>
  <c r="I2803" i="1"/>
  <c r="B2804" i="1"/>
  <c r="C2804" i="1"/>
  <c r="I2804" i="1"/>
  <c r="B2805" i="1"/>
  <c r="C2805" i="1"/>
  <c r="I2805" i="1"/>
  <c r="B2806" i="1"/>
  <c r="C2806" i="1"/>
  <c r="I2806" i="1"/>
  <c r="B2807" i="1"/>
  <c r="C2807" i="1"/>
  <c r="I2807" i="1"/>
  <c r="B2808" i="1"/>
  <c r="C2808" i="1"/>
  <c r="I2808" i="1"/>
  <c r="B2809" i="1"/>
  <c r="C2809" i="1"/>
  <c r="I2809" i="1"/>
  <c r="B2810" i="1"/>
  <c r="C2810" i="1"/>
  <c r="I2810" i="1"/>
  <c r="B2811" i="1"/>
  <c r="C2811" i="1"/>
  <c r="I2811" i="1"/>
  <c r="B2812" i="1"/>
  <c r="C2812" i="1"/>
  <c r="I2812" i="1"/>
  <c r="B2813" i="1"/>
  <c r="C2813" i="1"/>
  <c r="I2813" i="1"/>
  <c r="B2814" i="1"/>
  <c r="C2814" i="1"/>
  <c r="I2814" i="1"/>
  <c r="B2815" i="1"/>
  <c r="C2815" i="1"/>
  <c r="I2815" i="1"/>
  <c r="B2816" i="1"/>
  <c r="C2816" i="1"/>
  <c r="I2816" i="1"/>
  <c r="B2817" i="1"/>
  <c r="C2817" i="1"/>
  <c r="I2817" i="1"/>
  <c r="B2818" i="1"/>
  <c r="C2818" i="1"/>
  <c r="I2818" i="1"/>
  <c r="B2819" i="1"/>
  <c r="C2819" i="1"/>
  <c r="I2819" i="1"/>
  <c r="B2820" i="1"/>
  <c r="C2820" i="1"/>
  <c r="I2820" i="1"/>
  <c r="B2821" i="1"/>
  <c r="C2821" i="1"/>
  <c r="I2821" i="1"/>
  <c r="B2822" i="1"/>
  <c r="C2822" i="1"/>
  <c r="I2822" i="1"/>
  <c r="B2823" i="1"/>
  <c r="C2823" i="1"/>
  <c r="I2823" i="1"/>
  <c r="B2824" i="1"/>
  <c r="C2824" i="1"/>
  <c r="I2824" i="1"/>
  <c r="B2825" i="1"/>
  <c r="C2825" i="1"/>
  <c r="I2825" i="1"/>
  <c r="B2826" i="1"/>
  <c r="C2826" i="1"/>
  <c r="I2826" i="1"/>
  <c r="B2827" i="1"/>
  <c r="C2827" i="1"/>
  <c r="I2827" i="1"/>
  <c r="B2828" i="1"/>
  <c r="C2828" i="1"/>
  <c r="I2828" i="1"/>
  <c r="B2829" i="1"/>
  <c r="C2829" i="1"/>
  <c r="I2829" i="1"/>
  <c r="B2830" i="1"/>
  <c r="C2830" i="1"/>
  <c r="I2830" i="1"/>
  <c r="B2831" i="1"/>
  <c r="C2831" i="1"/>
  <c r="I2831" i="1"/>
  <c r="B2832" i="1"/>
  <c r="C2832" i="1"/>
  <c r="I2832" i="1"/>
  <c r="B2833" i="1"/>
  <c r="C2833" i="1"/>
  <c r="I2833" i="1"/>
  <c r="B2834" i="1"/>
  <c r="C2834" i="1"/>
  <c r="I2834" i="1"/>
  <c r="B2835" i="1"/>
  <c r="C2835" i="1"/>
  <c r="I2835" i="1"/>
  <c r="B2836" i="1"/>
  <c r="C2836" i="1"/>
  <c r="I2836" i="1"/>
  <c r="B2837" i="1"/>
  <c r="C2837" i="1"/>
  <c r="I2837" i="1"/>
  <c r="B2838" i="1"/>
  <c r="C2838" i="1"/>
  <c r="I2838" i="1"/>
  <c r="B2839" i="1"/>
  <c r="C2839" i="1"/>
  <c r="I2839" i="1"/>
  <c r="B2840" i="1"/>
  <c r="C2840" i="1"/>
  <c r="I2840" i="1"/>
  <c r="B2841" i="1"/>
  <c r="C2841" i="1"/>
  <c r="I2841" i="1"/>
  <c r="B2842" i="1"/>
  <c r="C2842" i="1"/>
  <c r="I2842" i="1"/>
  <c r="B2843" i="1"/>
  <c r="C2843" i="1"/>
  <c r="I2843" i="1"/>
  <c r="B2844" i="1"/>
  <c r="C2844" i="1"/>
  <c r="I2844" i="1"/>
  <c r="B2845" i="1"/>
  <c r="C2845" i="1"/>
  <c r="I2845" i="1"/>
  <c r="B2846" i="1"/>
  <c r="C2846" i="1"/>
  <c r="I2846" i="1"/>
  <c r="B2847" i="1"/>
  <c r="C2847" i="1"/>
  <c r="I2847" i="1"/>
  <c r="B2848" i="1"/>
  <c r="C2848" i="1"/>
  <c r="I2848" i="1"/>
  <c r="B2849" i="1"/>
  <c r="C2849" i="1"/>
  <c r="I2849" i="1"/>
  <c r="B2850" i="1"/>
  <c r="C2850" i="1"/>
  <c r="I2850" i="1"/>
  <c r="B2851" i="1"/>
  <c r="C2851" i="1"/>
  <c r="I2851" i="1"/>
  <c r="B2852" i="1"/>
  <c r="C2852" i="1"/>
  <c r="I2852" i="1"/>
  <c r="B2853" i="1"/>
  <c r="C2853" i="1"/>
  <c r="I2853" i="1"/>
  <c r="B2854" i="1"/>
  <c r="C2854" i="1"/>
  <c r="I2854" i="1"/>
  <c r="B2855" i="1"/>
  <c r="C2855" i="1"/>
  <c r="I2855" i="1"/>
  <c r="B2856" i="1"/>
  <c r="C2856" i="1"/>
  <c r="I2856" i="1"/>
  <c r="B2857" i="1"/>
  <c r="C2857" i="1"/>
  <c r="I2857" i="1"/>
  <c r="B2858" i="1"/>
  <c r="C2858" i="1"/>
  <c r="I2858" i="1"/>
  <c r="B2859" i="1"/>
  <c r="C2859" i="1"/>
  <c r="I2859" i="1"/>
  <c r="B2860" i="1"/>
  <c r="C2860" i="1"/>
  <c r="I2860" i="1"/>
  <c r="B2861" i="1"/>
  <c r="C2861" i="1"/>
  <c r="I2861" i="1"/>
  <c r="B2862" i="1"/>
  <c r="C2862" i="1"/>
  <c r="I2862" i="1"/>
  <c r="B2863" i="1"/>
  <c r="C2863" i="1"/>
  <c r="I2863" i="1"/>
  <c r="B2864" i="1"/>
  <c r="C2864" i="1"/>
  <c r="I2864" i="1"/>
  <c r="B2865" i="1"/>
  <c r="C2865" i="1"/>
  <c r="I2865" i="1"/>
  <c r="B2866" i="1"/>
  <c r="C2866" i="1"/>
  <c r="I2866" i="1"/>
  <c r="B2867" i="1"/>
  <c r="C2867" i="1"/>
  <c r="I2867" i="1"/>
  <c r="B2868" i="1"/>
  <c r="C2868" i="1"/>
  <c r="I2868" i="1"/>
  <c r="B2869" i="1"/>
  <c r="C2869" i="1"/>
  <c r="I2869" i="1"/>
  <c r="B2870" i="1"/>
  <c r="C2870" i="1"/>
  <c r="I2870" i="1"/>
  <c r="B2871" i="1"/>
  <c r="C2871" i="1"/>
  <c r="I2871" i="1"/>
  <c r="B2872" i="1"/>
  <c r="C2872" i="1"/>
  <c r="I2872" i="1"/>
  <c r="B2873" i="1"/>
  <c r="C2873" i="1"/>
  <c r="I2873" i="1"/>
  <c r="B2874" i="1"/>
  <c r="C2874" i="1"/>
  <c r="I2874" i="1"/>
  <c r="B2875" i="1"/>
  <c r="C2875" i="1"/>
  <c r="I2875" i="1"/>
  <c r="B2876" i="1"/>
  <c r="C2876" i="1"/>
  <c r="I2876" i="1"/>
  <c r="B2877" i="1"/>
  <c r="C2877" i="1"/>
  <c r="I2877" i="1"/>
  <c r="B2878" i="1"/>
  <c r="C2878" i="1"/>
  <c r="I2878" i="1"/>
  <c r="B2879" i="1"/>
  <c r="C2879" i="1"/>
  <c r="I2879" i="1"/>
  <c r="B2880" i="1"/>
  <c r="C2880" i="1"/>
  <c r="I2880" i="1"/>
  <c r="B2881" i="1"/>
  <c r="C2881" i="1"/>
  <c r="I2881" i="1"/>
  <c r="B2882" i="1"/>
  <c r="C2882" i="1"/>
  <c r="I2882" i="1"/>
  <c r="B2883" i="1"/>
  <c r="C2883" i="1"/>
  <c r="I2883" i="1"/>
  <c r="B2884" i="1"/>
  <c r="C2884" i="1"/>
  <c r="I2884" i="1"/>
  <c r="B2885" i="1"/>
  <c r="C2885" i="1"/>
  <c r="I2885" i="1"/>
  <c r="B2886" i="1"/>
  <c r="C2886" i="1"/>
  <c r="I2886" i="1"/>
  <c r="B2887" i="1"/>
  <c r="C2887" i="1"/>
  <c r="I2887" i="1"/>
  <c r="B2888" i="1"/>
  <c r="C2888" i="1"/>
  <c r="I2888" i="1"/>
  <c r="B2889" i="1"/>
  <c r="C2889" i="1"/>
  <c r="I2889" i="1"/>
  <c r="B2890" i="1"/>
  <c r="C2890" i="1"/>
  <c r="I2890" i="1"/>
  <c r="B2891" i="1"/>
  <c r="C2891" i="1"/>
  <c r="I2891" i="1"/>
  <c r="B2892" i="1"/>
  <c r="C2892" i="1"/>
  <c r="I2892" i="1"/>
  <c r="B2893" i="1"/>
  <c r="C2893" i="1"/>
  <c r="I2893" i="1"/>
  <c r="B2894" i="1"/>
  <c r="C2894" i="1"/>
  <c r="I2894" i="1"/>
  <c r="B2895" i="1"/>
  <c r="C2895" i="1"/>
  <c r="I2895" i="1"/>
  <c r="B2896" i="1"/>
  <c r="C2896" i="1"/>
  <c r="I2896" i="1"/>
  <c r="B2897" i="1"/>
  <c r="C2897" i="1"/>
  <c r="I2897" i="1"/>
  <c r="B2898" i="1"/>
  <c r="C2898" i="1"/>
  <c r="I2898" i="1"/>
  <c r="B2899" i="1"/>
  <c r="C2899" i="1"/>
  <c r="I2899" i="1"/>
  <c r="B2900" i="1"/>
  <c r="C2900" i="1"/>
  <c r="I2900" i="1"/>
  <c r="B2901" i="1"/>
  <c r="C2901" i="1"/>
  <c r="I2901" i="1"/>
  <c r="B2902" i="1"/>
  <c r="C2902" i="1"/>
  <c r="I2902" i="1"/>
  <c r="B2903" i="1"/>
  <c r="C2903" i="1"/>
  <c r="I2903" i="1"/>
  <c r="B2904" i="1"/>
  <c r="C2904" i="1"/>
  <c r="I2904" i="1"/>
  <c r="B2905" i="1"/>
  <c r="C2905" i="1"/>
  <c r="I2905" i="1"/>
  <c r="B2906" i="1"/>
  <c r="C2906" i="1"/>
  <c r="I2906" i="1"/>
  <c r="B2907" i="1"/>
  <c r="C2907" i="1"/>
  <c r="I2907" i="1"/>
  <c r="B2908" i="1"/>
  <c r="C2908" i="1"/>
  <c r="I2908" i="1"/>
  <c r="B2909" i="1"/>
  <c r="C2909" i="1"/>
  <c r="I2909" i="1"/>
  <c r="B2910" i="1"/>
  <c r="C2910" i="1"/>
  <c r="I2910" i="1"/>
  <c r="B2911" i="1"/>
  <c r="C2911" i="1"/>
  <c r="I2911" i="1"/>
  <c r="B2912" i="1"/>
  <c r="C2912" i="1"/>
  <c r="I2912" i="1"/>
  <c r="B2913" i="1"/>
  <c r="C2913" i="1"/>
  <c r="I2913" i="1"/>
  <c r="B2914" i="1"/>
  <c r="C2914" i="1"/>
  <c r="I2914" i="1"/>
  <c r="B2915" i="1"/>
  <c r="C2915" i="1"/>
  <c r="I2915" i="1"/>
  <c r="B2916" i="1"/>
  <c r="C2916" i="1"/>
  <c r="I2916" i="1"/>
  <c r="B2917" i="1"/>
  <c r="C2917" i="1"/>
  <c r="I2917" i="1"/>
  <c r="B2918" i="1"/>
  <c r="C2918" i="1"/>
  <c r="I2918" i="1"/>
  <c r="B2919" i="1"/>
  <c r="C2919" i="1"/>
  <c r="I2919" i="1"/>
  <c r="B2920" i="1"/>
  <c r="C2920" i="1"/>
  <c r="I2920" i="1"/>
  <c r="B2921" i="1"/>
  <c r="C2921" i="1"/>
  <c r="I2921" i="1"/>
  <c r="B2922" i="1"/>
  <c r="C2922" i="1"/>
  <c r="I2922" i="1"/>
  <c r="B2923" i="1"/>
  <c r="C2923" i="1"/>
  <c r="I2923" i="1"/>
  <c r="B2924" i="1"/>
  <c r="C2924" i="1"/>
  <c r="I2924" i="1"/>
  <c r="B2925" i="1"/>
  <c r="C2925" i="1"/>
  <c r="I2925" i="1"/>
  <c r="B2926" i="1"/>
  <c r="C2926" i="1"/>
  <c r="I2926" i="1"/>
  <c r="B2927" i="1"/>
  <c r="C2927" i="1"/>
  <c r="I2927" i="1"/>
  <c r="B2928" i="1"/>
  <c r="C2928" i="1"/>
  <c r="I2928" i="1"/>
  <c r="B2929" i="1"/>
  <c r="C2929" i="1"/>
  <c r="I2929" i="1"/>
  <c r="B2930" i="1"/>
  <c r="C2930" i="1"/>
  <c r="I2930" i="1"/>
  <c r="B2931" i="1"/>
  <c r="C2931" i="1"/>
  <c r="I2931" i="1"/>
  <c r="B2932" i="1"/>
  <c r="C2932" i="1"/>
  <c r="I2932" i="1"/>
  <c r="B2933" i="1"/>
  <c r="C2933" i="1"/>
  <c r="I2933" i="1"/>
  <c r="B2934" i="1"/>
  <c r="C2934" i="1"/>
  <c r="I2934" i="1"/>
  <c r="B2935" i="1"/>
  <c r="C2935" i="1"/>
  <c r="I2935" i="1"/>
  <c r="B2936" i="1"/>
  <c r="C2936" i="1"/>
  <c r="I2936" i="1"/>
  <c r="B2937" i="1"/>
  <c r="C2937" i="1"/>
  <c r="I2937" i="1"/>
  <c r="B2938" i="1"/>
  <c r="C2938" i="1"/>
  <c r="I2938" i="1"/>
  <c r="B2939" i="1"/>
  <c r="C2939" i="1"/>
  <c r="I2939" i="1"/>
  <c r="B2940" i="1"/>
  <c r="C2940" i="1"/>
  <c r="I2940" i="1"/>
  <c r="B2941" i="1"/>
  <c r="C2941" i="1"/>
  <c r="I2941" i="1"/>
  <c r="B2942" i="1"/>
  <c r="C2942" i="1"/>
  <c r="I2942" i="1"/>
  <c r="B2943" i="1"/>
  <c r="C2943" i="1"/>
  <c r="I2943" i="1"/>
  <c r="B2944" i="1"/>
  <c r="C2944" i="1"/>
  <c r="I2944" i="1"/>
  <c r="B2945" i="1"/>
  <c r="C2945" i="1"/>
  <c r="I2945" i="1"/>
  <c r="B2946" i="1"/>
  <c r="C2946" i="1"/>
  <c r="I2946" i="1"/>
  <c r="B2947" i="1"/>
  <c r="C2947" i="1"/>
  <c r="I2947" i="1"/>
  <c r="B2948" i="1"/>
  <c r="C2948" i="1"/>
  <c r="I2948" i="1"/>
  <c r="B2949" i="1"/>
  <c r="C2949" i="1"/>
  <c r="I2949" i="1"/>
  <c r="B2950" i="1"/>
  <c r="C2950" i="1"/>
  <c r="I2950" i="1"/>
  <c r="B2951" i="1"/>
  <c r="C2951" i="1"/>
  <c r="I2951" i="1"/>
  <c r="B2952" i="1"/>
  <c r="C2952" i="1"/>
  <c r="I2952" i="1"/>
  <c r="B2953" i="1"/>
  <c r="C2953" i="1"/>
  <c r="I2953" i="1"/>
  <c r="B2954" i="1"/>
  <c r="C2954" i="1"/>
  <c r="I2954" i="1"/>
  <c r="B2955" i="1"/>
  <c r="C2955" i="1"/>
  <c r="I2955" i="1"/>
  <c r="B2956" i="1"/>
  <c r="C2956" i="1"/>
  <c r="I2956" i="1"/>
  <c r="B2957" i="1"/>
  <c r="C2957" i="1"/>
  <c r="I2957" i="1"/>
  <c r="B2958" i="1"/>
  <c r="C2958" i="1"/>
  <c r="I2958" i="1"/>
  <c r="B2959" i="1"/>
  <c r="C2959" i="1"/>
  <c r="I2959" i="1"/>
  <c r="B2960" i="1"/>
  <c r="C2960" i="1"/>
  <c r="I2960" i="1"/>
  <c r="B2961" i="1"/>
  <c r="C2961" i="1"/>
  <c r="I2961" i="1"/>
  <c r="B2962" i="1"/>
  <c r="C2962" i="1"/>
  <c r="I2962" i="1"/>
  <c r="B2963" i="1"/>
  <c r="C2963" i="1"/>
  <c r="I2963" i="1"/>
  <c r="B2964" i="1"/>
  <c r="C2964" i="1"/>
  <c r="I2964" i="1"/>
  <c r="B2965" i="1"/>
  <c r="C2965" i="1"/>
  <c r="I2965" i="1"/>
  <c r="B2966" i="1"/>
  <c r="C2966" i="1"/>
  <c r="I2966" i="1"/>
  <c r="B2967" i="1"/>
  <c r="C2967" i="1"/>
  <c r="I2967" i="1"/>
  <c r="B2968" i="1"/>
  <c r="C2968" i="1"/>
  <c r="I2968" i="1"/>
  <c r="B2969" i="1"/>
  <c r="C2969" i="1"/>
  <c r="I2969" i="1"/>
  <c r="B2970" i="1"/>
  <c r="C2970" i="1"/>
  <c r="I2970" i="1"/>
  <c r="B2971" i="1"/>
  <c r="C2971" i="1"/>
  <c r="I2971" i="1"/>
  <c r="B2972" i="1"/>
  <c r="C2972" i="1"/>
  <c r="I2972" i="1"/>
  <c r="B2973" i="1"/>
  <c r="C2973" i="1"/>
  <c r="I2973" i="1"/>
  <c r="B2974" i="1"/>
  <c r="C2974" i="1"/>
  <c r="I2974" i="1"/>
  <c r="B2975" i="1"/>
  <c r="C2975" i="1"/>
  <c r="I2975" i="1"/>
  <c r="B2976" i="1"/>
  <c r="C2976" i="1"/>
  <c r="I2976" i="1"/>
  <c r="B2977" i="1"/>
  <c r="C2977" i="1"/>
  <c r="I2977" i="1"/>
  <c r="B2978" i="1"/>
  <c r="C2978" i="1"/>
  <c r="I2978" i="1"/>
  <c r="B2979" i="1"/>
  <c r="C2979" i="1"/>
  <c r="I2979" i="1"/>
  <c r="B2980" i="1"/>
  <c r="C2980" i="1"/>
  <c r="I2980" i="1"/>
  <c r="B2981" i="1"/>
  <c r="C2981" i="1"/>
  <c r="I2981" i="1"/>
  <c r="B2982" i="1"/>
  <c r="C2982" i="1"/>
  <c r="I2982" i="1"/>
  <c r="B2983" i="1"/>
  <c r="C2983" i="1"/>
  <c r="I2983" i="1"/>
  <c r="B2984" i="1"/>
  <c r="C2984" i="1"/>
  <c r="I2984" i="1"/>
  <c r="B2985" i="1"/>
  <c r="C2985" i="1"/>
  <c r="I2985" i="1"/>
  <c r="B2986" i="1"/>
  <c r="C2986" i="1"/>
  <c r="I2986" i="1"/>
  <c r="B2987" i="1"/>
  <c r="C2987" i="1"/>
  <c r="I2987" i="1"/>
  <c r="B2988" i="1"/>
  <c r="C2988" i="1"/>
  <c r="I2988" i="1"/>
  <c r="B2989" i="1"/>
  <c r="C2989" i="1"/>
  <c r="I2989" i="1"/>
  <c r="B2990" i="1"/>
  <c r="C2990" i="1"/>
  <c r="I2990" i="1"/>
  <c r="B2991" i="1"/>
  <c r="C2991" i="1"/>
  <c r="I2991" i="1"/>
  <c r="B2992" i="1"/>
  <c r="C2992" i="1"/>
  <c r="I2992" i="1"/>
  <c r="B2993" i="1"/>
  <c r="C2993" i="1"/>
  <c r="I2993" i="1"/>
  <c r="B2994" i="1"/>
  <c r="C2994" i="1"/>
  <c r="I2994" i="1"/>
  <c r="B2995" i="1"/>
  <c r="C2995" i="1"/>
  <c r="I2995" i="1"/>
  <c r="B2996" i="1"/>
  <c r="C2996" i="1"/>
  <c r="I2996" i="1"/>
  <c r="B2997" i="1"/>
  <c r="C2997" i="1"/>
  <c r="I2997" i="1"/>
  <c r="B2998" i="1"/>
  <c r="C2998" i="1"/>
  <c r="I2998" i="1"/>
  <c r="B2999" i="1"/>
  <c r="C2999" i="1"/>
  <c r="I2999" i="1"/>
  <c r="B3000" i="1"/>
  <c r="C3000" i="1"/>
  <c r="I3000" i="1"/>
  <c r="B3001" i="1"/>
  <c r="C3001" i="1"/>
  <c r="I3001" i="1"/>
  <c r="B3002" i="1"/>
  <c r="C3002" i="1"/>
  <c r="I3002" i="1"/>
  <c r="B3003" i="1"/>
  <c r="C3003" i="1"/>
  <c r="I3003" i="1"/>
  <c r="B3004" i="1"/>
  <c r="C3004" i="1"/>
  <c r="I3004" i="1"/>
  <c r="B3005" i="1"/>
  <c r="C3005" i="1"/>
  <c r="I3005" i="1"/>
  <c r="B3006" i="1"/>
  <c r="C3006" i="1"/>
  <c r="I3006" i="1"/>
  <c r="B3007" i="1"/>
  <c r="C3007" i="1"/>
  <c r="I3007" i="1"/>
  <c r="B3008" i="1"/>
  <c r="C3008" i="1"/>
  <c r="I3008" i="1"/>
  <c r="B3009" i="1"/>
  <c r="C3009" i="1"/>
  <c r="I3009" i="1"/>
  <c r="B3010" i="1"/>
  <c r="C3010" i="1"/>
  <c r="I3010" i="1"/>
  <c r="B3011" i="1"/>
  <c r="C3011" i="1"/>
  <c r="I3011" i="1"/>
  <c r="B3012" i="1"/>
  <c r="C3012" i="1"/>
  <c r="I3012" i="1"/>
  <c r="B3013" i="1"/>
  <c r="C3013" i="1"/>
  <c r="I3013" i="1"/>
  <c r="B3014" i="1"/>
  <c r="C3014" i="1"/>
  <c r="I3014" i="1"/>
  <c r="B3015" i="1"/>
  <c r="C3015" i="1"/>
  <c r="I3015" i="1"/>
  <c r="B3016" i="1"/>
  <c r="C3016" i="1"/>
  <c r="I3016" i="1"/>
  <c r="B3017" i="1"/>
  <c r="C3017" i="1"/>
  <c r="I3017" i="1"/>
  <c r="B3018" i="1"/>
  <c r="C3018" i="1"/>
  <c r="I3018" i="1"/>
  <c r="B3019" i="1"/>
  <c r="C3019" i="1"/>
  <c r="I3019" i="1"/>
  <c r="B3020" i="1"/>
  <c r="C3020" i="1"/>
  <c r="I3020" i="1"/>
  <c r="B3021" i="1"/>
  <c r="C3021" i="1"/>
  <c r="I3021" i="1"/>
  <c r="B3022" i="1"/>
  <c r="C3022" i="1"/>
  <c r="I3022" i="1"/>
  <c r="B3023" i="1"/>
  <c r="C3023" i="1"/>
  <c r="I3023" i="1"/>
  <c r="B3024" i="1"/>
  <c r="C3024" i="1"/>
  <c r="I3024" i="1"/>
  <c r="B3025" i="1"/>
  <c r="C3025" i="1"/>
  <c r="I3025" i="1"/>
  <c r="B3026" i="1"/>
  <c r="C3026" i="1"/>
  <c r="I3026" i="1"/>
  <c r="B3027" i="1"/>
  <c r="C3027" i="1"/>
  <c r="I3027" i="1"/>
  <c r="B3028" i="1"/>
  <c r="C3028" i="1"/>
  <c r="I3028" i="1"/>
  <c r="B3029" i="1"/>
  <c r="C3029" i="1"/>
  <c r="I3029" i="1"/>
  <c r="B3030" i="1"/>
  <c r="C3030" i="1"/>
  <c r="I3030" i="1"/>
  <c r="B3031" i="1"/>
  <c r="C3031" i="1"/>
  <c r="I3031" i="1"/>
  <c r="B3032" i="1"/>
  <c r="C3032" i="1"/>
  <c r="I3032" i="1"/>
  <c r="B3033" i="1"/>
  <c r="C3033" i="1"/>
  <c r="I3033" i="1"/>
  <c r="B3034" i="1"/>
  <c r="C3034" i="1"/>
  <c r="I3034" i="1"/>
  <c r="B3035" i="1"/>
  <c r="C3035" i="1"/>
  <c r="I3035" i="1"/>
  <c r="B3036" i="1"/>
  <c r="C3036" i="1"/>
  <c r="I3036" i="1"/>
  <c r="B3037" i="1"/>
  <c r="C3037" i="1"/>
  <c r="I3037" i="1"/>
  <c r="B3038" i="1"/>
  <c r="C3038" i="1"/>
  <c r="I3038" i="1"/>
  <c r="B3039" i="1"/>
  <c r="C3039" i="1"/>
  <c r="I3039" i="1"/>
  <c r="B3040" i="1"/>
  <c r="C3040" i="1"/>
  <c r="I3040" i="1"/>
  <c r="B3041" i="1"/>
  <c r="C3041" i="1"/>
  <c r="I3041" i="1"/>
  <c r="B3042" i="1"/>
  <c r="C3042" i="1"/>
  <c r="I3042" i="1"/>
  <c r="B3043" i="1"/>
  <c r="C3043" i="1"/>
  <c r="I3043" i="1"/>
  <c r="B3044" i="1"/>
  <c r="C3044" i="1"/>
  <c r="I3044" i="1"/>
  <c r="B3045" i="1"/>
  <c r="C3045" i="1"/>
  <c r="I3045" i="1"/>
  <c r="B3046" i="1"/>
  <c r="C3046" i="1"/>
  <c r="I3046" i="1"/>
  <c r="B3047" i="1"/>
  <c r="C3047" i="1"/>
  <c r="I3047" i="1"/>
  <c r="B3048" i="1"/>
  <c r="C3048" i="1"/>
  <c r="I3048" i="1"/>
  <c r="B3049" i="1"/>
  <c r="C3049" i="1"/>
  <c r="I3049" i="1"/>
  <c r="B3050" i="1"/>
  <c r="C3050" i="1"/>
  <c r="I3050" i="1"/>
  <c r="B3051" i="1"/>
  <c r="C3051" i="1"/>
  <c r="I3051" i="1"/>
  <c r="B3052" i="1"/>
  <c r="C3052" i="1"/>
  <c r="I3052" i="1"/>
  <c r="B3053" i="1"/>
  <c r="C3053" i="1"/>
  <c r="I3053" i="1"/>
  <c r="B3054" i="1"/>
  <c r="C3054" i="1"/>
  <c r="I3054" i="1"/>
  <c r="B3055" i="1"/>
  <c r="C3055" i="1"/>
  <c r="I3055" i="1"/>
  <c r="B3056" i="1"/>
  <c r="C3056" i="1"/>
  <c r="I3056" i="1"/>
  <c r="B3057" i="1"/>
  <c r="C3057" i="1"/>
  <c r="I3057" i="1"/>
  <c r="B3058" i="1"/>
  <c r="C3058" i="1"/>
  <c r="I3058" i="1"/>
  <c r="B3059" i="1"/>
  <c r="C3059" i="1"/>
  <c r="I3059" i="1"/>
  <c r="B3060" i="1"/>
  <c r="C3060" i="1"/>
  <c r="I3060" i="1"/>
  <c r="B3061" i="1"/>
  <c r="C3061" i="1"/>
  <c r="I3061" i="1"/>
  <c r="B3062" i="1"/>
  <c r="C3062" i="1"/>
  <c r="I3062" i="1"/>
  <c r="B3063" i="1"/>
  <c r="C3063" i="1"/>
  <c r="I3063" i="1"/>
  <c r="B3064" i="1"/>
  <c r="C3064" i="1"/>
  <c r="I3064" i="1"/>
  <c r="B3065" i="1"/>
  <c r="C3065" i="1"/>
  <c r="I3065" i="1"/>
  <c r="B3066" i="1"/>
  <c r="C3066" i="1"/>
  <c r="I3066" i="1"/>
  <c r="B3067" i="1"/>
  <c r="C3067" i="1"/>
  <c r="I3067" i="1"/>
  <c r="B3068" i="1"/>
  <c r="C3068" i="1"/>
  <c r="I3068" i="1"/>
  <c r="B3069" i="1"/>
  <c r="C3069" i="1"/>
  <c r="I3069" i="1"/>
  <c r="B3070" i="1"/>
  <c r="C3070" i="1"/>
  <c r="I3070" i="1"/>
  <c r="B3071" i="1"/>
  <c r="C3071" i="1"/>
  <c r="I3071" i="1"/>
  <c r="B3072" i="1"/>
  <c r="C3072" i="1"/>
  <c r="I3072" i="1"/>
  <c r="B3073" i="1"/>
  <c r="C3073" i="1"/>
  <c r="I3073" i="1"/>
  <c r="B3074" i="1"/>
  <c r="C3074" i="1"/>
  <c r="I3074" i="1"/>
  <c r="B3075" i="1"/>
  <c r="C3075" i="1"/>
  <c r="I3075" i="1"/>
  <c r="B3076" i="1"/>
  <c r="C3076" i="1"/>
  <c r="I3076" i="1"/>
  <c r="B3077" i="1"/>
  <c r="C3077" i="1"/>
  <c r="I3077" i="1"/>
  <c r="B3078" i="1"/>
  <c r="C3078" i="1"/>
  <c r="I3078" i="1"/>
  <c r="B3079" i="1"/>
  <c r="C3079" i="1"/>
  <c r="I3079" i="1"/>
  <c r="B3080" i="1"/>
  <c r="C3080" i="1"/>
  <c r="I3080" i="1"/>
  <c r="B3081" i="1"/>
  <c r="C3081" i="1"/>
  <c r="I3081" i="1"/>
  <c r="B3082" i="1"/>
  <c r="C3082" i="1"/>
  <c r="I3082" i="1"/>
  <c r="B3083" i="1"/>
  <c r="C3083" i="1"/>
  <c r="I3083" i="1"/>
  <c r="B3084" i="1"/>
  <c r="C3084" i="1"/>
  <c r="I3084" i="1"/>
  <c r="B3085" i="1"/>
  <c r="C3085" i="1"/>
  <c r="I3085" i="1"/>
  <c r="B3086" i="1"/>
  <c r="C3086" i="1"/>
  <c r="I3086" i="1"/>
  <c r="B3087" i="1"/>
  <c r="C3087" i="1"/>
  <c r="I3087" i="1"/>
  <c r="B3088" i="1"/>
  <c r="C3088" i="1"/>
  <c r="I3088" i="1"/>
  <c r="B3089" i="1"/>
  <c r="C3089" i="1"/>
  <c r="I3089" i="1"/>
  <c r="B3090" i="1"/>
  <c r="C3090" i="1"/>
  <c r="I3090" i="1"/>
  <c r="B3091" i="1"/>
  <c r="C3091" i="1"/>
  <c r="I3091" i="1"/>
  <c r="B3092" i="1"/>
  <c r="C3092" i="1"/>
  <c r="I3092" i="1"/>
  <c r="B3093" i="1"/>
  <c r="C3093" i="1"/>
  <c r="I3093" i="1"/>
  <c r="B3094" i="1"/>
  <c r="C3094" i="1"/>
  <c r="I3094" i="1"/>
  <c r="B3095" i="1"/>
  <c r="C3095" i="1"/>
  <c r="I3095" i="1"/>
  <c r="B3096" i="1"/>
  <c r="C3096" i="1"/>
  <c r="I3096" i="1"/>
  <c r="B3097" i="1"/>
  <c r="C3097" i="1"/>
  <c r="I3097" i="1"/>
  <c r="B3098" i="1"/>
  <c r="C3098" i="1"/>
  <c r="I3098" i="1"/>
  <c r="B3099" i="1"/>
  <c r="C3099" i="1"/>
  <c r="I3099" i="1"/>
  <c r="B3100" i="1"/>
  <c r="C3100" i="1"/>
  <c r="I3100" i="1"/>
  <c r="B3101" i="1"/>
  <c r="C3101" i="1"/>
  <c r="I3101" i="1"/>
  <c r="B3102" i="1"/>
  <c r="C3102" i="1"/>
  <c r="I3102" i="1"/>
  <c r="B3103" i="1"/>
  <c r="C3103" i="1"/>
  <c r="I3103" i="1"/>
  <c r="B3104" i="1"/>
  <c r="C3104" i="1"/>
  <c r="I3104" i="1"/>
  <c r="B3105" i="1"/>
  <c r="C3105" i="1"/>
  <c r="I3105" i="1"/>
  <c r="B3106" i="1"/>
  <c r="C3106" i="1"/>
  <c r="I3106" i="1"/>
  <c r="B3107" i="1"/>
  <c r="C3107" i="1"/>
  <c r="I3107" i="1"/>
  <c r="B3108" i="1"/>
  <c r="C3108" i="1"/>
  <c r="I3108" i="1"/>
  <c r="B3109" i="1"/>
  <c r="C3109" i="1"/>
  <c r="I3109" i="1"/>
  <c r="B3110" i="1"/>
  <c r="C3110" i="1"/>
  <c r="I3110" i="1"/>
  <c r="B3111" i="1"/>
  <c r="C3111" i="1"/>
  <c r="I3111" i="1"/>
  <c r="B3112" i="1"/>
  <c r="C3112" i="1"/>
  <c r="I3112" i="1"/>
  <c r="B3113" i="1"/>
  <c r="C3113" i="1"/>
  <c r="I3113" i="1"/>
  <c r="B3114" i="1"/>
  <c r="C3114" i="1"/>
  <c r="I3114" i="1"/>
  <c r="B3115" i="1"/>
  <c r="C3115" i="1"/>
  <c r="I3115" i="1"/>
  <c r="B3116" i="1"/>
  <c r="C3116" i="1"/>
  <c r="I3116" i="1"/>
  <c r="B3117" i="1"/>
  <c r="C3117" i="1"/>
  <c r="I3117" i="1"/>
  <c r="B3118" i="1"/>
  <c r="C3118" i="1"/>
  <c r="I3118" i="1"/>
  <c r="B3119" i="1"/>
  <c r="C3119" i="1"/>
  <c r="I3119" i="1"/>
  <c r="B3120" i="1"/>
  <c r="C3120" i="1"/>
  <c r="I3120" i="1"/>
  <c r="B3121" i="1"/>
  <c r="C3121" i="1"/>
  <c r="I3121" i="1"/>
  <c r="B3122" i="1"/>
  <c r="C3122" i="1"/>
  <c r="I3122" i="1"/>
  <c r="B3123" i="1"/>
  <c r="C3123" i="1"/>
  <c r="I3123" i="1"/>
  <c r="B3124" i="1"/>
  <c r="C3124" i="1"/>
  <c r="I3124" i="1"/>
  <c r="B3125" i="1"/>
  <c r="C3125" i="1"/>
  <c r="I3125" i="1"/>
  <c r="B3126" i="1"/>
  <c r="C3126" i="1"/>
  <c r="I3126" i="1"/>
  <c r="B3127" i="1"/>
  <c r="C3127" i="1"/>
  <c r="I3127" i="1"/>
  <c r="B3128" i="1"/>
  <c r="C3128" i="1"/>
  <c r="I3128" i="1"/>
  <c r="B3129" i="1"/>
  <c r="C3129" i="1"/>
  <c r="I3129" i="1"/>
  <c r="B3130" i="1"/>
  <c r="C3130" i="1"/>
  <c r="I3130" i="1"/>
  <c r="B3131" i="1"/>
  <c r="C3131" i="1"/>
  <c r="I3131" i="1"/>
  <c r="B3132" i="1"/>
  <c r="C3132" i="1"/>
  <c r="I3132" i="1"/>
  <c r="B3133" i="1"/>
  <c r="C3133" i="1"/>
  <c r="I3133" i="1"/>
  <c r="B3134" i="1"/>
  <c r="C3134" i="1"/>
  <c r="I3134" i="1"/>
  <c r="B3135" i="1"/>
  <c r="C3135" i="1"/>
  <c r="I3135" i="1"/>
  <c r="B3136" i="1"/>
  <c r="C3136" i="1"/>
  <c r="I3136" i="1"/>
  <c r="B3137" i="1"/>
  <c r="C3137" i="1"/>
  <c r="I3137" i="1"/>
  <c r="B3138" i="1"/>
  <c r="C3138" i="1"/>
  <c r="I3138" i="1"/>
  <c r="B3139" i="1"/>
  <c r="C3139" i="1"/>
  <c r="I3139" i="1"/>
  <c r="B3140" i="1"/>
  <c r="C3140" i="1"/>
  <c r="I3140" i="1"/>
  <c r="B3141" i="1"/>
  <c r="C3141" i="1"/>
  <c r="I3141" i="1"/>
  <c r="B3142" i="1"/>
  <c r="C3142" i="1"/>
  <c r="I3142" i="1"/>
  <c r="B3143" i="1"/>
  <c r="C3143" i="1"/>
  <c r="I3143" i="1"/>
  <c r="B3144" i="1"/>
  <c r="C3144" i="1"/>
  <c r="I3144" i="1"/>
  <c r="B3145" i="1"/>
  <c r="C3145" i="1"/>
  <c r="I3145" i="1"/>
  <c r="B3146" i="1"/>
  <c r="C3146" i="1"/>
  <c r="I3146" i="1"/>
  <c r="B3147" i="1"/>
  <c r="C3147" i="1"/>
  <c r="I3147" i="1"/>
  <c r="B3148" i="1"/>
  <c r="C3148" i="1"/>
  <c r="I3148" i="1"/>
  <c r="B3149" i="1"/>
  <c r="C3149" i="1"/>
  <c r="I3149" i="1"/>
  <c r="B3150" i="1"/>
  <c r="C3150" i="1"/>
  <c r="I3150" i="1"/>
  <c r="B3151" i="1"/>
  <c r="C3151" i="1"/>
  <c r="I3151" i="1"/>
  <c r="B3152" i="1"/>
  <c r="C3152" i="1"/>
  <c r="I3152" i="1"/>
  <c r="B3153" i="1"/>
  <c r="C3153" i="1"/>
  <c r="I3153" i="1"/>
  <c r="B3154" i="1"/>
  <c r="C3154" i="1"/>
  <c r="I3154" i="1"/>
  <c r="B3155" i="1"/>
  <c r="C3155" i="1"/>
  <c r="I3155" i="1"/>
  <c r="B3156" i="1"/>
  <c r="C3156" i="1"/>
  <c r="I3156" i="1"/>
  <c r="B3157" i="1"/>
  <c r="C3157" i="1"/>
  <c r="I3157" i="1"/>
  <c r="B3158" i="1"/>
  <c r="C3158" i="1"/>
  <c r="I3158" i="1"/>
  <c r="B3159" i="1"/>
  <c r="C3159" i="1"/>
  <c r="I3159" i="1"/>
  <c r="B3160" i="1"/>
  <c r="C3160" i="1"/>
  <c r="I3160" i="1"/>
  <c r="B3161" i="1"/>
  <c r="C3161" i="1"/>
  <c r="I3161" i="1"/>
  <c r="B3162" i="1"/>
  <c r="C3162" i="1"/>
  <c r="I3162" i="1"/>
  <c r="B3163" i="1"/>
  <c r="C3163" i="1"/>
  <c r="I3163" i="1"/>
  <c r="B3164" i="1"/>
  <c r="C3164" i="1"/>
  <c r="I3164" i="1"/>
  <c r="B3165" i="1"/>
  <c r="C3165" i="1"/>
  <c r="I3165" i="1"/>
  <c r="B3166" i="1"/>
  <c r="C3166" i="1"/>
  <c r="I3166" i="1"/>
  <c r="B3167" i="1"/>
  <c r="C3167" i="1"/>
  <c r="I3167" i="1"/>
  <c r="B3168" i="1"/>
  <c r="C3168" i="1"/>
  <c r="I3168" i="1"/>
  <c r="B3169" i="1"/>
  <c r="C3169" i="1"/>
  <c r="I3169" i="1"/>
  <c r="B3170" i="1"/>
  <c r="C3170" i="1"/>
  <c r="I3170" i="1"/>
  <c r="B3171" i="1"/>
  <c r="C3171" i="1"/>
  <c r="I3171" i="1"/>
  <c r="B3172" i="1"/>
  <c r="C3172" i="1"/>
  <c r="I3172" i="1"/>
  <c r="B3173" i="1"/>
  <c r="C3173" i="1"/>
  <c r="I3173" i="1"/>
  <c r="B3174" i="1"/>
  <c r="C3174" i="1"/>
  <c r="I3174" i="1"/>
  <c r="B3175" i="1"/>
  <c r="C3175" i="1"/>
  <c r="I3175" i="1"/>
  <c r="B3176" i="1"/>
  <c r="C3176" i="1"/>
  <c r="I3176" i="1"/>
  <c r="B3177" i="1"/>
  <c r="C3177" i="1"/>
  <c r="I3177" i="1"/>
  <c r="B3178" i="1"/>
  <c r="C3178" i="1"/>
  <c r="I3178" i="1"/>
  <c r="B3179" i="1"/>
  <c r="C3179" i="1"/>
  <c r="I3179" i="1"/>
  <c r="B3180" i="1"/>
  <c r="C3180" i="1"/>
  <c r="I3180" i="1"/>
  <c r="B3181" i="1"/>
  <c r="C3181" i="1"/>
  <c r="I3181" i="1"/>
  <c r="B3182" i="1"/>
  <c r="C3182" i="1"/>
  <c r="I3182" i="1"/>
  <c r="B3183" i="1"/>
  <c r="C3183" i="1"/>
  <c r="I3183" i="1"/>
  <c r="B3184" i="1"/>
  <c r="C3184" i="1"/>
  <c r="I3184" i="1"/>
  <c r="B3185" i="1"/>
  <c r="C3185" i="1"/>
  <c r="I3185" i="1"/>
  <c r="B3186" i="1"/>
  <c r="C3186" i="1"/>
  <c r="I3186" i="1"/>
  <c r="B3187" i="1"/>
  <c r="C3187" i="1"/>
  <c r="I3187" i="1"/>
  <c r="B3188" i="1"/>
  <c r="C3188" i="1"/>
  <c r="I3188" i="1"/>
  <c r="B3189" i="1"/>
  <c r="C3189" i="1"/>
  <c r="I3189" i="1"/>
  <c r="B3190" i="1"/>
  <c r="C3190" i="1"/>
  <c r="I3190" i="1"/>
  <c r="B3191" i="1"/>
  <c r="C3191" i="1"/>
  <c r="I3191" i="1"/>
  <c r="B3192" i="1"/>
  <c r="C3192" i="1"/>
  <c r="I3192" i="1"/>
  <c r="B3193" i="1"/>
  <c r="C3193" i="1"/>
  <c r="I3193" i="1"/>
  <c r="B3194" i="1"/>
  <c r="C3194" i="1"/>
  <c r="I3194" i="1"/>
  <c r="B3195" i="1"/>
  <c r="C3195" i="1"/>
  <c r="I3195" i="1"/>
  <c r="B3196" i="1"/>
  <c r="C3196" i="1"/>
  <c r="I3196" i="1"/>
  <c r="B3197" i="1"/>
  <c r="C3197" i="1"/>
  <c r="I3197" i="1"/>
  <c r="B3198" i="1"/>
  <c r="C3198" i="1"/>
  <c r="I3198" i="1"/>
  <c r="B3199" i="1"/>
  <c r="C3199" i="1"/>
  <c r="I3199" i="1"/>
  <c r="B3200" i="1"/>
  <c r="C3200" i="1"/>
  <c r="I3200" i="1"/>
  <c r="B3201" i="1"/>
  <c r="C3201" i="1"/>
  <c r="I3201" i="1"/>
  <c r="B3202" i="1"/>
  <c r="C3202" i="1"/>
  <c r="I3202" i="1"/>
  <c r="B3203" i="1"/>
  <c r="C3203" i="1"/>
  <c r="I3203" i="1"/>
  <c r="B3204" i="1"/>
  <c r="C3204" i="1"/>
  <c r="I3204" i="1"/>
  <c r="B3205" i="1"/>
  <c r="C3205" i="1"/>
  <c r="I3205" i="1"/>
  <c r="B3206" i="1"/>
  <c r="C3206" i="1"/>
  <c r="I3206" i="1"/>
  <c r="B3207" i="1"/>
  <c r="C3207" i="1"/>
  <c r="I3207" i="1"/>
  <c r="B3208" i="1"/>
  <c r="C3208" i="1"/>
  <c r="I3208" i="1"/>
  <c r="B3209" i="1"/>
  <c r="C3209" i="1"/>
  <c r="I3209" i="1"/>
  <c r="B3210" i="1"/>
  <c r="C3210" i="1"/>
  <c r="I3210" i="1"/>
  <c r="B3211" i="1"/>
  <c r="C3211" i="1"/>
  <c r="I3211" i="1"/>
  <c r="B3212" i="1"/>
  <c r="C3212" i="1"/>
  <c r="I3212" i="1"/>
  <c r="B3213" i="1"/>
  <c r="C3213" i="1"/>
  <c r="I3213" i="1"/>
  <c r="B3214" i="1"/>
  <c r="C3214" i="1"/>
  <c r="I3214" i="1"/>
  <c r="B3215" i="1"/>
  <c r="C3215" i="1"/>
  <c r="I3215" i="1"/>
  <c r="B3216" i="1"/>
  <c r="C3216" i="1"/>
  <c r="I3216" i="1"/>
  <c r="B3217" i="1"/>
  <c r="C3217" i="1"/>
  <c r="I3217" i="1"/>
  <c r="B3218" i="1"/>
  <c r="C3218" i="1"/>
  <c r="I3218" i="1"/>
  <c r="B3219" i="1"/>
  <c r="C3219" i="1"/>
  <c r="I3219" i="1"/>
  <c r="B3220" i="1"/>
  <c r="C3220" i="1"/>
  <c r="I3220" i="1"/>
  <c r="B3221" i="1"/>
  <c r="C3221" i="1"/>
  <c r="I3221" i="1"/>
  <c r="B3222" i="1"/>
  <c r="C3222" i="1"/>
  <c r="I3222" i="1"/>
  <c r="B3223" i="1"/>
  <c r="C3223" i="1"/>
  <c r="I3223" i="1"/>
  <c r="B3224" i="1"/>
  <c r="C3224" i="1"/>
  <c r="I3224" i="1"/>
  <c r="B3225" i="1"/>
  <c r="C3225" i="1"/>
  <c r="I3225" i="1"/>
  <c r="B3226" i="1"/>
  <c r="C3226" i="1"/>
  <c r="I3226" i="1"/>
  <c r="B3227" i="1"/>
  <c r="C3227" i="1"/>
  <c r="I3227" i="1"/>
  <c r="B3228" i="1"/>
  <c r="C3228" i="1"/>
  <c r="I3228" i="1"/>
  <c r="B3229" i="1"/>
  <c r="C3229" i="1"/>
  <c r="I3229" i="1"/>
  <c r="B3230" i="1"/>
  <c r="C3230" i="1"/>
  <c r="I3230" i="1"/>
  <c r="B3231" i="1"/>
  <c r="C3231" i="1"/>
  <c r="I3231" i="1"/>
  <c r="B3232" i="1"/>
  <c r="C3232" i="1"/>
  <c r="I3232" i="1"/>
  <c r="B3233" i="1"/>
  <c r="C3233" i="1"/>
  <c r="I3233" i="1"/>
  <c r="B3234" i="1"/>
  <c r="C3234" i="1"/>
  <c r="I3234" i="1"/>
  <c r="B3235" i="1"/>
  <c r="C3235" i="1"/>
  <c r="I3235" i="1"/>
  <c r="B3236" i="1"/>
  <c r="C3236" i="1"/>
  <c r="I3236" i="1"/>
  <c r="B3237" i="1"/>
  <c r="C3237" i="1"/>
  <c r="I3237" i="1"/>
  <c r="B3238" i="1"/>
  <c r="C3238" i="1"/>
  <c r="I3238" i="1"/>
  <c r="B3239" i="1"/>
  <c r="C3239" i="1"/>
  <c r="I3239" i="1"/>
  <c r="B3240" i="1"/>
  <c r="C3240" i="1"/>
  <c r="I3240" i="1"/>
  <c r="B3241" i="1"/>
  <c r="C3241" i="1"/>
  <c r="I3241" i="1"/>
  <c r="B3242" i="1"/>
  <c r="C3242" i="1"/>
  <c r="I3242" i="1"/>
  <c r="B3243" i="1"/>
  <c r="C3243" i="1"/>
  <c r="I3243" i="1"/>
  <c r="B3244" i="1"/>
  <c r="C3244" i="1"/>
  <c r="I3244" i="1"/>
  <c r="B3245" i="1"/>
  <c r="C3245" i="1"/>
  <c r="I3245" i="1"/>
  <c r="B3246" i="1"/>
  <c r="C3246" i="1"/>
  <c r="I3246" i="1"/>
  <c r="B3247" i="1"/>
  <c r="C3247" i="1"/>
  <c r="I3247" i="1"/>
  <c r="B3248" i="1"/>
  <c r="C3248" i="1"/>
  <c r="I3248" i="1"/>
  <c r="B3249" i="1"/>
  <c r="C3249" i="1"/>
  <c r="I3249" i="1"/>
  <c r="B3250" i="1"/>
  <c r="C3250" i="1"/>
  <c r="I3250" i="1"/>
  <c r="B3251" i="1"/>
  <c r="C3251" i="1"/>
  <c r="I3251" i="1"/>
  <c r="B3252" i="1"/>
  <c r="C3252" i="1"/>
  <c r="I3252" i="1"/>
  <c r="B3253" i="1"/>
  <c r="C3253" i="1"/>
  <c r="I3253" i="1"/>
  <c r="B3254" i="1"/>
  <c r="C3254" i="1"/>
  <c r="I3254" i="1"/>
  <c r="B3255" i="1"/>
  <c r="C3255" i="1"/>
  <c r="I3255" i="1"/>
  <c r="B3256" i="1"/>
  <c r="C3256" i="1"/>
  <c r="I3256" i="1"/>
  <c r="B3257" i="1"/>
  <c r="C3257" i="1"/>
  <c r="I3257" i="1"/>
  <c r="B3258" i="1"/>
  <c r="C3258" i="1"/>
  <c r="I3258" i="1"/>
  <c r="B3259" i="1"/>
  <c r="C3259" i="1"/>
  <c r="I3259" i="1"/>
  <c r="B3260" i="1"/>
  <c r="C3260" i="1"/>
  <c r="I3260" i="1"/>
  <c r="B3261" i="1"/>
  <c r="C3261" i="1"/>
  <c r="I3261" i="1"/>
  <c r="B3262" i="1"/>
  <c r="C3262" i="1"/>
  <c r="I3262" i="1"/>
  <c r="B3263" i="1"/>
  <c r="C3263" i="1"/>
  <c r="I3263" i="1"/>
  <c r="B3264" i="1"/>
  <c r="C3264" i="1"/>
  <c r="I3264" i="1"/>
  <c r="B3265" i="1"/>
  <c r="C3265" i="1"/>
  <c r="I3265" i="1"/>
  <c r="B3266" i="1"/>
  <c r="C3266" i="1"/>
  <c r="I3266" i="1"/>
  <c r="B3267" i="1"/>
  <c r="C3267" i="1"/>
  <c r="I3267" i="1"/>
  <c r="B3268" i="1"/>
  <c r="C3268" i="1"/>
  <c r="I3268" i="1"/>
  <c r="B3269" i="1"/>
  <c r="C3269" i="1"/>
  <c r="I3269" i="1"/>
  <c r="B3270" i="1"/>
  <c r="C3270" i="1"/>
  <c r="I3270" i="1"/>
  <c r="B3271" i="1"/>
  <c r="C3271" i="1"/>
  <c r="I3271" i="1"/>
  <c r="B3272" i="1"/>
  <c r="C3272" i="1"/>
  <c r="I3272" i="1"/>
  <c r="B3273" i="1"/>
  <c r="C3273" i="1"/>
  <c r="I3273" i="1"/>
  <c r="B3274" i="1"/>
  <c r="C3274" i="1"/>
  <c r="I3274" i="1"/>
  <c r="B3275" i="1"/>
  <c r="C3275" i="1"/>
  <c r="I3275" i="1"/>
  <c r="B3276" i="1"/>
  <c r="C3276" i="1"/>
  <c r="I3276" i="1"/>
  <c r="B3277" i="1"/>
  <c r="C3277" i="1"/>
  <c r="I3277" i="1"/>
  <c r="B3278" i="1"/>
  <c r="C3278" i="1"/>
  <c r="I3278" i="1"/>
  <c r="B3279" i="1"/>
  <c r="C3279" i="1"/>
  <c r="I3279" i="1"/>
  <c r="B3280" i="1"/>
  <c r="C3280" i="1"/>
  <c r="I3280" i="1"/>
  <c r="B3281" i="1"/>
  <c r="C3281" i="1"/>
  <c r="I3281" i="1"/>
  <c r="B3282" i="1"/>
  <c r="C3282" i="1"/>
  <c r="I3282" i="1"/>
  <c r="B3283" i="1"/>
  <c r="C3283" i="1"/>
  <c r="I3283" i="1"/>
  <c r="B3284" i="1"/>
  <c r="C3284" i="1"/>
  <c r="I3284" i="1"/>
  <c r="B3285" i="1"/>
  <c r="C3285" i="1"/>
  <c r="I3285" i="1"/>
  <c r="B3286" i="1"/>
  <c r="C3286" i="1"/>
  <c r="I3286" i="1"/>
  <c r="B3287" i="1"/>
  <c r="C3287" i="1"/>
  <c r="I3287" i="1"/>
  <c r="B3288" i="1"/>
  <c r="C3288" i="1"/>
  <c r="I3288" i="1"/>
  <c r="B3289" i="1"/>
  <c r="C3289" i="1"/>
  <c r="I3289" i="1"/>
  <c r="B3290" i="1"/>
  <c r="C3290" i="1"/>
  <c r="I3290" i="1"/>
  <c r="B3291" i="1"/>
  <c r="C3291" i="1"/>
  <c r="I3291" i="1"/>
  <c r="B3292" i="1"/>
  <c r="C3292" i="1"/>
  <c r="I3292" i="1"/>
  <c r="B3293" i="1"/>
  <c r="C3293" i="1"/>
  <c r="I3293" i="1"/>
  <c r="B3294" i="1"/>
  <c r="C3294" i="1"/>
  <c r="I3294" i="1"/>
  <c r="B3295" i="1"/>
  <c r="C3295" i="1"/>
  <c r="I3295" i="1"/>
  <c r="B3296" i="1"/>
  <c r="C3296" i="1"/>
  <c r="I3296" i="1"/>
  <c r="B3297" i="1"/>
  <c r="C3297" i="1"/>
  <c r="I3297" i="1"/>
  <c r="B3298" i="1"/>
  <c r="C3298" i="1"/>
  <c r="I3298" i="1"/>
  <c r="B3299" i="1"/>
  <c r="C3299" i="1"/>
  <c r="I3299" i="1"/>
  <c r="B3300" i="1"/>
  <c r="C3300" i="1"/>
  <c r="I3300" i="1"/>
  <c r="B3301" i="1"/>
  <c r="C3301" i="1"/>
  <c r="I3301" i="1"/>
  <c r="B3302" i="1"/>
  <c r="C3302" i="1"/>
  <c r="I3302" i="1"/>
  <c r="B3303" i="1"/>
  <c r="C3303" i="1"/>
  <c r="I3303" i="1"/>
  <c r="B3304" i="1"/>
  <c r="C3304" i="1"/>
  <c r="I3304" i="1"/>
  <c r="B3305" i="1"/>
  <c r="C3305" i="1"/>
  <c r="I3305" i="1"/>
  <c r="B3306" i="1"/>
  <c r="C3306" i="1"/>
  <c r="I3306" i="1"/>
  <c r="B3307" i="1"/>
  <c r="C3307" i="1"/>
  <c r="I3307" i="1"/>
  <c r="B3308" i="1"/>
  <c r="C3308" i="1"/>
  <c r="I3308" i="1"/>
  <c r="B3309" i="1"/>
  <c r="C3309" i="1"/>
  <c r="I3309" i="1"/>
  <c r="B3310" i="1"/>
  <c r="C3310" i="1"/>
  <c r="I3310" i="1"/>
  <c r="B3311" i="1"/>
  <c r="C3311" i="1"/>
  <c r="I3311" i="1"/>
  <c r="B3312" i="1"/>
  <c r="C3312" i="1"/>
  <c r="I3312" i="1"/>
  <c r="B3313" i="1"/>
  <c r="C3313" i="1"/>
  <c r="I3313" i="1"/>
  <c r="B3314" i="1"/>
  <c r="C3314" i="1"/>
  <c r="I3314" i="1"/>
  <c r="B3315" i="1"/>
  <c r="C3315" i="1"/>
  <c r="I3315" i="1"/>
  <c r="B3316" i="1"/>
  <c r="C3316" i="1"/>
  <c r="I3316" i="1"/>
  <c r="B3317" i="1"/>
  <c r="C3317" i="1"/>
  <c r="I3317" i="1"/>
  <c r="B3318" i="1"/>
  <c r="C3318" i="1"/>
  <c r="I3318" i="1"/>
  <c r="B3319" i="1"/>
  <c r="C3319" i="1"/>
  <c r="I3319" i="1"/>
  <c r="B3320" i="1"/>
  <c r="C3320" i="1"/>
  <c r="I3320" i="1"/>
  <c r="B3321" i="1"/>
  <c r="C3321" i="1"/>
  <c r="I3321" i="1"/>
  <c r="B3322" i="1"/>
  <c r="C3322" i="1"/>
  <c r="I3322" i="1"/>
  <c r="B3323" i="1"/>
  <c r="C3323" i="1"/>
  <c r="I3323" i="1"/>
  <c r="B3324" i="1"/>
  <c r="C3324" i="1"/>
  <c r="I3324" i="1"/>
  <c r="B3325" i="1"/>
  <c r="C3325" i="1"/>
  <c r="I3325" i="1"/>
  <c r="B3326" i="1"/>
  <c r="C3326" i="1"/>
  <c r="I3326" i="1"/>
  <c r="B3327" i="1"/>
  <c r="C3327" i="1"/>
  <c r="I3327" i="1"/>
  <c r="B3328" i="1"/>
  <c r="C3328" i="1"/>
  <c r="I3328" i="1"/>
  <c r="B3329" i="1"/>
  <c r="C3329" i="1"/>
  <c r="I3329" i="1"/>
  <c r="B3330" i="1"/>
  <c r="C3330" i="1"/>
  <c r="I3330" i="1"/>
  <c r="B3331" i="1"/>
  <c r="C3331" i="1"/>
  <c r="I3331" i="1"/>
  <c r="B3332" i="1"/>
  <c r="C3332" i="1"/>
  <c r="I3332" i="1"/>
  <c r="B3333" i="1"/>
  <c r="C3333" i="1"/>
  <c r="I3333" i="1"/>
  <c r="B3334" i="1"/>
  <c r="C3334" i="1"/>
  <c r="I3334" i="1"/>
  <c r="B3335" i="1"/>
  <c r="C3335" i="1"/>
  <c r="I3335" i="1"/>
  <c r="B3336" i="1"/>
  <c r="C3336" i="1"/>
  <c r="I3336" i="1"/>
  <c r="B3337" i="1"/>
  <c r="C3337" i="1"/>
  <c r="I3337" i="1"/>
  <c r="B3338" i="1"/>
  <c r="C3338" i="1"/>
  <c r="I3338" i="1"/>
  <c r="B3339" i="1"/>
  <c r="C3339" i="1"/>
  <c r="I3339" i="1"/>
  <c r="B3340" i="1"/>
  <c r="C3340" i="1"/>
  <c r="I3340" i="1"/>
  <c r="B3341" i="1"/>
  <c r="C3341" i="1"/>
  <c r="I3341" i="1"/>
  <c r="B3342" i="1"/>
  <c r="C3342" i="1"/>
  <c r="I3342" i="1"/>
  <c r="B3343" i="1"/>
  <c r="C3343" i="1"/>
  <c r="I3343" i="1"/>
  <c r="B3344" i="1"/>
  <c r="C3344" i="1"/>
  <c r="I3344" i="1"/>
  <c r="B3345" i="1"/>
  <c r="C3345" i="1"/>
  <c r="I3345" i="1"/>
  <c r="B3346" i="1"/>
  <c r="C3346" i="1"/>
  <c r="I3346" i="1"/>
  <c r="B3347" i="1"/>
  <c r="C3347" i="1"/>
  <c r="I3347" i="1"/>
  <c r="B3348" i="1"/>
  <c r="C3348" i="1"/>
  <c r="I3348" i="1"/>
  <c r="B3349" i="1"/>
  <c r="C3349" i="1"/>
  <c r="I3349" i="1"/>
  <c r="B3350" i="1"/>
  <c r="C3350" i="1"/>
  <c r="I3350" i="1"/>
  <c r="B3351" i="1"/>
  <c r="C3351" i="1"/>
  <c r="I3351" i="1"/>
  <c r="B3352" i="1"/>
  <c r="C3352" i="1"/>
  <c r="I3352" i="1"/>
  <c r="B3353" i="1"/>
  <c r="C3353" i="1"/>
  <c r="I3353" i="1"/>
  <c r="B3354" i="1"/>
  <c r="C3354" i="1"/>
  <c r="I3354" i="1"/>
  <c r="B3355" i="1"/>
  <c r="C3355" i="1"/>
  <c r="I3355" i="1"/>
  <c r="B3356" i="1"/>
  <c r="C3356" i="1"/>
  <c r="I3356" i="1"/>
  <c r="B3357" i="1"/>
  <c r="C3357" i="1"/>
  <c r="I3357" i="1"/>
  <c r="B3358" i="1"/>
  <c r="C3358" i="1"/>
  <c r="I3358" i="1"/>
  <c r="B3359" i="1"/>
  <c r="C3359" i="1"/>
  <c r="I3359" i="1"/>
  <c r="B3360" i="1"/>
  <c r="C3360" i="1"/>
  <c r="I3360" i="1"/>
  <c r="B3361" i="1"/>
  <c r="C3361" i="1"/>
  <c r="I3361" i="1"/>
  <c r="B3362" i="1"/>
  <c r="C3362" i="1"/>
  <c r="I3362" i="1"/>
  <c r="B3363" i="1"/>
  <c r="C3363" i="1"/>
  <c r="I3363" i="1"/>
  <c r="B3364" i="1"/>
  <c r="C3364" i="1"/>
  <c r="I3364" i="1"/>
  <c r="B3365" i="1"/>
  <c r="C3365" i="1"/>
  <c r="I3365" i="1"/>
  <c r="B3366" i="1"/>
  <c r="C3366" i="1"/>
  <c r="I3366" i="1"/>
  <c r="B3367" i="1"/>
  <c r="C3367" i="1"/>
  <c r="I3367" i="1"/>
  <c r="B3368" i="1"/>
  <c r="C3368" i="1"/>
  <c r="I3368" i="1"/>
  <c r="B3369" i="1"/>
  <c r="C3369" i="1"/>
  <c r="I3369" i="1"/>
  <c r="B3370" i="1"/>
  <c r="C3370" i="1"/>
  <c r="I3370" i="1"/>
  <c r="B3371" i="1"/>
  <c r="C3371" i="1"/>
  <c r="I3371" i="1"/>
  <c r="B3372" i="1"/>
  <c r="C3372" i="1"/>
  <c r="I3372" i="1"/>
  <c r="B3373" i="1"/>
  <c r="C3373" i="1"/>
  <c r="I3373" i="1"/>
  <c r="B3374" i="1"/>
  <c r="C3374" i="1"/>
  <c r="I3374" i="1"/>
  <c r="B3375" i="1"/>
  <c r="C3375" i="1"/>
  <c r="I3375" i="1"/>
  <c r="B3376" i="1"/>
  <c r="C3376" i="1"/>
  <c r="I3376" i="1"/>
  <c r="B3377" i="1"/>
  <c r="C3377" i="1"/>
  <c r="I3377" i="1"/>
  <c r="B3378" i="1"/>
  <c r="C3378" i="1"/>
  <c r="I3378" i="1"/>
  <c r="B3379" i="1"/>
  <c r="C3379" i="1"/>
  <c r="I3379" i="1"/>
  <c r="B3380" i="1"/>
  <c r="C3380" i="1"/>
  <c r="I3380" i="1"/>
  <c r="B3381" i="1"/>
  <c r="C3381" i="1"/>
  <c r="I3381" i="1"/>
  <c r="B3382" i="1"/>
  <c r="C3382" i="1"/>
  <c r="I3382" i="1"/>
  <c r="B3383" i="1"/>
  <c r="C3383" i="1"/>
  <c r="I3383" i="1"/>
  <c r="B3384" i="1"/>
  <c r="C3384" i="1"/>
  <c r="I3384" i="1"/>
  <c r="B3385" i="1"/>
  <c r="C3385" i="1"/>
  <c r="I3385" i="1"/>
  <c r="B3386" i="1"/>
  <c r="C3386" i="1"/>
  <c r="I3386" i="1"/>
  <c r="B3387" i="1"/>
  <c r="C3387" i="1"/>
  <c r="I3387" i="1"/>
  <c r="B3388" i="1"/>
  <c r="C3388" i="1"/>
  <c r="I3388" i="1"/>
  <c r="B3389" i="1"/>
  <c r="C3389" i="1"/>
  <c r="I3389" i="1"/>
  <c r="B3390" i="1"/>
  <c r="C3390" i="1"/>
  <c r="I3390" i="1"/>
  <c r="B3391" i="1"/>
  <c r="C3391" i="1"/>
  <c r="I3391" i="1"/>
  <c r="B3392" i="1"/>
  <c r="C3392" i="1"/>
  <c r="I3392" i="1"/>
  <c r="B3393" i="1"/>
  <c r="C3393" i="1"/>
  <c r="I3393" i="1"/>
  <c r="B3394" i="1"/>
  <c r="C3394" i="1"/>
  <c r="I3394" i="1"/>
  <c r="B3395" i="1"/>
  <c r="C3395" i="1"/>
  <c r="I3395" i="1"/>
  <c r="B3396" i="1"/>
  <c r="C3396" i="1"/>
  <c r="I3396" i="1"/>
  <c r="B3397" i="1"/>
  <c r="C3397" i="1"/>
  <c r="I3397" i="1"/>
  <c r="B3398" i="1"/>
  <c r="C3398" i="1"/>
  <c r="I3398" i="1"/>
  <c r="B3399" i="1"/>
  <c r="C3399" i="1"/>
  <c r="I3399" i="1"/>
  <c r="B3400" i="1"/>
  <c r="C3400" i="1"/>
  <c r="I3400" i="1"/>
  <c r="B3401" i="1"/>
  <c r="C3401" i="1"/>
  <c r="I3401" i="1"/>
  <c r="B3402" i="1"/>
  <c r="C3402" i="1"/>
  <c r="I3402" i="1"/>
  <c r="B3403" i="1"/>
  <c r="C3403" i="1"/>
  <c r="I3403" i="1"/>
  <c r="B3404" i="1"/>
  <c r="C3404" i="1"/>
  <c r="I3404" i="1"/>
  <c r="B3405" i="1"/>
  <c r="C3405" i="1"/>
  <c r="I3405" i="1"/>
  <c r="B3406" i="1"/>
  <c r="C3406" i="1"/>
  <c r="I3406" i="1"/>
  <c r="B3407" i="1"/>
  <c r="C3407" i="1"/>
  <c r="I3407" i="1"/>
  <c r="B3408" i="1"/>
  <c r="C3408" i="1"/>
  <c r="I3408" i="1"/>
  <c r="B3409" i="1"/>
  <c r="C3409" i="1"/>
  <c r="I3409" i="1"/>
  <c r="B3410" i="1"/>
  <c r="C3410" i="1"/>
  <c r="I3410" i="1"/>
  <c r="B3411" i="1"/>
  <c r="C3411" i="1"/>
  <c r="I3411" i="1"/>
  <c r="B3412" i="1"/>
  <c r="C3412" i="1"/>
  <c r="I3412" i="1"/>
  <c r="B3413" i="1"/>
  <c r="C3413" i="1"/>
  <c r="I3413" i="1"/>
  <c r="B3414" i="1"/>
  <c r="C3414" i="1"/>
  <c r="I3414" i="1"/>
  <c r="B3415" i="1"/>
  <c r="C3415" i="1"/>
  <c r="I3415" i="1"/>
  <c r="B3416" i="1"/>
  <c r="C3416" i="1"/>
  <c r="I3416" i="1"/>
  <c r="B3417" i="1"/>
  <c r="C3417" i="1"/>
  <c r="I3417" i="1"/>
  <c r="B3418" i="1"/>
  <c r="C3418" i="1"/>
  <c r="I3418" i="1"/>
  <c r="B3419" i="1"/>
  <c r="C3419" i="1"/>
  <c r="I3419" i="1"/>
  <c r="B3420" i="1"/>
  <c r="C3420" i="1"/>
  <c r="I3420" i="1"/>
  <c r="B3421" i="1"/>
  <c r="C3421" i="1"/>
  <c r="I3421" i="1"/>
  <c r="B3422" i="1"/>
  <c r="C3422" i="1"/>
  <c r="I3422" i="1"/>
  <c r="B3423" i="1"/>
  <c r="C3423" i="1"/>
  <c r="I3423" i="1"/>
  <c r="B3424" i="1"/>
  <c r="C3424" i="1"/>
  <c r="I3424" i="1"/>
  <c r="B3425" i="1"/>
  <c r="C3425" i="1"/>
  <c r="I3425" i="1"/>
  <c r="B3426" i="1"/>
  <c r="C3426" i="1"/>
  <c r="I3426" i="1"/>
  <c r="B3427" i="1"/>
  <c r="C3427" i="1"/>
  <c r="I3427" i="1"/>
  <c r="B3428" i="1"/>
  <c r="C3428" i="1"/>
  <c r="I3428" i="1"/>
  <c r="B3429" i="1"/>
  <c r="C3429" i="1"/>
  <c r="I3429" i="1"/>
  <c r="B3430" i="1"/>
  <c r="C3430" i="1"/>
  <c r="I3430" i="1"/>
  <c r="B3431" i="1"/>
  <c r="C3431" i="1"/>
  <c r="I3431" i="1"/>
  <c r="B3432" i="1"/>
  <c r="C3432" i="1"/>
  <c r="I3432" i="1"/>
  <c r="B3433" i="1"/>
  <c r="C3433" i="1"/>
  <c r="I3433" i="1"/>
  <c r="B3434" i="1"/>
  <c r="C3434" i="1"/>
  <c r="I3434" i="1"/>
  <c r="B3435" i="1"/>
  <c r="C3435" i="1"/>
  <c r="I3435" i="1"/>
  <c r="B3436" i="1"/>
  <c r="C3436" i="1"/>
  <c r="I3436" i="1"/>
  <c r="B3437" i="1"/>
  <c r="C3437" i="1"/>
  <c r="I3437" i="1"/>
  <c r="B3438" i="1"/>
  <c r="C3438" i="1"/>
  <c r="I3438" i="1"/>
  <c r="B3439" i="1"/>
  <c r="C3439" i="1"/>
  <c r="I3439" i="1"/>
  <c r="B3440" i="1"/>
  <c r="C3440" i="1"/>
  <c r="I3440" i="1"/>
  <c r="B3441" i="1"/>
  <c r="C3441" i="1"/>
  <c r="I3441" i="1"/>
  <c r="B3442" i="1"/>
  <c r="C3442" i="1"/>
  <c r="I3442" i="1"/>
  <c r="B3443" i="1"/>
  <c r="C3443" i="1"/>
  <c r="I3443" i="1"/>
  <c r="B3444" i="1"/>
  <c r="C3444" i="1"/>
  <c r="I3444" i="1"/>
  <c r="B3445" i="1"/>
  <c r="C3445" i="1"/>
  <c r="I3445" i="1"/>
  <c r="B3446" i="1"/>
  <c r="C3446" i="1"/>
  <c r="I3446" i="1"/>
  <c r="B3447" i="1"/>
  <c r="C3447" i="1"/>
  <c r="I3447" i="1"/>
  <c r="B3448" i="1"/>
  <c r="C3448" i="1"/>
  <c r="I3448" i="1"/>
  <c r="B3449" i="1"/>
  <c r="C3449" i="1"/>
  <c r="I3449" i="1"/>
  <c r="B3450" i="1"/>
  <c r="C3450" i="1"/>
  <c r="I3450" i="1"/>
  <c r="B3451" i="1"/>
  <c r="C3451" i="1"/>
  <c r="I3451" i="1"/>
  <c r="B3452" i="1"/>
  <c r="C3452" i="1"/>
  <c r="I3452" i="1"/>
  <c r="B3453" i="1"/>
  <c r="C3453" i="1"/>
  <c r="I3453" i="1"/>
  <c r="B3454" i="1"/>
  <c r="C3454" i="1"/>
  <c r="I3454" i="1"/>
  <c r="B3455" i="1"/>
  <c r="C3455" i="1"/>
  <c r="I3455" i="1"/>
  <c r="B3456" i="1"/>
  <c r="C3456" i="1"/>
  <c r="I3456" i="1"/>
  <c r="B3457" i="1"/>
  <c r="C3457" i="1"/>
  <c r="I3457" i="1"/>
  <c r="B3458" i="1"/>
  <c r="C3458" i="1"/>
  <c r="I3458" i="1"/>
  <c r="B3459" i="1"/>
  <c r="C3459" i="1"/>
  <c r="I3459" i="1"/>
  <c r="B3460" i="1"/>
  <c r="C3460" i="1"/>
  <c r="I3460" i="1"/>
  <c r="B3461" i="1"/>
  <c r="C3461" i="1"/>
  <c r="I3461" i="1"/>
  <c r="B3462" i="1"/>
  <c r="C3462" i="1"/>
  <c r="I3462" i="1"/>
  <c r="B3463" i="1"/>
  <c r="C3463" i="1"/>
  <c r="I3463" i="1"/>
  <c r="B3464" i="1"/>
  <c r="C3464" i="1"/>
  <c r="I3464" i="1"/>
  <c r="B3465" i="1"/>
  <c r="C3465" i="1"/>
  <c r="I3465" i="1"/>
  <c r="B3466" i="1"/>
  <c r="C3466" i="1"/>
  <c r="I3466" i="1"/>
  <c r="B3467" i="1"/>
  <c r="C3467" i="1"/>
  <c r="I3467" i="1"/>
  <c r="B3468" i="1"/>
  <c r="C3468" i="1"/>
  <c r="I3468" i="1"/>
  <c r="B3469" i="1"/>
  <c r="C3469" i="1"/>
  <c r="I3469" i="1"/>
  <c r="B3470" i="1"/>
  <c r="C3470" i="1"/>
  <c r="I3470" i="1"/>
  <c r="B3471" i="1"/>
  <c r="C3471" i="1"/>
  <c r="I3471" i="1"/>
  <c r="B3472" i="1"/>
  <c r="C3472" i="1"/>
  <c r="I3472" i="1"/>
  <c r="B3473" i="1"/>
  <c r="C3473" i="1"/>
  <c r="I3473" i="1"/>
  <c r="B3474" i="1"/>
  <c r="C3474" i="1"/>
  <c r="I3474" i="1"/>
  <c r="B3475" i="1"/>
  <c r="C3475" i="1"/>
  <c r="I3475" i="1"/>
  <c r="B3476" i="1"/>
  <c r="C3476" i="1"/>
  <c r="I3476" i="1"/>
  <c r="B3477" i="1"/>
  <c r="C3477" i="1"/>
  <c r="I3477" i="1"/>
  <c r="B3478" i="1"/>
  <c r="C3478" i="1"/>
  <c r="I3478" i="1"/>
  <c r="B3479" i="1"/>
  <c r="C3479" i="1"/>
  <c r="I3479" i="1"/>
  <c r="B3480" i="1"/>
  <c r="C3480" i="1"/>
  <c r="I3480" i="1"/>
  <c r="B3481" i="1"/>
  <c r="C3481" i="1"/>
  <c r="I3481" i="1"/>
  <c r="B3482" i="1"/>
  <c r="C3482" i="1"/>
  <c r="I3482" i="1"/>
  <c r="B3483" i="1"/>
  <c r="C3483" i="1"/>
  <c r="I3483" i="1"/>
  <c r="B3484" i="1"/>
  <c r="C3484" i="1"/>
  <c r="I3484" i="1"/>
  <c r="B3485" i="1"/>
  <c r="C3485" i="1"/>
  <c r="I3485" i="1"/>
  <c r="B3486" i="1"/>
  <c r="C3486" i="1"/>
  <c r="I3486" i="1"/>
  <c r="B3487" i="1"/>
  <c r="C3487" i="1"/>
  <c r="I3487" i="1"/>
  <c r="B3488" i="1"/>
  <c r="C3488" i="1"/>
  <c r="I3488" i="1"/>
  <c r="B3489" i="1"/>
  <c r="C3489" i="1"/>
  <c r="I3489" i="1"/>
  <c r="B3490" i="1"/>
  <c r="C3490" i="1"/>
  <c r="I3490" i="1"/>
  <c r="B3491" i="1"/>
  <c r="C3491" i="1"/>
  <c r="I3491" i="1"/>
  <c r="B3492" i="1"/>
  <c r="C3492" i="1"/>
  <c r="I3492" i="1"/>
  <c r="B3493" i="1"/>
  <c r="C3493" i="1"/>
  <c r="I3493" i="1"/>
  <c r="B3494" i="1"/>
  <c r="C3494" i="1"/>
  <c r="I3494" i="1"/>
  <c r="B3495" i="1"/>
  <c r="C3495" i="1"/>
  <c r="I3495" i="1"/>
  <c r="B3496" i="1"/>
  <c r="C3496" i="1"/>
  <c r="I3496" i="1"/>
  <c r="B3497" i="1"/>
  <c r="C3497" i="1"/>
  <c r="I3497" i="1"/>
  <c r="B3498" i="1"/>
  <c r="C3498" i="1"/>
  <c r="I3498" i="1"/>
  <c r="B3499" i="1"/>
  <c r="C3499" i="1"/>
  <c r="I3499" i="1"/>
  <c r="B3500" i="1"/>
  <c r="C3500" i="1"/>
  <c r="I3500" i="1"/>
  <c r="B3501" i="1"/>
  <c r="C3501" i="1"/>
  <c r="I3501" i="1"/>
  <c r="B3502" i="1"/>
  <c r="C3502" i="1"/>
  <c r="I3502" i="1"/>
  <c r="B3503" i="1"/>
  <c r="C3503" i="1"/>
  <c r="I3503" i="1"/>
  <c r="B3504" i="1"/>
  <c r="C3504" i="1"/>
  <c r="I3504" i="1"/>
  <c r="B3505" i="1"/>
  <c r="C3505" i="1"/>
  <c r="I3505" i="1"/>
  <c r="B3506" i="1"/>
  <c r="C3506" i="1"/>
  <c r="I3506" i="1"/>
  <c r="B3507" i="1"/>
  <c r="C3507" i="1"/>
  <c r="I3507" i="1"/>
  <c r="B3508" i="1"/>
  <c r="C3508" i="1"/>
  <c r="I3508" i="1"/>
  <c r="B3509" i="1"/>
  <c r="C3509" i="1"/>
  <c r="I3509" i="1"/>
  <c r="B3510" i="1"/>
  <c r="C3510" i="1"/>
  <c r="I3510" i="1"/>
  <c r="B3511" i="1"/>
  <c r="C3511" i="1"/>
  <c r="I3511" i="1"/>
  <c r="B3512" i="1"/>
  <c r="C3512" i="1"/>
  <c r="I3512" i="1"/>
  <c r="B3513" i="1"/>
  <c r="C3513" i="1"/>
  <c r="I3513" i="1"/>
  <c r="B3514" i="1"/>
  <c r="C3514" i="1"/>
  <c r="I3514" i="1"/>
  <c r="B3515" i="1"/>
  <c r="C3515" i="1"/>
  <c r="I3515" i="1"/>
  <c r="B3516" i="1"/>
  <c r="C3516" i="1"/>
  <c r="I3516" i="1"/>
  <c r="B3517" i="1"/>
  <c r="C3517" i="1"/>
  <c r="I3517" i="1"/>
  <c r="B3518" i="1"/>
  <c r="C3518" i="1"/>
  <c r="I3518" i="1"/>
  <c r="B3519" i="1"/>
  <c r="C3519" i="1"/>
  <c r="I3519" i="1"/>
  <c r="B3520" i="1"/>
  <c r="C3520" i="1"/>
  <c r="I3520" i="1"/>
  <c r="B3521" i="1"/>
  <c r="C3521" i="1"/>
  <c r="I3521" i="1"/>
  <c r="B3522" i="1"/>
  <c r="C3522" i="1"/>
  <c r="I3522" i="1"/>
  <c r="B3523" i="1"/>
  <c r="C3523" i="1"/>
  <c r="I3523" i="1"/>
  <c r="B3524" i="1"/>
  <c r="C3524" i="1"/>
  <c r="I3524" i="1"/>
  <c r="B3525" i="1"/>
  <c r="C3525" i="1"/>
  <c r="I3525" i="1"/>
  <c r="B3526" i="1"/>
  <c r="C3526" i="1"/>
  <c r="I3526" i="1"/>
  <c r="B3527" i="1"/>
  <c r="C3527" i="1"/>
  <c r="I3527" i="1"/>
  <c r="B3528" i="1"/>
  <c r="C3528" i="1"/>
  <c r="I3528" i="1"/>
  <c r="B3529" i="1"/>
  <c r="C3529" i="1"/>
  <c r="I3529" i="1"/>
  <c r="B3530" i="1"/>
  <c r="C3530" i="1"/>
  <c r="I3530" i="1"/>
  <c r="B3531" i="1"/>
  <c r="C3531" i="1"/>
  <c r="I3531" i="1"/>
  <c r="B3532" i="1"/>
  <c r="C3532" i="1"/>
  <c r="I3532" i="1"/>
  <c r="B3533" i="1"/>
  <c r="C3533" i="1"/>
  <c r="I3533" i="1"/>
  <c r="B3534" i="1"/>
  <c r="C3534" i="1"/>
  <c r="I3534" i="1"/>
  <c r="B3535" i="1"/>
  <c r="C3535" i="1"/>
  <c r="I3535" i="1"/>
  <c r="B3536" i="1"/>
  <c r="C3536" i="1"/>
  <c r="I3536" i="1"/>
  <c r="B3537" i="1"/>
  <c r="C3537" i="1"/>
  <c r="I3537" i="1"/>
  <c r="B3538" i="1"/>
  <c r="C3538" i="1"/>
  <c r="I3538" i="1"/>
  <c r="B3539" i="1"/>
  <c r="C3539" i="1"/>
  <c r="I3539" i="1"/>
  <c r="B3540" i="1"/>
  <c r="C3540" i="1"/>
  <c r="I3540" i="1"/>
  <c r="B3541" i="1"/>
  <c r="C3541" i="1"/>
  <c r="I3541" i="1"/>
  <c r="B3542" i="1"/>
  <c r="C3542" i="1"/>
  <c r="I3542" i="1"/>
  <c r="B3543" i="1"/>
  <c r="C3543" i="1"/>
  <c r="I3543" i="1"/>
  <c r="B3544" i="1"/>
  <c r="C3544" i="1"/>
  <c r="I3544" i="1"/>
  <c r="B3545" i="1"/>
  <c r="C3545" i="1"/>
  <c r="I3545" i="1"/>
  <c r="B3546" i="1"/>
  <c r="C3546" i="1"/>
  <c r="I3546" i="1"/>
  <c r="B3547" i="1"/>
  <c r="C3547" i="1"/>
  <c r="I3547" i="1"/>
  <c r="B3548" i="1"/>
  <c r="C3548" i="1"/>
  <c r="I3548" i="1"/>
  <c r="B3549" i="1"/>
  <c r="C3549" i="1"/>
  <c r="I3549" i="1"/>
  <c r="B3550" i="1"/>
  <c r="C3550" i="1"/>
  <c r="I3550" i="1"/>
  <c r="B3551" i="1"/>
  <c r="C3551" i="1"/>
  <c r="I3551" i="1"/>
  <c r="B3552" i="1"/>
  <c r="C3552" i="1"/>
  <c r="I3552" i="1"/>
  <c r="B3553" i="1"/>
  <c r="C3553" i="1"/>
  <c r="I3553" i="1"/>
  <c r="B3554" i="1"/>
  <c r="C3554" i="1"/>
  <c r="I3554" i="1"/>
  <c r="B3555" i="1"/>
  <c r="C3555" i="1"/>
  <c r="I3555" i="1"/>
  <c r="B3556" i="1"/>
  <c r="C3556" i="1"/>
  <c r="I3556" i="1"/>
  <c r="B3557" i="1"/>
  <c r="C3557" i="1"/>
  <c r="I3557" i="1"/>
  <c r="B3558" i="1"/>
  <c r="C3558" i="1"/>
  <c r="I3558" i="1"/>
  <c r="B3559" i="1"/>
  <c r="C3559" i="1"/>
  <c r="I3559" i="1"/>
  <c r="B3560" i="1"/>
  <c r="C3560" i="1"/>
  <c r="I3560" i="1"/>
  <c r="B3561" i="1"/>
  <c r="C3561" i="1"/>
  <c r="I3561" i="1"/>
  <c r="B3562" i="1"/>
  <c r="C3562" i="1"/>
  <c r="I3562" i="1"/>
  <c r="B3563" i="1"/>
  <c r="C3563" i="1"/>
  <c r="I3563" i="1"/>
  <c r="B3564" i="1"/>
  <c r="C3564" i="1"/>
  <c r="I3564" i="1"/>
  <c r="B3565" i="1"/>
  <c r="C3565" i="1"/>
  <c r="I3565" i="1"/>
  <c r="B3566" i="1"/>
  <c r="C3566" i="1"/>
  <c r="I3566" i="1"/>
  <c r="B3567" i="1"/>
  <c r="C3567" i="1"/>
  <c r="I3567" i="1"/>
  <c r="B3568" i="1"/>
  <c r="C3568" i="1"/>
  <c r="I3568" i="1"/>
  <c r="B3569" i="1"/>
  <c r="C3569" i="1"/>
  <c r="I3569" i="1"/>
  <c r="B3570" i="1"/>
  <c r="C3570" i="1"/>
  <c r="I3570" i="1"/>
  <c r="B3571" i="1"/>
  <c r="C3571" i="1"/>
  <c r="I3571" i="1"/>
  <c r="B3572" i="1"/>
  <c r="C3572" i="1"/>
  <c r="I3572" i="1"/>
  <c r="B3573" i="1"/>
  <c r="C3573" i="1"/>
  <c r="I3573" i="1"/>
  <c r="B3574" i="1"/>
  <c r="C3574" i="1"/>
  <c r="I3574" i="1"/>
  <c r="B3575" i="1"/>
  <c r="C3575" i="1"/>
  <c r="I3575" i="1"/>
  <c r="B3576" i="1"/>
  <c r="C3576" i="1"/>
  <c r="I3576" i="1"/>
  <c r="B3577" i="1"/>
  <c r="C3577" i="1"/>
  <c r="I3577" i="1"/>
  <c r="B3578" i="1"/>
  <c r="C3578" i="1"/>
  <c r="I3578" i="1"/>
  <c r="B3579" i="1"/>
  <c r="C3579" i="1"/>
  <c r="I3579" i="1"/>
  <c r="B3580" i="1"/>
  <c r="C3580" i="1"/>
  <c r="I3580" i="1"/>
  <c r="B3581" i="1"/>
  <c r="C3581" i="1"/>
  <c r="I3581" i="1"/>
  <c r="B3582" i="1"/>
  <c r="C3582" i="1"/>
  <c r="I3582" i="1"/>
  <c r="B3583" i="1"/>
  <c r="C3583" i="1"/>
  <c r="I3583" i="1"/>
  <c r="B3584" i="1"/>
  <c r="C3584" i="1"/>
  <c r="I3584" i="1"/>
  <c r="B3585" i="1"/>
  <c r="C3585" i="1"/>
  <c r="I3585" i="1"/>
  <c r="B3586" i="1"/>
  <c r="C3586" i="1"/>
  <c r="I3586" i="1"/>
  <c r="B3587" i="1"/>
  <c r="C3587" i="1"/>
  <c r="I3587" i="1"/>
  <c r="B3588" i="1"/>
  <c r="C3588" i="1"/>
  <c r="I3588" i="1"/>
  <c r="B3589" i="1"/>
  <c r="C3589" i="1"/>
  <c r="I3589" i="1"/>
  <c r="B3590" i="1"/>
  <c r="C3590" i="1"/>
  <c r="I3590" i="1"/>
  <c r="B3591" i="1"/>
  <c r="C3591" i="1"/>
  <c r="I3591" i="1"/>
  <c r="B3592" i="1"/>
  <c r="C3592" i="1"/>
  <c r="I3592" i="1"/>
  <c r="B3593" i="1"/>
  <c r="C3593" i="1"/>
  <c r="I3593" i="1"/>
  <c r="B3594" i="1"/>
  <c r="C3594" i="1"/>
  <c r="I3594" i="1"/>
  <c r="B3595" i="1"/>
  <c r="C3595" i="1"/>
  <c r="I3595" i="1"/>
  <c r="B3596" i="1"/>
  <c r="C3596" i="1"/>
  <c r="I3596" i="1"/>
  <c r="B3597" i="1"/>
  <c r="C3597" i="1"/>
  <c r="I3597" i="1"/>
  <c r="B3598" i="1"/>
  <c r="C3598" i="1"/>
  <c r="I3598" i="1"/>
  <c r="B3599" i="1"/>
  <c r="C3599" i="1"/>
  <c r="I3599" i="1"/>
  <c r="B3600" i="1"/>
  <c r="C3600" i="1"/>
  <c r="I3600" i="1"/>
  <c r="B3601" i="1"/>
  <c r="C3601" i="1"/>
  <c r="I3601" i="1"/>
  <c r="B3602" i="1"/>
  <c r="C3602" i="1"/>
  <c r="I3602" i="1"/>
  <c r="B3603" i="1"/>
  <c r="C3603" i="1"/>
  <c r="I3603" i="1"/>
  <c r="B3604" i="1"/>
  <c r="C3604" i="1"/>
  <c r="I3604" i="1"/>
  <c r="B3605" i="1"/>
  <c r="C3605" i="1"/>
  <c r="I3605" i="1"/>
  <c r="B3606" i="1"/>
  <c r="C3606" i="1"/>
  <c r="I3606" i="1"/>
  <c r="B3607" i="1"/>
  <c r="C3607" i="1"/>
  <c r="I3607" i="1"/>
  <c r="B3608" i="1"/>
  <c r="C3608" i="1"/>
  <c r="I3608" i="1"/>
  <c r="B3609" i="1"/>
  <c r="C3609" i="1"/>
  <c r="I3609" i="1"/>
  <c r="B3610" i="1"/>
  <c r="C3610" i="1"/>
  <c r="I3610" i="1"/>
  <c r="B3611" i="1"/>
  <c r="C3611" i="1"/>
  <c r="I3611" i="1"/>
  <c r="B3612" i="1"/>
  <c r="C3612" i="1"/>
  <c r="I3612" i="1"/>
  <c r="B3613" i="1"/>
  <c r="C3613" i="1"/>
  <c r="I3613" i="1"/>
  <c r="B3614" i="1"/>
  <c r="C3614" i="1"/>
  <c r="I3614" i="1"/>
  <c r="B3615" i="1"/>
  <c r="C3615" i="1"/>
  <c r="I3615" i="1"/>
  <c r="B3616" i="1"/>
  <c r="C3616" i="1"/>
  <c r="I3616" i="1"/>
  <c r="B3617" i="1"/>
  <c r="C3617" i="1"/>
  <c r="I3617" i="1"/>
  <c r="B3618" i="1"/>
  <c r="C3618" i="1"/>
  <c r="I3618" i="1"/>
  <c r="B3619" i="1"/>
  <c r="C3619" i="1"/>
  <c r="I3619" i="1"/>
  <c r="B3620" i="1"/>
  <c r="C3620" i="1"/>
  <c r="I3620" i="1"/>
  <c r="B3621" i="1"/>
  <c r="C3621" i="1"/>
  <c r="I3621" i="1"/>
  <c r="B3622" i="1"/>
  <c r="C3622" i="1"/>
  <c r="I3622" i="1"/>
  <c r="B3623" i="1"/>
  <c r="C3623" i="1"/>
  <c r="I3623" i="1"/>
  <c r="B3624" i="1"/>
  <c r="C3624" i="1"/>
  <c r="I3624" i="1"/>
  <c r="B3625" i="1"/>
  <c r="C3625" i="1"/>
  <c r="I3625" i="1"/>
  <c r="B3626" i="1"/>
  <c r="C3626" i="1"/>
  <c r="I3626" i="1"/>
  <c r="B3627" i="1"/>
  <c r="C3627" i="1"/>
  <c r="I3627" i="1"/>
  <c r="B3628" i="1"/>
  <c r="C3628" i="1"/>
  <c r="I3628" i="1"/>
  <c r="B3629" i="1"/>
  <c r="C3629" i="1"/>
  <c r="I3629" i="1"/>
  <c r="B3630" i="1"/>
  <c r="C3630" i="1"/>
  <c r="I3630" i="1"/>
  <c r="B3631" i="1"/>
  <c r="C3631" i="1"/>
  <c r="I3631" i="1"/>
  <c r="B3632" i="1"/>
  <c r="C3632" i="1"/>
  <c r="I3632" i="1"/>
  <c r="B3633" i="1"/>
  <c r="C3633" i="1"/>
  <c r="I3633" i="1"/>
  <c r="B3634" i="1"/>
  <c r="C3634" i="1"/>
  <c r="I3634" i="1"/>
  <c r="B3635" i="1"/>
  <c r="C3635" i="1"/>
  <c r="I3635" i="1"/>
  <c r="B3636" i="1"/>
  <c r="C3636" i="1"/>
  <c r="I3636" i="1"/>
  <c r="B3637" i="1"/>
  <c r="C3637" i="1"/>
  <c r="I3637" i="1"/>
  <c r="B3638" i="1"/>
  <c r="C3638" i="1"/>
  <c r="I3638" i="1"/>
  <c r="B3639" i="1"/>
  <c r="C3639" i="1"/>
  <c r="I3639" i="1"/>
  <c r="B3640" i="1"/>
  <c r="C3640" i="1"/>
  <c r="I3640" i="1"/>
  <c r="B3641" i="1"/>
  <c r="C3641" i="1"/>
  <c r="I3641" i="1"/>
  <c r="B3642" i="1"/>
  <c r="C3642" i="1"/>
  <c r="I3642" i="1"/>
  <c r="B3643" i="1"/>
  <c r="C3643" i="1"/>
  <c r="I3643" i="1"/>
  <c r="B3644" i="1"/>
  <c r="C3644" i="1"/>
  <c r="I3644" i="1"/>
  <c r="B3645" i="1"/>
  <c r="C3645" i="1"/>
  <c r="I3645" i="1"/>
  <c r="B3646" i="1"/>
  <c r="C3646" i="1"/>
  <c r="I3646" i="1"/>
  <c r="B3647" i="1"/>
  <c r="C3647" i="1"/>
  <c r="I3647" i="1"/>
  <c r="B3648" i="1"/>
  <c r="C3648" i="1"/>
  <c r="I3648" i="1"/>
  <c r="B3649" i="1"/>
  <c r="C3649" i="1"/>
  <c r="I3649" i="1"/>
  <c r="B3650" i="1"/>
  <c r="C3650" i="1"/>
  <c r="I3650" i="1"/>
  <c r="B3651" i="1"/>
  <c r="C3651" i="1"/>
  <c r="I3651" i="1"/>
  <c r="B3652" i="1"/>
  <c r="C3652" i="1"/>
  <c r="I3652" i="1"/>
  <c r="B3653" i="1"/>
  <c r="C3653" i="1"/>
  <c r="I3653" i="1"/>
  <c r="B3654" i="1"/>
  <c r="C3654" i="1"/>
  <c r="I3654" i="1"/>
  <c r="B3655" i="1"/>
  <c r="C3655" i="1"/>
  <c r="I3655" i="1"/>
  <c r="B3656" i="1"/>
  <c r="C3656" i="1"/>
  <c r="I3656" i="1"/>
  <c r="B3657" i="1"/>
  <c r="C3657" i="1"/>
  <c r="I3657" i="1"/>
  <c r="B3658" i="1"/>
  <c r="C3658" i="1"/>
  <c r="I3658" i="1"/>
  <c r="B3659" i="1"/>
  <c r="C3659" i="1"/>
  <c r="I3659" i="1"/>
  <c r="B3660" i="1"/>
  <c r="C3660" i="1"/>
  <c r="I3660" i="1"/>
  <c r="B3661" i="1"/>
  <c r="C3661" i="1"/>
  <c r="I3661" i="1"/>
  <c r="B3662" i="1"/>
  <c r="C3662" i="1"/>
  <c r="I3662" i="1"/>
  <c r="B3663" i="1"/>
  <c r="C3663" i="1"/>
  <c r="I3663" i="1"/>
  <c r="B3664" i="1"/>
  <c r="C3664" i="1"/>
  <c r="I3664" i="1"/>
  <c r="B3665" i="1"/>
  <c r="C3665" i="1"/>
  <c r="I3665" i="1"/>
  <c r="B3666" i="1"/>
  <c r="C3666" i="1"/>
  <c r="I3666" i="1"/>
  <c r="B3667" i="1"/>
  <c r="C3667" i="1"/>
  <c r="I3667" i="1"/>
  <c r="B3668" i="1"/>
  <c r="C3668" i="1"/>
  <c r="I3668" i="1"/>
  <c r="B3669" i="1"/>
  <c r="C3669" i="1"/>
  <c r="I3669" i="1"/>
  <c r="B3670" i="1"/>
  <c r="C3670" i="1"/>
  <c r="I3670" i="1"/>
  <c r="B3671" i="1"/>
  <c r="C3671" i="1"/>
  <c r="I3671" i="1"/>
  <c r="B3672" i="1"/>
  <c r="C3672" i="1"/>
  <c r="I3672" i="1"/>
  <c r="B3673" i="1"/>
  <c r="C3673" i="1"/>
  <c r="I3673" i="1"/>
  <c r="B3674" i="1"/>
  <c r="C3674" i="1"/>
  <c r="I3674" i="1"/>
  <c r="B3675" i="1"/>
  <c r="C3675" i="1"/>
  <c r="I3675" i="1"/>
  <c r="B3676" i="1"/>
  <c r="C3676" i="1"/>
  <c r="I3676" i="1"/>
  <c r="B3677" i="1"/>
  <c r="C3677" i="1"/>
  <c r="I3677" i="1"/>
  <c r="B3678" i="1"/>
  <c r="C3678" i="1"/>
  <c r="I3678" i="1"/>
  <c r="B3679" i="1"/>
  <c r="C3679" i="1"/>
  <c r="I3679" i="1"/>
  <c r="B3680" i="1"/>
  <c r="C3680" i="1"/>
  <c r="I3680" i="1"/>
  <c r="B3681" i="1"/>
  <c r="C3681" i="1"/>
  <c r="I3681" i="1"/>
  <c r="B3682" i="1"/>
  <c r="C3682" i="1"/>
  <c r="I3682" i="1"/>
  <c r="B3683" i="1"/>
  <c r="C3683" i="1"/>
  <c r="I3683" i="1"/>
  <c r="B3684" i="1"/>
  <c r="C3684" i="1"/>
  <c r="I3684" i="1"/>
  <c r="B3685" i="1"/>
  <c r="C3685" i="1"/>
  <c r="I3685" i="1"/>
  <c r="B3686" i="1"/>
  <c r="C3686" i="1"/>
  <c r="I3686" i="1"/>
  <c r="B3687" i="1"/>
  <c r="C3687" i="1"/>
  <c r="I3687" i="1"/>
  <c r="B3688" i="1"/>
  <c r="C3688" i="1"/>
  <c r="I3688" i="1"/>
  <c r="B3689" i="1"/>
  <c r="C3689" i="1"/>
  <c r="I3689" i="1"/>
  <c r="B3690" i="1"/>
  <c r="C3690" i="1"/>
  <c r="I3690" i="1"/>
  <c r="B3691" i="1"/>
  <c r="C3691" i="1"/>
  <c r="I3691" i="1"/>
  <c r="B3692" i="1"/>
  <c r="C3692" i="1"/>
  <c r="I3692" i="1"/>
  <c r="B3693" i="1"/>
  <c r="C3693" i="1"/>
  <c r="I3693" i="1"/>
  <c r="B3694" i="1"/>
  <c r="C3694" i="1"/>
  <c r="I3694" i="1"/>
  <c r="B3695" i="1"/>
  <c r="C3695" i="1"/>
  <c r="I3695" i="1"/>
  <c r="B3696" i="1"/>
  <c r="C3696" i="1"/>
  <c r="I3696" i="1"/>
  <c r="B3697" i="1"/>
  <c r="C3697" i="1"/>
  <c r="I3697" i="1"/>
  <c r="B3698" i="1"/>
  <c r="C3698" i="1"/>
  <c r="I3698" i="1"/>
  <c r="B3699" i="1"/>
  <c r="C3699" i="1"/>
  <c r="I3699" i="1"/>
  <c r="B3700" i="1"/>
  <c r="C3700" i="1"/>
  <c r="I3700" i="1"/>
  <c r="B3701" i="1"/>
  <c r="C3701" i="1"/>
  <c r="I3701" i="1"/>
  <c r="B3702" i="1"/>
  <c r="C3702" i="1"/>
  <c r="I3702" i="1"/>
  <c r="B3703" i="1"/>
  <c r="C3703" i="1"/>
  <c r="I3703" i="1"/>
  <c r="B3704" i="1"/>
  <c r="C3704" i="1"/>
  <c r="I3704" i="1"/>
  <c r="B3705" i="1"/>
  <c r="C3705" i="1"/>
  <c r="I3705" i="1"/>
  <c r="B3706" i="1"/>
  <c r="C3706" i="1"/>
  <c r="I3706" i="1"/>
  <c r="B3707" i="1"/>
  <c r="C3707" i="1"/>
  <c r="I3707" i="1"/>
  <c r="B3708" i="1"/>
  <c r="C3708" i="1"/>
  <c r="I3708" i="1"/>
  <c r="B3709" i="1"/>
  <c r="C3709" i="1"/>
  <c r="I3709" i="1"/>
  <c r="B3710" i="1"/>
  <c r="C3710" i="1"/>
  <c r="I3710" i="1"/>
  <c r="B3711" i="1"/>
  <c r="C3711" i="1"/>
  <c r="I3711" i="1"/>
  <c r="B3712" i="1"/>
  <c r="C3712" i="1"/>
  <c r="I3712" i="1"/>
  <c r="B3713" i="1"/>
  <c r="C3713" i="1"/>
  <c r="I3713" i="1"/>
  <c r="B3714" i="1"/>
  <c r="C3714" i="1"/>
  <c r="I3714" i="1"/>
  <c r="B3715" i="1"/>
  <c r="C3715" i="1"/>
  <c r="I3715" i="1"/>
  <c r="B3716" i="1"/>
  <c r="C3716" i="1"/>
  <c r="I3716" i="1"/>
  <c r="B3717" i="1"/>
  <c r="C3717" i="1"/>
  <c r="I3717" i="1"/>
  <c r="B3718" i="1"/>
  <c r="C3718" i="1"/>
  <c r="I3718" i="1"/>
  <c r="B3719" i="1"/>
  <c r="C3719" i="1"/>
  <c r="I3719" i="1"/>
  <c r="B3720" i="1"/>
  <c r="C3720" i="1"/>
  <c r="I3720" i="1"/>
  <c r="B3721" i="1"/>
  <c r="C3721" i="1"/>
  <c r="I3721" i="1"/>
  <c r="B3722" i="1"/>
  <c r="C3722" i="1"/>
  <c r="I3722" i="1"/>
  <c r="B3723" i="1"/>
  <c r="C3723" i="1"/>
  <c r="I3723" i="1"/>
  <c r="B3724" i="1"/>
  <c r="C3724" i="1"/>
  <c r="I3724" i="1"/>
  <c r="B3725" i="1"/>
  <c r="C3725" i="1"/>
  <c r="I3725" i="1"/>
  <c r="B3726" i="1"/>
  <c r="C3726" i="1"/>
  <c r="I3726" i="1"/>
  <c r="B3727" i="1"/>
  <c r="C3727" i="1"/>
  <c r="I3727" i="1"/>
  <c r="B3728" i="1"/>
  <c r="C3728" i="1"/>
  <c r="I3728" i="1"/>
  <c r="B3729" i="1"/>
  <c r="C3729" i="1"/>
  <c r="I3729" i="1"/>
  <c r="B3730" i="1"/>
  <c r="C3730" i="1"/>
  <c r="I3730" i="1"/>
  <c r="B3731" i="1"/>
  <c r="C3731" i="1"/>
  <c r="I3731" i="1"/>
  <c r="B3732" i="1"/>
  <c r="C3732" i="1"/>
  <c r="I3732" i="1"/>
  <c r="B3733" i="1"/>
  <c r="C3733" i="1"/>
  <c r="I3733" i="1"/>
  <c r="B3734" i="1"/>
  <c r="C3734" i="1"/>
  <c r="I3734" i="1"/>
  <c r="B3735" i="1"/>
  <c r="C3735" i="1"/>
  <c r="I3735" i="1"/>
  <c r="B3736" i="1"/>
  <c r="C3736" i="1"/>
  <c r="I3736" i="1"/>
  <c r="B3737" i="1"/>
  <c r="C3737" i="1"/>
  <c r="I3737" i="1"/>
  <c r="B3738" i="1"/>
  <c r="C3738" i="1"/>
  <c r="I3738" i="1"/>
  <c r="B3739" i="1"/>
  <c r="C3739" i="1"/>
  <c r="I3739" i="1"/>
  <c r="B3740" i="1"/>
  <c r="C3740" i="1"/>
  <c r="I3740" i="1"/>
  <c r="B3741" i="1"/>
  <c r="C3741" i="1"/>
  <c r="I3741" i="1"/>
  <c r="B3742" i="1"/>
  <c r="C3742" i="1"/>
  <c r="I3742" i="1"/>
  <c r="B3743" i="1"/>
  <c r="C3743" i="1"/>
  <c r="I3743" i="1"/>
  <c r="B3744" i="1"/>
  <c r="C3744" i="1"/>
  <c r="I3744" i="1"/>
  <c r="B3745" i="1"/>
  <c r="C3745" i="1"/>
  <c r="I3745" i="1"/>
  <c r="B3746" i="1"/>
  <c r="C3746" i="1"/>
  <c r="I3746" i="1"/>
  <c r="B3747" i="1"/>
  <c r="C3747" i="1"/>
  <c r="I3747" i="1"/>
  <c r="B3748" i="1"/>
  <c r="C3748" i="1"/>
  <c r="I3748" i="1"/>
  <c r="B3749" i="1"/>
  <c r="C3749" i="1"/>
  <c r="I3749" i="1"/>
  <c r="B3750" i="1"/>
  <c r="C3750" i="1"/>
  <c r="I3750" i="1"/>
  <c r="B3751" i="1"/>
  <c r="C3751" i="1"/>
  <c r="I3751" i="1"/>
  <c r="B3752" i="1"/>
  <c r="C3752" i="1"/>
  <c r="I3752" i="1"/>
  <c r="B3753" i="1"/>
  <c r="C3753" i="1"/>
  <c r="I3753" i="1"/>
  <c r="B3754" i="1"/>
  <c r="C3754" i="1"/>
  <c r="I3754" i="1"/>
  <c r="B3755" i="1"/>
  <c r="C3755" i="1"/>
  <c r="I3755" i="1"/>
  <c r="B3756" i="1"/>
  <c r="C3756" i="1"/>
  <c r="I3756" i="1"/>
  <c r="B3757" i="1"/>
  <c r="C3757" i="1"/>
  <c r="I3757" i="1"/>
  <c r="B3758" i="1"/>
  <c r="C3758" i="1"/>
  <c r="I3758" i="1"/>
  <c r="B3759" i="1"/>
  <c r="C3759" i="1"/>
  <c r="I3759" i="1"/>
  <c r="B3760" i="1"/>
  <c r="C3760" i="1"/>
  <c r="I3760" i="1"/>
  <c r="B3761" i="1"/>
  <c r="C3761" i="1"/>
  <c r="I3761" i="1"/>
  <c r="B3762" i="1"/>
  <c r="C3762" i="1"/>
  <c r="I3762" i="1"/>
  <c r="B3763" i="1"/>
  <c r="C3763" i="1"/>
  <c r="I3763" i="1"/>
  <c r="B3764" i="1"/>
  <c r="C3764" i="1"/>
  <c r="I3764" i="1"/>
  <c r="B3765" i="1"/>
  <c r="C3765" i="1"/>
  <c r="I3765" i="1"/>
  <c r="B3766" i="1"/>
  <c r="C3766" i="1"/>
  <c r="I3766" i="1"/>
  <c r="B3767" i="1"/>
  <c r="C3767" i="1"/>
  <c r="I3767" i="1"/>
  <c r="B3768" i="1"/>
  <c r="C3768" i="1"/>
  <c r="I3768" i="1"/>
  <c r="B3769" i="1"/>
  <c r="C3769" i="1"/>
  <c r="I3769" i="1"/>
  <c r="B3770" i="1"/>
  <c r="C3770" i="1"/>
  <c r="I3770" i="1"/>
  <c r="B3771" i="1"/>
  <c r="C3771" i="1"/>
  <c r="I3771" i="1"/>
  <c r="B3772" i="1"/>
  <c r="C3772" i="1"/>
  <c r="I3772" i="1"/>
  <c r="B3773" i="1"/>
  <c r="C3773" i="1"/>
  <c r="I3773" i="1"/>
  <c r="B3774" i="1"/>
  <c r="C3774" i="1"/>
  <c r="I3774" i="1"/>
  <c r="B3775" i="1"/>
  <c r="C3775" i="1"/>
  <c r="I3775" i="1"/>
  <c r="B3776" i="1"/>
  <c r="C3776" i="1"/>
  <c r="I3776" i="1"/>
  <c r="B3777" i="1"/>
  <c r="C3777" i="1"/>
  <c r="I3777" i="1"/>
  <c r="B3778" i="1"/>
  <c r="C3778" i="1"/>
  <c r="I3778" i="1"/>
  <c r="B3779" i="1"/>
  <c r="C3779" i="1"/>
  <c r="I3779" i="1"/>
  <c r="B3780" i="1"/>
  <c r="C3780" i="1"/>
  <c r="I3780" i="1"/>
  <c r="B3781" i="1"/>
  <c r="C3781" i="1"/>
  <c r="I3781" i="1"/>
  <c r="B3782" i="1"/>
  <c r="C3782" i="1"/>
  <c r="I3782" i="1"/>
  <c r="B3783" i="1"/>
  <c r="C3783" i="1"/>
  <c r="I3783" i="1"/>
  <c r="B3784" i="1"/>
  <c r="C3784" i="1"/>
  <c r="I3784" i="1"/>
  <c r="B3785" i="1"/>
  <c r="C3785" i="1"/>
  <c r="I3785" i="1"/>
  <c r="B3786" i="1"/>
  <c r="C3786" i="1"/>
  <c r="I3786" i="1"/>
  <c r="B3787" i="1"/>
  <c r="C3787" i="1"/>
  <c r="I3787" i="1"/>
  <c r="B3788" i="1"/>
  <c r="C3788" i="1"/>
  <c r="I3788" i="1"/>
  <c r="B3789" i="1"/>
  <c r="C3789" i="1"/>
  <c r="I3789" i="1"/>
  <c r="B3790" i="1"/>
  <c r="C3790" i="1"/>
  <c r="I3790" i="1"/>
  <c r="B3791" i="1"/>
  <c r="C3791" i="1"/>
  <c r="I3791" i="1"/>
  <c r="B3792" i="1"/>
  <c r="C3792" i="1"/>
  <c r="I3792" i="1"/>
  <c r="B3793" i="1"/>
  <c r="C3793" i="1"/>
  <c r="I3793" i="1"/>
  <c r="B3794" i="1"/>
  <c r="C3794" i="1"/>
  <c r="I3794" i="1"/>
  <c r="B3795" i="1"/>
  <c r="C3795" i="1"/>
  <c r="I3795" i="1"/>
  <c r="B3796" i="1"/>
  <c r="C3796" i="1"/>
  <c r="I3796" i="1"/>
  <c r="B3797" i="1"/>
  <c r="C3797" i="1"/>
  <c r="I3797" i="1"/>
  <c r="B3798" i="1"/>
  <c r="C3798" i="1"/>
  <c r="I3798" i="1"/>
  <c r="B3799" i="1"/>
  <c r="C3799" i="1"/>
  <c r="I3799" i="1"/>
  <c r="B3800" i="1"/>
  <c r="C3800" i="1"/>
  <c r="I3800" i="1"/>
  <c r="B3801" i="1"/>
  <c r="C3801" i="1"/>
  <c r="I3801" i="1"/>
  <c r="B3802" i="1"/>
  <c r="C3802" i="1"/>
  <c r="I3802" i="1"/>
  <c r="B3803" i="1"/>
  <c r="C3803" i="1"/>
  <c r="I3803" i="1"/>
  <c r="B3804" i="1"/>
  <c r="C3804" i="1"/>
  <c r="I3804" i="1"/>
  <c r="B3805" i="1"/>
  <c r="C3805" i="1"/>
  <c r="I3805" i="1"/>
  <c r="B3806" i="1"/>
  <c r="C3806" i="1"/>
  <c r="I3806" i="1"/>
  <c r="B3807" i="1"/>
  <c r="C3807" i="1"/>
  <c r="I3807" i="1"/>
  <c r="B3808" i="1"/>
  <c r="C3808" i="1"/>
  <c r="I3808" i="1"/>
  <c r="B3809" i="1"/>
  <c r="C3809" i="1"/>
  <c r="I3809" i="1"/>
  <c r="B3810" i="1"/>
  <c r="C3810" i="1"/>
  <c r="I3810" i="1"/>
  <c r="B3811" i="1"/>
  <c r="C3811" i="1"/>
  <c r="I3811" i="1"/>
  <c r="B3812" i="1"/>
  <c r="C3812" i="1"/>
  <c r="I3812" i="1"/>
  <c r="B3813" i="1"/>
  <c r="C3813" i="1"/>
  <c r="I3813" i="1"/>
  <c r="B3814" i="1"/>
  <c r="C3814" i="1"/>
  <c r="I3814" i="1"/>
  <c r="B3815" i="1"/>
  <c r="C3815" i="1"/>
  <c r="I3815" i="1"/>
  <c r="B3816" i="1"/>
  <c r="C3816" i="1"/>
  <c r="I3816" i="1"/>
  <c r="B3817" i="1"/>
  <c r="C3817" i="1"/>
  <c r="I3817" i="1"/>
  <c r="B3818" i="1"/>
  <c r="C3818" i="1"/>
  <c r="I3818" i="1"/>
  <c r="B3819" i="1"/>
  <c r="C3819" i="1"/>
  <c r="I3819" i="1"/>
  <c r="B3820" i="1"/>
  <c r="C3820" i="1"/>
  <c r="I3820" i="1"/>
  <c r="B3821" i="1"/>
  <c r="C3821" i="1"/>
  <c r="I3821" i="1"/>
  <c r="B3822" i="1"/>
  <c r="C3822" i="1"/>
  <c r="I3822" i="1"/>
  <c r="B3823" i="1"/>
  <c r="C3823" i="1"/>
  <c r="I3823" i="1"/>
  <c r="B3824" i="1"/>
  <c r="C3824" i="1"/>
  <c r="I3824" i="1"/>
  <c r="B3825" i="1"/>
  <c r="C3825" i="1"/>
  <c r="I3825" i="1"/>
  <c r="B3826" i="1"/>
  <c r="C3826" i="1"/>
  <c r="I3826" i="1"/>
  <c r="B3827" i="1"/>
  <c r="C3827" i="1"/>
  <c r="I3827" i="1"/>
  <c r="B3828" i="1"/>
  <c r="C3828" i="1"/>
  <c r="I3828" i="1"/>
  <c r="B3829" i="1"/>
  <c r="C3829" i="1"/>
  <c r="I3829" i="1"/>
  <c r="B3830" i="1"/>
  <c r="C3830" i="1"/>
  <c r="I3830" i="1"/>
  <c r="B3831" i="1"/>
  <c r="C3831" i="1"/>
  <c r="I3831" i="1"/>
  <c r="B3832" i="1"/>
  <c r="C3832" i="1"/>
  <c r="I3832" i="1"/>
  <c r="B3833" i="1"/>
  <c r="C3833" i="1"/>
  <c r="I3833" i="1"/>
  <c r="B3834" i="1"/>
  <c r="C3834" i="1"/>
  <c r="I3834" i="1"/>
  <c r="B3835" i="1"/>
  <c r="C3835" i="1"/>
  <c r="I3835" i="1"/>
  <c r="B3836" i="1"/>
  <c r="C3836" i="1"/>
  <c r="I3836" i="1"/>
  <c r="B3837" i="1"/>
  <c r="C3837" i="1"/>
  <c r="I3837" i="1"/>
  <c r="B3838" i="1"/>
  <c r="C3838" i="1"/>
  <c r="I3838" i="1"/>
  <c r="B3839" i="1"/>
  <c r="C3839" i="1"/>
  <c r="I3839" i="1"/>
  <c r="B3840" i="1"/>
  <c r="C3840" i="1"/>
  <c r="I3840" i="1"/>
  <c r="B3841" i="1"/>
  <c r="C3841" i="1"/>
  <c r="I3841" i="1"/>
  <c r="B3842" i="1"/>
  <c r="C3842" i="1"/>
  <c r="I3842" i="1"/>
  <c r="B3843" i="1"/>
  <c r="C3843" i="1"/>
  <c r="I3843" i="1"/>
  <c r="B3844" i="1"/>
  <c r="C3844" i="1"/>
  <c r="I3844" i="1"/>
  <c r="B3845" i="1"/>
  <c r="C3845" i="1"/>
  <c r="I3845" i="1"/>
  <c r="B3846" i="1"/>
  <c r="C3846" i="1"/>
  <c r="I3846" i="1"/>
  <c r="B3847" i="1"/>
  <c r="C3847" i="1"/>
  <c r="I3847" i="1"/>
  <c r="B3848" i="1"/>
  <c r="C3848" i="1"/>
  <c r="I3848" i="1"/>
  <c r="B3849" i="1"/>
  <c r="C3849" i="1"/>
  <c r="I3849" i="1"/>
  <c r="B3850" i="1"/>
  <c r="C3850" i="1"/>
  <c r="I3850" i="1"/>
  <c r="B3851" i="1"/>
  <c r="C3851" i="1"/>
  <c r="I3851" i="1"/>
  <c r="B3852" i="1"/>
  <c r="C3852" i="1"/>
  <c r="I3852" i="1"/>
  <c r="B3853" i="1"/>
  <c r="C3853" i="1"/>
  <c r="I3853" i="1"/>
  <c r="B3854" i="1"/>
  <c r="C3854" i="1"/>
  <c r="I3854" i="1"/>
  <c r="B3855" i="1"/>
  <c r="C3855" i="1"/>
  <c r="I3855" i="1"/>
  <c r="B3856" i="1"/>
  <c r="C3856" i="1"/>
  <c r="I3856" i="1"/>
  <c r="B3857" i="1"/>
  <c r="C3857" i="1"/>
  <c r="I3857" i="1"/>
  <c r="B3858" i="1"/>
  <c r="C3858" i="1"/>
  <c r="I3858" i="1"/>
  <c r="B3859" i="1"/>
  <c r="C3859" i="1"/>
  <c r="I3859" i="1"/>
  <c r="B3860" i="1"/>
  <c r="C3860" i="1"/>
  <c r="I3860" i="1"/>
  <c r="B3861" i="1"/>
  <c r="C3861" i="1"/>
  <c r="I3861" i="1"/>
  <c r="B3862" i="1"/>
  <c r="C3862" i="1"/>
  <c r="I3862" i="1"/>
  <c r="B3863" i="1"/>
  <c r="C3863" i="1"/>
  <c r="I3863" i="1"/>
  <c r="B3864" i="1"/>
  <c r="C3864" i="1"/>
  <c r="I3864" i="1"/>
  <c r="B3865" i="1"/>
  <c r="C3865" i="1"/>
  <c r="I3865" i="1"/>
  <c r="B3866" i="1"/>
  <c r="C3866" i="1"/>
  <c r="I3866" i="1"/>
  <c r="B3867" i="1"/>
  <c r="C3867" i="1"/>
  <c r="I3867" i="1"/>
  <c r="B3868" i="1"/>
  <c r="C3868" i="1"/>
  <c r="I3868" i="1"/>
  <c r="B3869" i="1"/>
  <c r="C3869" i="1"/>
  <c r="I3869" i="1"/>
  <c r="B3870" i="1"/>
  <c r="C3870" i="1"/>
  <c r="I3870" i="1"/>
  <c r="B3871" i="1"/>
  <c r="C3871" i="1"/>
  <c r="I3871" i="1"/>
  <c r="B3872" i="1"/>
  <c r="C3872" i="1"/>
  <c r="I3872" i="1"/>
  <c r="B3873" i="1"/>
  <c r="C3873" i="1"/>
  <c r="I3873" i="1"/>
  <c r="B3874" i="1"/>
  <c r="C3874" i="1"/>
  <c r="I3874" i="1"/>
  <c r="B3875" i="1"/>
  <c r="C3875" i="1"/>
  <c r="I3875" i="1"/>
  <c r="B3876" i="1"/>
  <c r="C3876" i="1"/>
  <c r="I3876" i="1"/>
  <c r="B3877" i="1"/>
  <c r="C3877" i="1"/>
  <c r="I3877" i="1"/>
  <c r="B3878" i="1"/>
  <c r="C3878" i="1"/>
  <c r="I3878" i="1"/>
  <c r="B3879" i="1"/>
  <c r="C3879" i="1"/>
  <c r="I3879" i="1"/>
  <c r="B3880" i="1"/>
  <c r="C3880" i="1"/>
  <c r="I3880" i="1"/>
  <c r="B3881" i="1"/>
  <c r="C3881" i="1"/>
  <c r="I3881" i="1"/>
  <c r="B3882" i="1"/>
  <c r="C3882" i="1"/>
  <c r="I3882" i="1"/>
  <c r="B3883" i="1"/>
  <c r="C3883" i="1"/>
  <c r="I3883" i="1"/>
  <c r="B3884" i="1"/>
  <c r="C3884" i="1"/>
  <c r="I3884" i="1"/>
  <c r="B3885" i="1"/>
  <c r="C3885" i="1"/>
  <c r="I3885" i="1"/>
  <c r="B3886" i="1"/>
  <c r="C3886" i="1"/>
  <c r="I3886" i="1"/>
  <c r="B3887" i="1"/>
  <c r="C3887" i="1"/>
  <c r="I3887" i="1"/>
  <c r="B3888" i="1"/>
  <c r="C3888" i="1"/>
  <c r="I3888" i="1"/>
  <c r="B3889" i="1"/>
  <c r="C3889" i="1"/>
  <c r="I3889" i="1"/>
  <c r="B3890" i="1"/>
  <c r="C3890" i="1"/>
  <c r="I3890" i="1"/>
  <c r="B3891" i="1"/>
  <c r="C3891" i="1"/>
  <c r="I3891" i="1"/>
  <c r="B3892" i="1"/>
  <c r="C3892" i="1"/>
  <c r="I3892" i="1"/>
  <c r="B3893" i="1"/>
  <c r="C3893" i="1"/>
  <c r="I3893" i="1"/>
  <c r="B3894" i="1"/>
  <c r="C3894" i="1"/>
  <c r="I3894" i="1"/>
  <c r="B3895" i="1"/>
  <c r="C3895" i="1"/>
  <c r="I3895" i="1"/>
  <c r="B3896" i="1"/>
  <c r="C3896" i="1"/>
  <c r="I3896" i="1"/>
  <c r="B3897" i="1"/>
  <c r="C3897" i="1"/>
  <c r="I3897" i="1"/>
  <c r="B3898" i="1"/>
  <c r="C3898" i="1"/>
  <c r="I3898" i="1"/>
  <c r="B3899" i="1"/>
  <c r="C3899" i="1"/>
  <c r="I3899" i="1"/>
  <c r="B3900" i="1"/>
  <c r="C3900" i="1"/>
  <c r="I3900" i="1"/>
  <c r="B3901" i="1"/>
  <c r="C3901" i="1"/>
  <c r="I3901" i="1"/>
  <c r="B3902" i="1"/>
  <c r="C3902" i="1"/>
  <c r="I3902" i="1"/>
  <c r="B3903" i="1"/>
  <c r="C3903" i="1"/>
  <c r="I3903" i="1"/>
  <c r="B3904" i="1"/>
  <c r="C3904" i="1"/>
  <c r="I3904" i="1"/>
  <c r="B3905" i="1"/>
  <c r="C3905" i="1"/>
  <c r="I3905" i="1"/>
  <c r="B3906" i="1"/>
  <c r="C3906" i="1"/>
  <c r="I3906" i="1"/>
  <c r="B3907" i="1"/>
  <c r="C3907" i="1"/>
  <c r="I3907" i="1"/>
  <c r="B3908" i="1"/>
  <c r="C3908" i="1"/>
  <c r="I3908" i="1"/>
  <c r="B3909" i="1"/>
  <c r="C3909" i="1"/>
  <c r="I3909" i="1"/>
  <c r="B3910" i="1"/>
  <c r="C3910" i="1"/>
  <c r="I3910" i="1"/>
  <c r="B3911" i="1"/>
  <c r="C3911" i="1"/>
  <c r="I3911" i="1"/>
  <c r="B3912" i="1"/>
  <c r="C3912" i="1"/>
  <c r="I3912" i="1"/>
  <c r="B3913" i="1"/>
  <c r="C3913" i="1"/>
  <c r="I3913" i="1"/>
  <c r="B3914" i="1"/>
  <c r="C3914" i="1"/>
  <c r="I3914" i="1"/>
  <c r="B3915" i="1"/>
  <c r="C3915" i="1"/>
  <c r="I3915" i="1"/>
  <c r="B3916" i="1"/>
  <c r="C3916" i="1"/>
  <c r="I3916" i="1"/>
  <c r="B3917" i="1"/>
  <c r="C3917" i="1"/>
  <c r="I3917" i="1"/>
  <c r="B3918" i="1"/>
  <c r="C3918" i="1"/>
  <c r="I3918" i="1"/>
  <c r="B3919" i="1"/>
  <c r="C3919" i="1"/>
  <c r="I3919" i="1"/>
  <c r="B3920" i="1"/>
  <c r="C3920" i="1"/>
  <c r="I3920" i="1"/>
  <c r="B3921" i="1"/>
  <c r="C3921" i="1"/>
  <c r="I3921" i="1"/>
  <c r="B3922" i="1"/>
  <c r="C3922" i="1"/>
  <c r="I3922" i="1"/>
  <c r="B3923" i="1"/>
  <c r="C3923" i="1"/>
  <c r="I3923" i="1"/>
  <c r="B3924" i="1"/>
  <c r="C3924" i="1"/>
  <c r="I3924" i="1"/>
  <c r="B3925" i="1"/>
  <c r="C3925" i="1"/>
  <c r="I3925" i="1"/>
  <c r="B3926" i="1"/>
  <c r="C3926" i="1"/>
  <c r="I3926" i="1"/>
  <c r="B3927" i="1"/>
  <c r="C3927" i="1"/>
  <c r="I3927" i="1"/>
  <c r="B3928" i="1"/>
  <c r="C3928" i="1"/>
  <c r="I3928" i="1"/>
  <c r="B3929" i="1"/>
  <c r="C3929" i="1"/>
  <c r="I3929" i="1"/>
  <c r="B3930" i="1"/>
  <c r="C3930" i="1"/>
  <c r="I3930" i="1"/>
  <c r="B3931" i="1"/>
  <c r="C3931" i="1"/>
  <c r="I3931" i="1"/>
  <c r="B3932" i="1"/>
  <c r="C3932" i="1"/>
  <c r="I3932" i="1"/>
  <c r="B3933" i="1"/>
  <c r="C3933" i="1"/>
  <c r="I3933" i="1"/>
  <c r="B3934" i="1"/>
  <c r="C3934" i="1"/>
  <c r="I3934" i="1"/>
  <c r="B3935" i="1"/>
  <c r="C3935" i="1"/>
  <c r="I3935" i="1"/>
  <c r="B3936" i="1"/>
  <c r="C3936" i="1"/>
  <c r="I3936" i="1"/>
  <c r="B3937" i="1"/>
  <c r="C3937" i="1"/>
  <c r="I3937" i="1"/>
  <c r="B3938" i="1"/>
  <c r="C3938" i="1"/>
  <c r="I3938" i="1"/>
  <c r="B3939" i="1"/>
  <c r="C3939" i="1"/>
  <c r="I3939" i="1"/>
  <c r="B3940" i="1"/>
  <c r="C3940" i="1"/>
  <c r="I3940" i="1"/>
  <c r="B3941" i="1"/>
  <c r="C3941" i="1"/>
  <c r="I3941" i="1"/>
  <c r="B3942" i="1"/>
  <c r="C3942" i="1"/>
  <c r="I3942" i="1"/>
  <c r="B3943" i="1"/>
  <c r="C3943" i="1"/>
  <c r="I3943" i="1"/>
  <c r="B3944" i="1"/>
  <c r="C3944" i="1"/>
  <c r="I3944" i="1"/>
  <c r="B3945" i="1"/>
  <c r="C3945" i="1"/>
  <c r="I3945" i="1"/>
  <c r="B3946" i="1"/>
  <c r="C3946" i="1"/>
  <c r="I3946" i="1"/>
  <c r="B3947" i="1"/>
  <c r="C3947" i="1"/>
  <c r="I3947" i="1"/>
  <c r="B3948" i="1"/>
  <c r="C3948" i="1"/>
  <c r="I3948" i="1"/>
  <c r="B3949" i="1"/>
  <c r="C3949" i="1"/>
  <c r="I3949" i="1"/>
  <c r="B3950" i="1"/>
  <c r="C3950" i="1"/>
  <c r="I3950" i="1"/>
  <c r="B3951" i="1"/>
  <c r="C3951" i="1"/>
  <c r="I3951" i="1"/>
  <c r="B3952" i="1"/>
  <c r="C3952" i="1"/>
  <c r="I3952" i="1"/>
  <c r="B3953" i="1"/>
  <c r="C3953" i="1"/>
  <c r="I3953" i="1"/>
  <c r="B3954" i="1"/>
  <c r="C3954" i="1"/>
  <c r="I3954" i="1"/>
  <c r="B3955" i="1"/>
  <c r="C3955" i="1"/>
  <c r="I3955" i="1"/>
  <c r="B3956" i="1"/>
  <c r="C3956" i="1"/>
  <c r="I3956" i="1"/>
  <c r="B3957" i="1"/>
  <c r="C3957" i="1"/>
  <c r="I3957" i="1"/>
  <c r="B3958" i="1"/>
  <c r="C3958" i="1"/>
  <c r="I3958" i="1"/>
  <c r="B3959" i="1"/>
  <c r="C3959" i="1"/>
  <c r="I3959" i="1"/>
  <c r="B3960" i="1"/>
  <c r="C3960" i="1"/>
  <c r="I3960" i="1"/>
  <c r="B3961" i="1"/>
  <c r="C3961" i="1"/>
  <c r="I3961" i="1"/>
  <c r="B3962" i="1"/>
  <c r="C3962" i="1"/>
  <c r="I3962" i="1"/>
  <c r="B3963" i="1"/>
  <c r="C3963" i="1"/>
  <c r="I3963" i="1"/>
  <c r="B3964" i="1"/>
  <c r="C3964" i="1"/>
  <c r="I3964" i="1"/>
  <c r="B3965" i="1"/>
  <c r="C3965" i="1"/>
  <c r="I3965" i="1"/>
  <c r="B3966" i="1"/>
  <c r="C3966" i="1"/>
  <c r="I3966" i="1"/>
  <c r="B3967" i="1"/>
  <c r="C3967" i="1"/>
  <c r="I3967" i="1"/>
  <c r="B3968" i="1"/>
  <c r="C3968" i="1"/>
  <c r="I3968" i="1"/>
  <c r="B3969" i="1"/>
  <c r="C3969" i="1"/>
  <c r="I3969" i="1"/>
  <c r="B3970" i="1"/>
  <c r="C3970" i="1"/>
  <c r="I3970" i="1"/>
  <c r="B3971" i="1"/>
  <c r="C3971" i="1"/>
  <c r="I3971" i="1"/>
  <c r="B3972" i="1"/>
  <c r="C3972" i="1"/>
  <c r="I3972" i="1"/>
  <c r="B3973" i="1"/>
  <c r="C3973" i="1"/>
  <c r="I3973" i="1"/>
  <c r="B3974" i="1"/>
  <c r="C3974" i="1"/>
  <c r="I3974" i="1"/>
  <c r="B3975" i="1"/>
  <c r="C3975" i="1"/>
  <c r="I3975" i="1"/>
  <c r="B3976" i="1"/>
  <c r="C3976" i="1"/>
  <c r="I3976" i="1"/>
  <c r="B3977" i="1"/>
  <c r="C3977" i="1"/>
  <c r="I3977" i="1"/>
  <c r="B3978" i="1"/>
  <c r="C3978" i="1"/>
  <c r="I3978" i="1"/>
  <c r="B3979" i="1"/>
  <c r="C3979" i="1"/>
  <c r="I3979" i="1"/>
  <c r="B3980" i="1"/>
  <c r="C3980" i="1"/>
  <c r="I3980" i="1"/>
  <c r="B3981" i="1"/>
  <c r="C3981" i="1"/>
  <c r="I3981" i="1"/>
  <c r="B3982" i="1"/>
  <c r="C3982" i="1"/>
  <c r="I3982" i="1"/>
  <c r="B3983" i="1"/>
  <c r="C3983" i="1"/>
  <c r="I3983" i="1"/>
  <c r="B3984" i="1"/>
  <c r="C3984" i="1"/>
  <c r="I3984" i="1"/>
  <c r="B3985" i="1"/>
  <c r="C3985" i="1"/>
  <c r="I3985" i="1"/>
  <c r="B3986" i="1"/>
  <c r="C3986" i="1"/>
  <c r="I3986" i="1"/>
  <c r="B3987" i="1"/>
  <c r="C3987" i="1"/>
  <c r="I3987" i="1"/>
  <c r="B3988" i="1"/>
  <c r="C3988" i="1"/>
  <c r="I3988" i="1"/>
  <c r="B3989" i="1"/>
  <c r="C3989" i="1"/>
  <c r="I3989" i="1"/>
  <c r="B3990" i="1"/>
  <c r="C3990" i="1"/>
  <c r="I3990" i="1"/>
  <c r="B3991" i="1"/>
  <c r="C3991" i="1"/>
  <c r="I3991" i="1"/>
  <c r="B3992" i="1"/>
  <c r="C3992" i="1"/>
  <c r="I3992" i="1"/>
  <c r="B3993" i="1"/>
  <c r="C3993" i="1"/>
  <c r="I3993" i="1"/>
  <c r="B3994" i="1"/>
  <c r="C3994" i="1"/>
  <c r="I3994" i="1"/>
  <c r="B3995" i="1"/>
  <c r="C3995" i="1"/>
  <c r="I3995" i="1"/>
  <c r="B3996" i="1"/>
  <c r="C3996" i="1"/>
  <c r="I3996" i="1"/>
  <c r="B3997" i="1"/>
  <c r="C3997" i="1"/>
  <c r="I3997" i="1"/>
  <c r="B3998" i="1"/>
  <c r="C3998" i="1"/>
  <c r="I3998" i="1"/>
  <c r="B3999" i="1"/>
  <c r="C3999" i="1"/>
  <c r="I3999" i="1"/>
  <c r="B4000" i="1"/>
  <c r="C4000" i="1"/>
  <c r="I4000" i="1"/>
  <c r="B4001" i="1"/>
  <c r="C4001" i="1"/>
  <c r="I4001" i="1"/>
  <c r="B4002" i="1"/>
  <c r="C4002" i="1"/>
  <c r="I4002" i="1"/>
  <c r="B4003" i="1"/>
  <c r="C4003" i="1"/>
  <c r="I4003" i="1"/>
  <c r="B4004" i="1"/>
  <c r="C4004" i="1"/>
  <c r="I4004" i="1"/>
  <c r="B4005" i="1"/>
  <c r="C4005" i="1"/>
  <c r="I4005" i="1"/>
  <c r="B4006" i="1"/>
  <c r="C4006" i="1"/>
  <c r="I4006" i="1"/>
  <c r="B4007" i="1"/>
  <c r="C4007" i="1"/>
  <c r="I4007" i="1"/>
  <c r="B4008" i="1"/>
  <c r="C4008" i="1"/>
  <c r="I4008" i="1"/>
  <c r="B4009" i="1"/>
  <c r="C4009" i="1"/>
  <c r="I4009" i="1"/>
  <c r="B4010" i="1"/>
  <c r="C4010" i="1"/>
  <c r="I4010" i="1"/>
  <c r="B4011" i="1"/>
  <c r="C4011" i="1"/>
  <c r="I4011" i="1"/>
  <c r="B4012" i="1"/>
  <c r="C4012" i="1"/>
  <c r="I4012" i="1"/>
  <c r="B4013" i="1"/>
  <c r="C4013" i="1"/>
  <c r="I4013" i="1"/>
  <c r="B4014" i="1"/>
  <c r="C4014" i="1"/>
  <c r="I4014" i="1"/>
  <c r="B4015" i="1"/>
  <c r="C4015" i="1"/>
  <c r="I4015" i="1"/>
  <c r="B4016" i="1"/>
  <c r="C4016" i="1"/>
  <c r="I4016" i="1"/>
  <c r="B4017" i="1"/>
  <c r="C4017" i="1"/>
  <c r="I4017" i="1"/>
  <c r="B4018" i="1"/>
  <c r="C4018" i="1"/>
  <c r="I4018" i="1"/>
  <c r="B4019" i="1"/>
  <c r="C4019" i="1"/>
  <c r="I4019" i="1"/>
  <c r="B4020" i="1"/>
  <c r="C4020" i="1"/>
  <c r="I4020" i="1"/>
  <c r="B4021" i="1"/>
  <c r="C4021" i="1"/>
  <c r="I4021" i="1"/>
  <c r="B4022" i="1"/>
  <c r="C4022" i="1"/>
  <c r="I4022" i="1"/>
  <c r="B4023" i="1"/>
  <c r="C4023" i="1"/>
  <c r="I4023" i="1"/>
  <c r="B4024" i="1"/>
  <c r="C4024" i="1"/>
  <c r="I4024" i="1"/>
  <c r="B4025" i="1"/>
  <c r="C4025" i="1"/>
  <c r="I4025" i="1"/>
  <c r="B4026" i="1"/>
  <c r="C4026" i="1"/>
  <c r="I4026" i="1"/>
  <c r="B4027" i="1"/>
  <c r="C4027" i="1"/>
  <c r="I4027" i="1"/>
  <c r="B4028" i="1"/>
  <c r="C4028" i="1"/>
  <c r="I4028" i="1"/>
  <c r="B4029" i="1"/>
  <c r="C4029" i="1"/>
  <c r="I4029" i="1"/>
  <c r="B4030" i="1"/>
  <c r="C4030" i="1"/>
  <c r="I4030" i="1"/>
  <c r="B4031" i="1"/>
  <c r="C4031" i="1"/>
  <c r="I4031" i="1"/>
  <c r="B4032" i="1"/>
  <c r="C4032" i="1"/>
  <c r="I4032" i="1"/>
  <c r="B4033" i="1"/>
  <c r="C4033" i="1"/>
  <c r="I4033" i="1"/>
  <c r="B4034" i="1"/>
  <c r="C4034" i="1"/>
  <c r="I4034" i="1"/>
  <c r="B4035" i="1"/>
  <c r="C4035" i="1"/>
  <c r="I4035" i="1"/>
  <c r="B4036" i="1"/>
  <c r="C4036" i="1"/>
  <c r="I4036" i="1"/>
  <c r="B4037" i="1"/>
  <c r="C4037" i="1"/>
  <c r="I4037" i="1"/>
  <c r="B4038" i="1"/>
  <c r="C4038" i="1"/>
  <c r="I4038" i="1"/>
  <c r="B4039" i="1"/>
  <c r="C4039" i="1"/>
  <c r="I4039" i="1"/>
  <c r="B4040" i="1"/>
  <c r="C4040" i="1"/>
  <c r="I4040" i="1"/>
  <c r="B4041" i="1"/>
  <c r="C4041" i="1"/>
  <c r="I4041" i="1"/>
  <c r="B4042" i="1"/>
  <c r="C4042" i="1"/>
  <c r="I4042" i="1"/>
  <c r="B4043" i="1"/>
  <c r="C4043" i="1"/>
  <c r="I4043" i="1"/>
  <c r="B4044" i="1"/>
  <c r="C4044" i="1"/>
  <c r="I4044" i="1"/>
  <c r="B4045" i="1"/>
  <c r="C4045" i="1"/>
  <c r="I4045" i="1"/>
  <c r="B4046" i="1"/>
  <c r="C4046" i="1"/>
  <c r="I4046" i="1"/>
  <c r="B4047" i="1"/>
  <c r="C4047" i="1"/>
  <c r="I4047" i="1"/>
  <c r="B4048" i="1"/>
  <c r="C4048" i="1"/>
  <c r="I4048" i="1"/>
  <c r="B4049" i="1"/>
  <c r="C4049" i="1"/>
  <c r="I4049" i="1"/>
  <c r="B4050" i="1"/>
  <c r="C4050" i="1"/>
  <c r="I4050" i="1"/>
  <c r="B4051" i="1"/>
  <c r="C4051" i="1"/>
  <c r="I4051" i="1"/>
  <c r="B4052" i="1"/>
  <c r="C4052" i="1"/>
  <c r="I4052" i="1"/>
  <c r="B4053" i="1"/>
  <c r="C4053" i="1"/>
  <c r="I4053" i="1"/>
  <c r="B4054" i="1"/>
  <c r="C4054" i="1"/>
  <c r="I4054" i="1"/>
  <c r="B4055" i="1"/>
  <c r="C4055" i="1"/>
  <c r="I4055" i="1"/>
  <c r="B4056" i="1"/>
  <c r="C4056" i="1"/>
  <c r="I4056" i="1"/>
  <c r="B4057" i="1"/>
  <c r="C4057" i="1"/>
  <c r="I4057" i="1"/>
  <c r="B4058" i="1"/>
  <c r="C4058" i="1"/>
  <c r="I4058" i="1"/>
  <c r="B4059" i="1"/>
  <c r="C4059" i="1"/>
  <c r="I4059" i="1"/>
  <c r="B4060" i="1"/>
  <c r="C4060" i="1"/>
  <c r="I4060" i="1"/>
  <c r="B4061" i="1"/>
  <c r="C4061" i="1"/>
  <c r="I4061" i="1"/>
  <c r="B4062" i="1"/>
  <c r="C4062" i="1"/>
  <c r="I4062" i="1"/>
  <c r="B4063" i="1"/>
  <c r="C4063" i="1"/>
  <c r="I4063" i="1"/>
  <c r="B4064" i="1"/>
  <c r="C4064" i="1"/>
  <c r="I4064" i="1"/>
  <c r="B4065" i="1"/>
  <c r="C4065" i="1"/>
  <c r="I4065" i="1"/>
  <c r="B4066" i="1"/>
  <c r="C4066" i="1"/>
  <c r="I4066" i="1"/>
  <c r="B4067" i="1"/>
  <c r="C4067" i="1"/>
  <c r="I4067" i="1"/>
  <c r="B4068" i="1"/>
  <c r="C4068" i="1"/>
  <c r="I4068" i="1"/>
  <c r="B4069" i="1"/>
  <c r="C4069" i="1"/>
  <c r="I4069" i="1"/>
  <c r="B4070" i="1"/>
  <c r="C4070" i="1"/>
  <c r="I4070" i="1"/>
  <c r="B4071" i="1"/>
  <c r="C4071" i="1"/>
  <c r="I4071" i="1"/>
  <c r="B4072" i="1"/>
  <c r="C4072" i="1"/>
  <c r="I4072" i="1"/>
  <c r="B4073" i="1"/>
  <c r="C4073" i="1"/>
  <c r="I4073" i="1"/>
  <c r="B4074" i="1"/>
  <c r="C4074" i="1"/>
  <c r="I4074" i="1"/>
  <c r="B4075" i="1"/>
  <c r="C4075" i="1"/>
  <c r="I4075" i="1"/>
  <c r="B4076" i="1"/>
  <c r="C4076" i="1"/>
  <c r="I4076" i="1"/>
  <c r="B4077" i="1"/>
  <c r="C4077" i="1"/>
  <c r="I4077" i="1"/>
  <c r="B4078" i="1"/>
  <c r="C4078" i="1"/>
  <c r="I4078" i="1"/>
  <c r="B4079" i="1"/>
  <c r="C4079" i="1"/>
  <c r="I4079" i="1"/>
  <c r="B4080" i="1"/>
  <c r="C4080" i="1"/>
  <c r="I4080" i="1"/>
  <c r="B4081" i="1"/>
  <c r="C4081" i="1"/>
  <c r="I4081" i="1"/>
  <c r="B4082" i="1"/>
  <c r="C4082" i="1"/>
  <c r="I4082" i="1"/>
  <c r="B4083" i="1"/>
  <c r="C4083" i="1"/>
  <c r="I4083" i="1"/>
  <c r="B4084" i="1"/>
  <c r="C4084" i="1"/>
  <c r="I4084" i="1"/>
  <c r="B4085" i="1"/>
  <c r="C4085" i="1"/>
  <c r="I4085" i="1"/>
  <c r="B4086" i="1"/>
  <c r="C4086" i="1"/>
  <c r="I4086" i="1"/>
  <c r="B4087" i="1"/>
  <c r="C4087" i="1"/>
  <c r="I4087" i="1"/>
  <c r="B4088" i="1"/>
  <c r="C4088" i="1"/>
  <c r="I4088" i="1"/>
  <c r="B4089" i="1"/>
  <c r="C4089" i="1"/>
  <c r="I4089" i="1"/>
  <c r="B4090" i="1"/>
  <c r="C4090" i="1"/>
  <c r="I4090" i="1"/>
  <c r="B4091" i="1"/>
  <c r="C4091" i="1"/>
  <c r="I4091" i="1"/>
  <c r="B4092" i="1"/>
  <c r="C4092" i="1"/>
  <c r="I4092" i="1"/>
  <c r="B4093" i="1"/>
  <c r="C4093" i="1"/>
  <c r="I4093" i="1"/>
  <c r="B4094" i="1"/>
  <c r="C4094" i="1"/>
  <c r="I4094" i="1"/>
  <c r="B4095" i="1"/>
  <c r="C4095" i="1"/>
  <c r="I4095" i="1"/>
  <c r="B4096" i="1"/>
  <c r="C4096" i="1"/>
  <c r="I4096" i="1"/>
  <c r="B4097" i="1"/>
  <c r="C4097" i="1"/>
  <c r="I4097" i="1"/>
  <c r="B4098" i="1"/>
  <c r="C4098" i="1"/>
  <c r="I4098" i="1"/>
  <c r="B4099" i="1"/>
  <c r="C4099" i="1"/>
  <c r="I4099" i="1"/>
  <c r="B4100" i="1"/>
  <c r="C4100" i="1"/>
  <c r="I4100" i="1"/>
  <c r="B4101" i="1"/>
  <c r="C4101" i="1"/>
  <c r="I4101" i="1"/>
  <c r="B4102" i="1"/>
  <c r="C4102" i="1"/>
  <c r="I4102" i="1"/>
  <c r="B4103" i="1"/>
  <c r="C4103" i="1"/>
  <c r="I4103" i="1"/>
  <c r="B4104" i="1"/>
  <c r="C4104" i="1"/>
  <c r="I4104" i="1"/>
  <c r="B4105" i="1"/>
  <c r="C4105" i="1"/>
  <c r="I4105" i="1"/>
  <c r="B4106" i="1"/>
  <c r="C4106" i="1"/>
  <c r="I4106" i="1"/>
  <c r="B4107" i="1"/>
  <c r="C4107" i="1"/>
  <c r="I4107" i="1"/>
  <c r="B4108" i="1"/>
  <c r="C4108" i="1"/>
  <c r="I4108" i="1"/>
  <c r="B4109" i="1"/>
  <c r="C4109" i="1"/>
  <c r="I4109" i="1"/>
  <c r="B4110" i="1"/>
  <c r="C4110" i="1"/>
  <c r="I4110" i="1"/>
  <c r="B4111" i="1"/>
  <c r="C4111" i="1"/>
  <c r="I4111" i="1"/>
  <c r="B4112" i="1"/>
  <c r="C4112" i="1"/>
  <c r="I4112" i="1"/>
  <c r="B4113" i="1"/>
  <c r="C4113" i="1"/>
  <c r="I4113" i="1"/>
  <c r="B4114" i="1"/>
  <c r="C4114" i="1"/>
  <c r="I4114" i="1"/>
  <c r="B4115" i="1"/>
  <c r="C4115" i="1"/>
  <c r="I4115" i="1"/>
  <c r="B4116" i="1"/>
  <c r="C4116" i="1"/>
  <c r="I4116" i="1"/>
  <c r="B4117" i="1"/>
  <c r="C4117" i="1"/>
  <c r="I4117" i="1"/>
  <c r="B4118" i="1"/>
  <c r="C4118" i="1"/>
  <c r="I4118" i="1"/>
  <c r="B4119" i="1"/>
  <c r="C4119" i="1"/>
  <c r="I4119" i="1"/>
  <c r="B4120" i="1"/>
  <c r="C4120" i="1"/>
  <c r="I4120" i="1"/>
  <c r="B4121" i="1"/>
  <c r="C4121" i="1"/>
  <c r="I4121" i="1"/>
  <c r="B4122" i="1"/>
  <c r="C4122" i="1"/>
  <c r="I4122" i="1"/>
  <c r="B4123" i="1"/>
  <c r="C4123" i="1"/>
  <c r="I4123" i="1"/>
  <c r="B4124" i="1"/>
  <c r="C4124" i="1"/>
  <c r="I4124" i="1"/>
  <c r="B4125" i="1"/>
  <c r="C4125" i="1"/>
  <c r="I4125" i="1"/>
  <c r="B4126" i="1"/>
  <c r="C4126" i="1"/>
  <c r="I4126" i="1"/>
  <c r="B4127" i="1"/>
  <c r="C4127" i="1"/>
  <c r="I4127" i="1"/>
  <c r="B4128" i="1"/>
  <c r="C4128" i="1"/>
  <c r="I4128" i="1"/>
  <c r="B4129" i="1"/>
  <c r="C4129" i="1"/>
  <c r="I4129" i="1"/>
  <c r="B4130" i="1"/>
  <c r="C4130" i="1"/>
  <c r="I4130" i="1"/>
  <c r="B4131" i="1"/>
  <c r="C4131" i="1"/>
  <c r="I4131" i="1"/>
  <c r="B4132" i="1"/>
  <c r="C4132" i="1"/>
  <c r="I4132" i="1"/>
  <c r="B4133" i="1"/>
  <c r="C4133" i="1"/>
  <c r="I4133" i="1"/>
  <c r="B4134" i="1"/>
  <c r="C4134" i="1"/>
  <c r="I4134" i="1"/>
  <c r="B4135" i="1"/>
  <c r="C4135" i="1"/>
  <c r="I4135" i="1"/>
  <c r="B4136" i="1"/>
  <c r="C4136" i="1"/>
  <c r="I4136" i="1"/>
  <c r="B4137" i="1"/>
  <c r="C4137" i="1"/>
  <c r="I4137" i="1"/>
  <c r="B4138" i="1"/>
  <c r="C4138" i="1"/>
  <c r="I4138" i="1"/>
  <c r="B4139" i="1"/>
  <c r="C4139" i="1"/>
  <c r="I4139" i="1"/>
  <c r="B4140" i="1"/>
  <c r="C4140" i="1"/>
  <c r="I4140" i="1"/>
  <c r="B4141" i="1"/>
  <c r="C4141" i="1"/>
  <c r="I4141" i="1"/>
  <c r="B4142" i="1"/>
  <c r="C4142" i="1"/>
  <c r="I4142" i="1"/>
  <c r="B4143" i="1"/>
  <c r="C4143" i="1"/>
  <c r="I4143" i="1"/>
  <c r="B4144" i="1"/>
  <c r="C4144" i="1"/>
  <c r="I4144" i="1"/>
  <c r="B4145" i="1"/>
  <c r="C4145" i="1"/>
  <c r="I4145" i="1"/>
  <c r="B4146" i="1"/>
  <c r="C4146" i="1"/>
  <c r="I4146" i="1"/>
  <c r="B4147" i="1"/>
  <c r="C4147" i="1"/>
  <c r="I4147" i="1"/>
  <c r="B4148" i="1"/>
  <c r="C4148" i="1"/>
  <c r="I4148" i="1"/>
  <c r="B4149" i="1"/>
  <c r="C4149" i="1"/>
  <c r="I4149" i="1"/>
  <c r="B4150" i="1"/>
  <c r="C4150" i="1"/>
  <c r="I4150" i="1"/>
  <c r="B4151" i="1"/>
  <c r="C4151" i="1"/>
  <c r="I4151" i="1"/>
  <c r="B4152" i="1"/>
  <c r="C4152" i="1"/>
  <c r="I4152" i="1"/>
  <c r="B4153" i="1"/>
  <c r="C4153" i="1"/>
  <c r="I4153" i="1"/>
  <c r="B4154" i="1"/>
  <c r="C4154" i="1"/>
  <c r="I4154" i="1"/>
  <c r="B4155" i="1"/>
  <c r="C4155" i="1"/>
  <c r="I4155" i="1"/>
  <c r="B4156" i="1"/>
  <c r="C4156" i="1"/>
  <c r="I4156" i="1"/>
  <c r="B4157" i="1"/>
  <c r="C4157" i="1"/>
  <c r="I4157" i="1"/>
  <c r="B4158" i="1"/>
  <c r="C4158" i="1"/>
  <c r="I4158" i="1"/>
  <c r="B4159" i="1"/>
  <c r="C4159" i="1"/>
  <c r="I4159" i="1"/>
  <c r="B4160" i="1"/>
  <c r="C4160" i="1"/>
  <c r="I4160" i="1"/>
  <c r="B4161" i="1"/>
  <c r="C4161" i="1"/>
  <c r="I4161" i="1"/>
  <c r="B4162" i="1"/>
  <c r="C4162" i="1"/>
  <c r="I4162" i="1"/>
  <c r="B4163" i="1"/>
  <c r="C4163" i="1"/>
  <c r="I4163" i="1"/>
  <c r="B4164" i="1"/>
  <c r="C4164" i="1"/>
  <c r="I4164" i="1"/>
  <c r="B4165" i="1"/>
  <c r="C4165" i="1"/>
  <c r="I4165" i="1"/>
  <c r="B4166" i="1"/>
  <c r="C4166" i="1"/>
  <c r="I4166" i="1"/>
  <c r="B4167" i="1"/>
  <c r="C4167" i="1"/>
  <c r="I4167" i="1"/>
  <c r="B4168" i="1"/>
  <c r="C4168" i="1"/>
  <c r="I4168" i="1"/>
  <c r="B4169" i="1"/>
  <c r="C4169" i="1"/>
  <c r="I4169" i="1"/>
  <c r="B4170" i="1"/>
  <c r="C4170" i="1"/>
  <c r="I4170" i="1"/>
  <c r="B4171" i="1"/>
  <c r="C4171" i="1"/>
  <c r="I4171" i="1"/>
  <c r="B4172" i="1"/>
  <c r="C4172" i="1"/>
  <c r="I4172" i="1"/>
  <c r="B4173" i="1"/>
  <c r="C4173" i="1"/>
  <c r="I4173" i="1"/>
  <c r="B4174" i="1"/>
  <c r="C4174" i="1"/>
  <c r="I4174" i="1"/>
  <c r="B4175" i="1"/>
  <c r="C4175" i="1"/>
  <c r="I4175" i="1"/>
  <c r="B4176" i="1"/>
  <c r="C4176" i="1"/>
  <c r="I4176" i="1"/>
  <c r="B4177" i="1"/>
  <c r="C4177" i="1"/>
  <c r="I4177" i="1"/>
  <c r="B4178" i="1"/>
  <c r="C4178" i="1"/>
  <c r="I4178" i="1"/>
  <c r="B4179" i="1"/>
  <c r="C4179" i="1"/>
  <c r="I4179" i="1"/>
  <c r="B4180" i="1"/>
  <c r="C4180" i="1"/>
  <c r="I4180" i="1"/>
  <c r="B4181" i="1"/>
  <c r="C4181" i="1"/>
  <c r="I4181" i="1"/>
  <c r="B4182" i="1"/>
  <c r="C4182" i="1"/>
  <c r="I4182" i="1"/>
  <c r="B4183" i="1"/>
  <c r="C4183" i="1"/>
  <c r="I4183" i="1"/>
  <c r="B4184" i="1"/>
  <c r="C4184" i="1"/>
  <c r="I4184" i="1"/>
  <c r="B4185" i="1"/>
  <c r="C4185" i="1"/>
  <c r="I4185" i="1"/>
  <c r="B4186" i="1"/>
  <c r="C4186" i="1"/>
  <c r="I4186" i="1"/>
  <c r="B4187" i="1"/>
  <c r="C4187" i="1"/>
  <c r="I4187" i="1"/>
  <c r="B4188" i="1"/>
  <c r="C4188" i="1"/>
  <c r="I4188" i="1"/>
  <c r="B4189" i="1"/>
  <c r="C4189" i="1"/>
  <c r="I4189" i="1"/>
  <c r="B4190" i="1"/>
  <c r="C4190" i="1"/>
  <c r="I4190" i="1"/>
  <c r="B4191" i="1"/>
  <c r="C4191" i="1"/>
  <c r="I4191" i="1"/>
  <c r="B4192" i="1"/>
  <c r="C4192" i="1"/>
  <c r="I4192" i="1"/>
  <c r="B4193" i="1"/>
  <c r="C4193" i="1"/>
  <c r="I4193" i="1"/>
  <c r="B4194" i="1"/>
  <c r="C4194" i="1"/>
  <c r="I4194" i="1"/>
  <c r="B4195" i="1"/>
  <c r="C4195" i="1"/>
  <c r="I4195" i="1"/>
  <c r="B4196" i="1"/>
  <c r="C4196" i="1"/>
  <c r="I4196" i="1"/>
  <c r="B4197" i="1"/>
  <c r="C4197" i="1"/>
  <c r="I4197" i="1"/>
  <c r="B4198" i="1"/>
  <c r="C4198" i="1"/>
  <c r="I4198" i="1"/>
  <c r="B4199" i="1"/>
  <c r="C4199" i="1"/>
  <c r="I4199" i="1"/>
  <c r="B4200" i="1"/>
  <c r="C4200" i="1"/>
  <c r="I4200" i="1"/>
  <c r="B4201" i="1"/>
  <c r="C4201" i="1"/>
  <c r="I4201" i="1"/>
  <c r="B4202" i="1"/>
  <c r="C4202" i="1"/>
  <c r="I4202" i="1"/>
  <c r="B4203" i="1"/>
  <c r="C4203" i="1"/>
  <c r="I4203" i="1"/>
  <c r="B4204" i="1"/>
  <c r="C4204" i="1"/>
  <c r="I4204" i="1"/>
  <c r="B4205" i="1"/>
  <c r="C4205" i="1"/>
  <c r="I4205" i="1"/>
  <c r="B4206" i="1"/>
  <c r="C4206" i="1"/>
  <c r="I4206" i="1"/>
  <c r="B4207" i="1"/>
  <c r="C4207" i="1"/>
  <c r="I4207" i="1"/>
  <c r="B4208" i="1"/>
  <c r="C4208" i="1"/>
  <c r="I4208" i="1"/>
  <c r="B4209" i="1"/>
  <c r="C4209" i="1"/>
  <c r="I4209" i="1"/>
  <c r="B4210" i="1"/>
  <c r="C4210" i="1"/>
  <c r="I4210" i="1"/>
  <c r="B4211" i="1"/>
  <c r="C4211" i="1"/>
  <c r="I4211" i="1"/>
  <c r="B4212" i="1"/>
  <c r="C4212" i="1"/>
  <c r="I4212" i="1"/>
  <c r="B4213" i="1"/>
  <c r="C4213" i="1"/>
  <c r="I4213" i="1"/>
  <c r="B4214" i="1"/>
  <c r="C4214" i="1"/>
  <c r="I4214" i="1"/>
  <c r="B4215" i="1"/>
  <c r="C4215" i="1"/>
  <c r="I4215" i="1"/>
  <c r="B4216" i="1"/>
  <c r="C4216" i="1"/>
  <c r="I4216" i="1"/>
  <c r="B4217" i="1"/>
  <c r="C4217" i="1"/>
  <c r="I4217" i="1"/>
  <c r="B4218" i="1"/>
  <c r="C4218" i="1"/>
  <c r="I4218" i="1"/>
  <c r="B4219" i="1"/>
  <c r="C4219" i="1"/>
  <c r="I4219" i="1"/>
  <c r="B4220" i="1"/>
  <c r="C4220" i="1"/>
  <c r="I4220" i="1"/>
  <c r="B4221" i="1"/>
  <c r="C4221" i="1"/>
  <c r="I4221" i="1"/>
  <c r="B4222" i="1"/>
  <c r="C4222" i="1"/>
  <c r="I4222" i="1"/>
  <c r="B4223" i="1"/>
  <c r="C4223" i="1"/>
  <c r="I4223" i="1"/>
  <c r="B4224" i="1"/>
  <c r="C4224" i="1"/>
  <c r="I4224" i="1"/>
  <c r="B4225" i="1"/>
  <c r="C4225" i="1"/>
  <c r="I4225" i="1"/>
  <c r="B4226" i="1"/>
  <c r="C4226" i="1"/>
  <c r="I4226" i="1"/>
  <c r="B4227" i="1"/>
  <c r="C4227" i="1"/>
  <c r="I4227" i="1"/>
  <c r="B4228" i="1"/>
  <c r="C4228" i="1"/>
  <c r="I4228" i="1"/>
  <c r="B4229" i="1"/>
  <c r="C4229" i="1"/>
  <c r="I4229" i="1"/>
  <c r="B4230" i="1"/>
  <c r="C4230" i="1"/>
  <c r="I4230" i="1"/>
  <c r="B4231" i="1"/>
  <c r="C4231" i="1"/>
  <c r="I4231" i="1"/>
  <c r="B4232" i="1"/>
  <c r="C4232" i="1"/>
  <c r="I4232" i="1"/>
  <c r="B4233" i="1"/>
  <c r="C4233" i="1"/>
  <c r="I4233" i="1"/>
  <c r="B4234" i="1"/>
  <c r="C4234" i="1"/>
  <c r="I4234" i="1"/>
  <c r="B4235" i="1"/>
  <c r="C4235" i="1"/>
  <c r="I4235" i="1"/>
  <c r="B4236" i="1"/>
  <c r="C4236" i="1"/>
  <c r="I4236" i="1"/>
  <c r="B4237" i="1"/>
  <c r="C4237" i="1"/>
  <c r="I4237" i="1"/>
  <c r="B4238" i="1"/>
  <c r="C4238" i="1"/>
  <c r="I4238" i="1"/>
  <c r="B4239" i="1"/>
  <c r="C4239" i="1"/>
  <c r="I4239" i="1"/>
  <c r="B4240" i="1"/>
  <c r="C4240" i="1"/>
  <c r="I4240" i="1"/>
  <c r="B4241" i="1"/>
  <c r="C4241" i="1"/>
  <c r="I4241" i="1"/>
  <c r="B4242" i="1"/>
  <c r="C4242" i="1"/>
  <c r="I4242" i="1"/>
  <c r="B4243" i="1"/>
  <c r="C4243" i="1"/>
  <c r="I4243" i="1"/>
  <c r="B4244" i="1"/>
  <c r="C4244" i="1"/>
  <c r="I4244" i="1"/>
  <c r="B4245" i="1"/>
  <c r="C4245" i="1"/>
  <c r="I4245" i="1"/>
  <c r="B4246" i="1"/>
  <c r="C4246" i="1"/>
  <c r="I4246" i="1"/>
  <c r="B4247" i="1"/>
  <c r="C4247" i="1"/>
  <c r="I4247" i="1"/>
  <c r="B4248" i="1"/>
  <c r="C4248" i="1"/>
  <c r="I4248" i="1"/>
  <c r="B4249" i="1"/>
  <c r="C4249" i="1"/>
  <c r="I4249" i="1"/>
  <c r="B4250" i="1"/>
  <c r="C4250" i="1"/>
  <c r="I4250" i="1"/>
  <c r="B4251" i="1"/>
  <c r="C4251" i="1"/>
  <c r="I4251" i="1"/>
  <c r="B4252" i="1"/>
  <c r="C4252" i="1"/>
  <c r="I4252" i="1"/>
  <c r="B4253" i="1"/>
  <c r="C4253" i="1"/>
  <c r="I4253" i="1"/>
  <c r="B4254" i="1"/>
  <c r="C4254" i="1"/>
  <c r="I4254" i="1"/>
  <c r="B4255" i="1"/>
  <c r="C4255" i="1"/>
  <c r="I4255" i="1"/>
  <c r="B4256" i="1"/>
  <c r="C4256" i="1"/>
  <c r="I4256" i="1"/>
  <c r="B4257" i="1"/>
  <c r="C4257" i="1"/>
  <c r="I4257" i="1"/>
  <c r="B4258" i="1"/>
  <c r="C4258" i="1"/>
  <c r="I4258" i="1"/>
  <c r="B4259" i="1"/>
  <c r="C4259" i="1"/>
  <c r="I4259" i="1"/>
  <c r="B4260" i="1"/>
  <c r="C4260" i="1"/>
  <c r="I4260" i="1"/>
  <c r="B4261" i="1"/>
  <c r="C4261" i="1"/>
  <c r="I4261" i="1"/>
  <c r="B4262" i="1"/>
  <c r="C4262" i="1"/>
  <c r="I4262" i="1"/>
  <c r="B4263" i="1"/>
  <c r="C4263" i="1"/>
  <c r="I4263" i="1"/>
  <c r="B4264" i="1"/>
  <c r="C4264" i="1"/>
  <c r="I4264" i="1"/>
  <c r="B4265" i="1"/>
  <c r="C4265" i="1"/>
  <c r="I4265" i="1"/>
  <c r="B4266" i="1"/>
  <c r="C4266" i="1"/>
  <c r="I4266" i="1"/>
  <c r="B4267" i="1"/>
  <c r="C4267" i="1"/>
  <c r="I4267" i="1"/>
  <c r="B4268" i="1"/>
  <c r="C4268" i="1"/>
  <c r="I4268" i="1"/>
  <c r="B4269" i="1"/>
  <c r="C4269" i="1"/>
  <c r="I4269" i="1"/>
  <c r="B4270" i="1"/>
  <c r="C4270" i="1"/>
  <c r="I4270" i="1"/>
  <c r="B4271" i="1"/>
  <c r="C4271" i="1"/>
  <c r="I4271" i="1"/>
  <c r="B4272" i="1"/>
  <c r="C4272" i="1"/>
  <c r="I4272" i="1"/>
  <c r="B4273" i="1"/>
  <c r="C4273" i="1"/>
  <c r="I4273" i="1"/>
  <c r="B4274" i="1"/>
  <c r="C4274" i="1"/>
  <c r="I4274" i="1"/>
  <c r="B4275" i="1"/>
  <c r="C4275" i="1"/>
  <c r="I4275" i="1"/>
  <c r="B4276" i="1"/>
  <c r="C4276" i="1"/>
  <c r="I4276" i="1"/>
  <c r="B4277" i="1"/>
  <c r="C4277" i="1"/>
  <c r="I4277" i="1"/>
  <c r="B4278" i="1"/>
  <c r="C4278" i="1"/>
  <c r="I4278" i="1"/>
  <c r="B4279" i="1"/>
  <c r="C4279" i="1"/>
  <c r="I4279" i="1"/>
  <c r="B4280" i="1"/>
  <c r="C4280" i="1"/>
  <c r="I4280" i="1"/>
  <c r="B4281" i="1"/>
  <c r="C4281" i="1"/>
  <c r="I4281" i="1"/>
  <c r="B4282" i="1"/>
  <c r="C4282" i="1"/>
  <c r="I4282" i="1"/>
  <c r="B4283" i="1"/>
  <c r="C4283" i="1"/>
  <c r="I4283" i="1"/>
  <c r="B4284" i="1"/>
  <c r="C4284" i="1"/>
  <c r="I4284" i="1"/>
  <c r="B4285" i="1"/>
  <c r="C4285" i="1"/>
  <c r="I4285" i="1"/>
  <c r="B4286" i="1"/>
  <c r="C4286" i="1"/>
  <c r="I4286" i="1"/>
  <c r="B4287" i="1"/>
  <c r="C4287" i="1"/>
  <c r="I4287" i="1"/>
  <c r="B4288" i="1"/>
  <c r="C4288" i="1"/>
  <c r="I4288" i="1"/>
  <c r="B4289" i="1"/>
  <c r="C4289" i="1"/>
  <c r="I4289" i="1"/>
  <c r="B4290" i="1"/>
  <c r="C4290" i="1"/>
  <c r="I4290" i="1"/>
  <c r="B4291" i="1"/>
  <c r="C4291" i="1"/>
  <c r="I4291" i="1"/>
  <c r="B4292" i="1"/>
  <c r="C4292" i="1"/>
  <c r="I4292" i="1"/>
  <c r="B4293" i="1"/>
  <c r="C4293" i="1"/>
  <c r="I4293" i="1"/>
  <c r="B4294" i="1"/>
  <c r="C4294" i="1"/>
  <c r="I4294" i="1"/>
  <c r="B4295" i="1"/>
  <c r="C4295" i="1"/>
  <c r="I4295" i="1"/>
  <c r="B4296" i="1"/>
  <c r="C4296" i="1"/>
  <c r="I4296" i="1"/>
  <c r="B4297" i="1"/>
  <c r="C4297" i="1"/>
  <c r="I4297" i="1"/>
  <c r="B4298" i="1"/>
  <c r="C4298" i="1"/>
  <c r="I4298" i="1"/>
  <c r="B4299" i="1"/>
  <c r="C4299" i="1"/>
  <c r="I4299" i="1"/>
  <c r="B4300" i="1"/>
  <c r="C4300" i="1"/>
  <c r="I4300" i="1"/>
  <c r="B4301" i="1"/>
  <c r="C4301" i="1"/>
  <c r="I4301" i="1"/>
  <c r="B4302" i="1"/>
  <c r="C4302" i="1"/>
  <c r="I4302" i="1"/>
  <c r="B4303" i="1"/>
  <c r="C4303" i="1"/>
  <c r="I4303" i="1"/>
  <c r="B4304" i="1"/>
  <c r="C4304" i="1"/>
  <c r="I4304" i="1"/>
  <c r="B4305" i="1"/>
  <c r="C4305" i="1"/>
  <c r="I4305" i="1"/>
  <c r="B4306" i="1"/>
  <c r="C4306" i="1"/>
  <c r="I4306" i="1"/>
  <c r="B4307" i="1"/>
  <c r="C4307" i="1"/>
  <c r="I4307" i="1"/>
  <c r="B4308" i="1"/>
  <c r="C4308" i="1"/>
  <c r="I4308" i="1"/>
  <c r="B4309" i="1"/>
  <c r="C4309" i="1"/>
  <c r="I4309" i="1"/>
  <c r="B4310" i="1"/>
  <c r="C4310" i="1"/>
  <c r="I4310" i="1"/>
  <c r="B4311" i="1"/>
  <c r="C4311" i="1"/>
  <c r="I4311" i="1"/>
  <c r="B4312" i="1"/>
  <c r="C4312" i="1"/>
  <c r="I4312" i="1"/>
  <c r="B4313" i="1"/>
  <c r="C4313" i="1"/>
  <c r="I4313" i="1"/>
  <c r="B4314" i="1"/>
  <c r="C4314" i="1"/>
  <c r="I4314" i="1"/>
  <c r="B4315" i="1"/>
  <c r="C4315" i="1"/>
  <c r="I4315" i="1"/>
  <c r="B4316" i="1"/>
  <c r="C4316" i="1"/>
  <c r="I4316" i="1"/>
  <c r="B4317" i="1"/>
  <c r="C4317" i="1"/>
  <c r="I4317" i="1"/>
  <c r="B4318" i="1"/>
  <c r="C4318" i="1"/>
  <c r="I4318" i="1"/>
  <c r="B4319" i="1"/>
  <c r="C4319" i="1"/>
  <c r="I4319" i="1"/>
  <c r="B4320" i="1"/>
  <c r="C4320" i="1"/>
  <c r="I4320" i="1"/>
  <c r="B4321" i="1"/>
  <c r="C4321" i="1"/>
  <c r="I4321" i="1"/>
  <c r="B4322" i="1"/>
  <c r="C4322" i="1"/>
  <c r="I4322" i="1"/>
  <c r="B4323" i="1"/>
  <c r="C4323" i="1"/>
  <c r="I4323" i="1"/>
  <c r="B4324" i="1"/>
  <c r="C4324" i="1"/>
  <c r="I4324" i="1"/>
  <c r="B4325" i="1"/>
  <c r="C4325" i="1"/>
  <c r="I4325" i="1"/>
  <c r="B4326" i="1"/>
  <c r="C4326" i="1"/>
  <c r="I4326" i="1"/>
  <c r="B4327" i="1"/>
  <c r="C4327" i="1"/>
  <c r="I4327" i="1"/>
  <c r="B4328" i="1"/>
  <c r="C4328" i="1"/>
  <c r="I4328" i="1"/>
  <c r="B4329" i="1"/>
  <c r="C4329" i="1"/>
  <c r="I4329" i="1"/>
  <c r="B4330" i="1"/>
  <c r="C4330" i="1"/>
  <c r="I4330" i="1"/>
  <c r="B4331" i="1"/>
  <c r="C4331" i="1"/>
  <c r="I4331" i="1"/>
  <c r="B4332" i="1"/>
  <c r="C4332" i="1"/>
  <c r="I4332" i="1"/>
  <c r="B4333" i="1"/>
  <c r="C4333" i="1"/>
  <c r="I4333" i="1"/>
  <c r="B4334" i="1"/>
  <c r="C4334" i="1"/>
  <c r="I4334" i="1"/>
  <c r="B4335" i="1"/>
  <c r="C4335" i="1"/>
  <c r="I4335" i="1"/>
  <c r="B4336" i="1"/>
  <c r="C4336" i="1"/>
  <c r="I4336" i="1"/>
  <c r="B4337" i="1"/>
  <c r="C4337" i="1"/>
  <c r="I4337" i="1"/>
  <c r="B4338" i="1"/>
  <c r="C4338" i="1"/>
  <c r="I4338" i="1"/>
  <c r="B4339" i="1"/>
  <c r="C4339" i="1"/>
  <c r="I4339" i="1"/>
  <c r="B4340" i="1"/>
  <c r="C4340" i="1"/>
  <c r="I4340" i="1"/>
  <c r="B4341" i="1"/>
  <c r="C4341" i="1"/>
  <c r="I4341" i="1"/>
  <c r="B4342" i="1"/>
  <c r="C4342" i="1"/>
  <c r="I4342" i="1"/>
  <c r="B4343" i="1"/>
  <c r="C4343" i="1"/>
  <c r="I4343" i="1"/>
  <c r="B4344" i="1"/>
  <c r="C4344" i="1"/>
  <c r="I4344" i="1"/>
  <c r="B4345" i="1"/>
  <c r="C4345" i="1"/>
  <c r="I4345" i="1"/>
  <c r="B4346" i="1"/>
  <c r="C4346" i="1"/>
  <c r="I4346" i="1"/>
  <c r="B4347" i="1"/>
  <c r="C4347" i="1"/>
  <c r="I4347" i="1"/>
  <c r="B4348" i="1"/>
  <c r="C4348" i="1"/>
  <c r="I4348" i="1"/>
  <c r="B4349" i="1"/>
  <c r="C4349" i="1"/>
  <c r="I4349" i="1"/>
  <c r="B4350" i="1"/>
  <c r="C4350" i="1"/>
  <c r="I4350" i="1"/>
  <c r="B4351" i="1"/>
  <c r="C4351" i="1"/>
  <c r="I4351" i="1"/>
  <c r="B4352" i="1"/>
  <c r="C4352" i="1"/>
  <c r="I4352" i="1"/>
  <c r="B4353" i="1"/>
  <c r="C4353" i="1"/>
  <c r="I4353" i="1"/>
  <c r="B4354" i="1"/>
  <c r="C4354" i="1"/>
  <c r="I4354" i="1"/>
  <c r="B4355" i="1"/>
  <c r="C4355" i="1"/>
  <c r="I4355" i="1"/>
  <c r="B4356" i="1"/>
  <c r="C4356" i="1"/>
  <c r="I4356" i="1"/>
  <c r="B4357" i="1"/>
  <c r="C4357" i="1"/>
  <c r="I4357" i="1"/>
  <c r="B4358" i="1"/>
  <c r="C4358" i="1"/>
  <c r="I4358" i="1"/>
  <c r="B4359" i="1"/>
  <c r="C4359" i="1"/>
  <c r="I4359" i="1"/>
  <c r="B4360" i="1"/>
  <c r="C4360" i="1"/>
  <c r="I4360" i="1"/>
  <c r="B4361" i="1"/>
  <c r="C4361" i="1"/>
  <c r="I4361" i="1"/>
  <c r="B4362" i="1"/>
  <c r="C4362" i="1"/>
  <c r="I4362" i="1"/>
  <c r="B4363" i="1"/>
  <c r="C4363" i="1"/>
  <c r="I4363" i="1"/>
  <c r="B4364" i="1"/>
  <c r="C4364" i="1"/>
  <c r="I4364" i="1"/>
  <c r="B4365" i="1"/>
  <c r="C4365" i="1"/>
  <c r="I4365" i="1"/>
  <c r="B4366" i="1"/>
  <c r="C4366" i="1"/>
  <c r="I4366" i="1"/>
  <c r="B4367" i="1"/>
  <c r="C4367" i="1"/>
  <c r="I4367" i="1"/>
  <c r="B4368" i="1"/>
  <c r="C4368" i="1"/>
  <c r="I4368" i="1"/>
  <c r="B4369" i="1"/>
  <c r="C4369" i="1"/>
  <c r="I4369" i="1"/>
  <c r="B4370" i="1"/>
  <c r="C4370" i="1"/>
  <c r="I4370" i="1"/>
  <c r="B4371" i="1"/>
  <c r="C4371" i="1"/>
  <c r="I4371" i="1"/>
  <c r="B4372" i="1"/>
  <c r="C4372" i="1"/>
  <c r="I4372" i="1"/>
  <c r="B4373" i="1"/>
  <c r="C4373" i="1"/>
  <c r="I4373" i="1"/>
  <c r="B4374" i="1"/>
  <c r="C4374" i="1"/>
  <c r="I4374" i="1"/>
  <c r="B4375" i="1"/>
  <c r="C4375" i="1"/>
  <c r="I4375" i="1"/>
  <c r="B4376" i="1"/>
  <c r="C4376" i="1"/>
  <c r="I4376" i="1"/>
  <c r="B4377" i="1"/>
  <c r="C4377" i="1"/>
  <c r="I4377" i="1"/>
  <c r="B4378" i="1"/>
  <c r="C4378" i="1"/>
  <c r="I4378" i="1"/>
  <c r="B4379" i="1"/>
  <c r="C4379" i="1"/>
  <c r="I4379" i="1"/>
  <c r="B4380" i="1"/>
  <c r="C4380" i="1"/>
  <c r="I4380" i="1"/>
  <c r="B4381" i="1"/>
  <c r="C4381" i="1"/>
  <c r="I4381" i="1"/>
  <c r="B4382" i="1"/>
  <c r="C4382" i="1"/>
  <c r="I4382" i="1"/>
  <c r="B4383" i="1"/>
  <c r="C4383" i="1"/>
  <c r="I4383" i="1"/>
  <c r="B4384" i="1"/>
  <c r="C4384" i="1"/>
  <c r="I4384" i="1"/>
  <c r="B4385" i="1"/>
  <c r="C4385" i="1"/>
  <c r="I4385" i="1"/>
  <c r="B4386" i="1"/>
  <c r="C4386" i="1"/>
  <c r="I4386" i="1"/>
  <c r="B4387" i="1"/>
  <c r="C4387" i="1"/>
  <c r="I4387" i="1"/>
  <c r="B4388" i="1"/>
  <c r="C4388" i="1"/>
  <c r="I4388" i="1"/>
  <c r="B4389" i="1"/>
  <c r="C4389" i="1"/>
  <c r="I4389" i="1"/>
  <c r="B4390" i="1"/>
  <c r="C4390" i="1"/>
  <c r="I4390" i="1"/>
  <c r="B4391" i="1"/>
  <c r="C4391" i="1"/>
  <c r="I4391" i="1"/>
  <c r="B4392" i="1"/>
  <c r="C4392" i="1"/>
  <c r="I4392" i="1"/>
  <c r="B4393" i="1"/>
  <c r="C4393" i="1"/>
  <c r="I4393" i="1"/>
  <c r="B4394" i="1"/>
  <c r="C4394" i="1"/>
  <c r="I4394" i="1"/>
  <c r="B4395" i="1"/>
  <c r="C4395" i="1"/>
  <c r="I4395" i="1"/>
  <c r="B4396" i="1"/>
  <c r="C4396" i="1"/>
  <c r="I4396" i="1"/>
  <c r="B4397" i="1"/>
  <c r="C4397" i="1"/>
  <c r="I4397" i="1"/>
  <c r="B4398" i="1"/>
  <c r="C4398" i="1"/>
  <c r="I4398" i="1"/>
  <c r="B4399" i="1"/>
  <c r="C4399" i="1"/>
  <c r="I4399" i="1"/>
  <c r="B4400" i="1"/>
  <c r="C4400" i="1"/>
  <c r="I4400" i="1"/>
  <c r="B4401" i="1"/>
  <c r="C4401" i="1"/>
  <c r="I4401" i="1"/>
  <c r="B4402" i="1"/>
  <c r="C4402" i="1"/>
  <c r="I4402" i="1"/>
  <c r="B4403" i="1"/>
  <c r="C4403" i="1"/>
  <c r="I4403" i="1"/>
  <c r="B4404" i="1"/>
  <c r="C4404" i="1"/>
  <c r="I4404" i="1"/>
  <c r="B4405" i="1"/>
  <c r="C4405" i="1"/>
  <c r="I4405" i="1"/>
  <c r="B4406" i="1"/>
  <c r="C4406" i="1"/>
  <c r="I4406" i="1"/>
  <c r="B4407" i="1"/>
  <c r="C4407" i="1"/>
  <c r="I4407" i="1"/>
  <c r="B4408" i="1"/>
  <c r="C4408" i="1"/>
  <c r="I4408" i="1"/>
  <c r="B4409" i="1"/>
  <c r="C4409" i="1"/>
  <c r="I4409" i="1"/>
  <c r="B4410" i="1"/>
  <c r="C4410" i="1"/>
  <c r="I4410" i="1"/>
  <c r="B4411" i="1"/>
  <c r="C4411" i="1"/>
  <c r="I4411" i="1"/>
  <c r="B4412" i="1"/>
  <c r="C4412" i="1"/>
  <c r="I4412" i="1"/>
  <c r="B4413" i="1"/>
  <c r="C4413" i="1"/>
  <c r="I4413" i="1"/>
  <c r="B4414" i="1"/>
  <c r="C4414" i="1"/>
  <c r="I4414" i="1"/>
  <c r="B4415" i="1"/>
  <c r="C4415" i="1"/>
  <c r="I4415" i="1"/>
  <c r="B4416" i="1"/>
  <c r="C4416" i="1"/>
  <c r="I4416" i="1"/>
  <c r="B4417" i="1"/>
  <c r="C4417" i="1"/>
  <c r="I4417" i="1"/>
  <c r="B4418" i="1"/>
  <c r="C4418" i="1"/>
  <c r="I4418" i="1"/>
  <c r="B4419" i="1"/>
  <c r="C4419" i="1"/>
  <c r="I4419" i="1"/>
  <c r="B4420" i="1"/>
  <c r="C4420" i="1"/>
  <c r="I4420" i="1"/>
  <c r="B4421" i="1"/>
  <c r="C4421" i="1"/>
  <c r="I4421" i="1"/>
  <c r="B4422" i="1"/>
  <c r="C4422" i="1"/>
  <c r="I4422" i="1"/>
  <c r="B4423" i="1"/>
  <c r="C4423" i="1"/>
  <c r="I4423" i="1"/>
  <c r="B4424" i="1"/>
  <c r="C4424" i="1"/>
  <c r="I4424" i="1"/>
  <c r="B4425" i="1"/>
  <c r="C4425" i="1"/>
  <c r="I4425" i="1"/>
  <c r="B4426" i="1"/>
  <c r="C4426" i="1"/>
  <c r="I4426" i="1"/>
  <c r="B4427" i="1"/>
  <c r="C4427" i="1"/>
  <c r="I4427" i="1"/>
  <c r="B4428" i="1"/>
  <c r="C4428" i="1"/>
  <c r="I4428" i="1"/>
  <c r="B4429" i="1"/>
  <c r="C4429" i="1"/>
  <c r="I4429" i="1"/>
  <c r="B4430" i="1"/>
  <c r="C4430" i="1"/>
  <c r="I4430" i="1"/>
  <c r="B4431" i="1"/>
  <c r="C4431" i="1"/>
  <c r="I4431" i="1"/>
  <c r="B4432" i="1"/>
  <c r="C4432" i="1"/>
  <c r="I4432" i="1"/>
  <c r="B4433" i="1"/>
  <c r="C4433" i="1"/>
  <c r="I4433" i="1"/>
  <c r="B4434" i="1"/>
  <c r="C4434" i="1"/>
  <c r="I4434" i="1"/>
  <c r="B4435" i="1"/>
  <c r="C4435" i="1"/>
  <c r="I4435" i="1"/>
  <c r="B4436" i="1"/>
  <c r="C4436" i="1"/>
  <c r="I4436" i="1"/>
  <c r="B4437" i="1"/>
  <c r="C4437" i="1"/>
  <c r="I4437" i="1"/>
  <c r="B4438" i="1"/>
  <c r="C4438" i="1"/>
  <c r="I4438" i="1"/>
  <c r="B4439" i="1"/>
  <c r="C4439" i="1"/>
  <c r="I4439" i="1"/>
  <c r="B4440" i="1"/>
  <c r="C4440" i="1"/>
  <c r="I4440" i="1"/>
  <c r="B4441" i="1"/>
  <c r="C4441" i="1"/>
  <c r="I4441" i="1"/>
  <c r="B4442" i="1"/>
  <c r="C4442" i="1"/>
  <c r="I4442" i="1"/>
  <c r="B4443" i="1"/>
  <c r="C4443" i="1"/>
  <c r="I4443" i="1"/>
  <c r="B4444" i="1"/>
  <c r="C4444" i="1"/>
  <c r="I4444" i="1"/>
  <c r="B4445" i="1"/>
  <c r="C4445" i="1"/>
  <c r="I4445" i="1"/>
  <c r="B4446" i="1"/>
  <c r="C4446" i="1"/>
  <c r="I4446" i="1"/>
  <c r="B4447" i="1"/>
  <c r="C4447" i="1"/>
  <c r="I4447" i="1"/>
  <c r="B4448" i="1"/>
  <c r="C4448" i="1"/>
  <c r="I4448" i="1"/>
  <c r="B4449" i="1"/>
  <c r="C4449" i="1"/>
  <c r="I4449" i="1"/>
  <c r="B4450" i="1"/>
  <c r="C4450" i="1"/>
  <c r="I4450" i="1"/>
  <c r="B4451" i="1"/>
  <c r="C4451" i="1"/>
  <c r="I4451" i="1"/>
  <c r="B4452" i="1"/>
  <c r="C4452" i="1"/>
  <c r="I4452" i="1"/>
  <c r="B4453" i="1"/>
  <c r="C4453" i="1"/>
  <c r="I4453" i="1"/>
  <c r="B4454" i="1"/>
  <c r="C4454" i="1"/>
  <c r="I4454" i="1"/>
  <c r="B4455" i="1"/>
  <c r="C4455" i="1"/>
  <c r="I4455" i="1"/>
  <c r="B4456" i="1"/>
  <c r="C4456" i="1"/>
  <c r="I4456" i="1"/>
  <c r="B4457" i="1"/>
  <c r="C4457" i="1"/>
  <c r="I4457" i="1"/>
  <c r="B4458" i="1"/>
  <c r="C4458" i="1"/>
  <c r="I4458" i="1"/>
  <c r="B4459" i="1"/>
  <c r="C4459" i="1"/>
  <c r="I4459" i="1"/>
  <c r="B4460" i="1"/>
  <c r="C4460" i="1"/>
  <c r="I4460" i="1"/>
  <c r="B4461" i="1"/>
  <c r="C4461" i="1"/>
  <c r="I4461" i="1"/>
  <c r="B4462" i="1"/>
  <c r="C4462" i="1"/>
  <c r="I4462" i="1"/>
  <c r="B4463" i="1"/>
  <c r="C4463" i="1"/>
  <c r="I4463" i="1"/>
  <c r="B4464" i="1"/>
  <c r="C4464" i="1"/>
  <c r="I4464" i="1"/>
  <c r="B4465" i="1"/>
  <c r="C4465" i="1"/>
  <c r="I4465" i="1"/>
  <c r="B4466" i="1"/>
  <c r="C4466" i="1"/>
  <c r="I4466" i="1"/>
  <c r="B4467" i="1"/>
  <c r="C4467" i="1"/>
  <c r="I4467" i="1"/>
  <c r="B4468" i="1"/>
  <c r="C4468" i="1"/>
  <c r="I4468" i="1"/>
  <c r="B4469" i="1"/>
  <c r="C4469" i="1"/>
  <c r="I4469" i="1"/>
  <c r="B4470" i="1"/>
  <c r="C4470" i="1"/>
  <c r="I4470" i="1"/>
  <c r="B4471" i="1"/>
  <c r="C4471" i="1"/>
  <c r="I4471" i="1"/>
  <c r="B4472" i="1"/>
  <c r="C4472" i="1"/>
  <c r="I4472" i="1"/>
  <c r="B4473" i="1"/>
  <c r="C4473" i="1"/>
  <c r="I4473" i="1"/>
  <c r="B4474" i="1"/>
  <c r="C4474" i="1"/>
  <c r="I4474" i="1"/>
  <c r="B4475" i="1"/>
  <c r="C4475" i="1"/>
  <c r="I4475" i="1"/>
  <c r="B4476" i="1"/>
  <c r="C4476" i="1"/>
  <c r="I4476" i="1"/>
  <c r="B4477" i="1"/>
  <c r="C4477" i="1"/>
  <c r="I4477" i="1"/>
  <c r="B4478" i="1"/>
  <c r="C4478" i="1"/>
  <c r="I4478" i="1"/>
  <c r="B4479" i="1"/>
  <c r="C4479" i="1"/>
  <c r="I4479" i="1"/>
  <c r="B4480" i="1"/>
  <c r="C4480" i="1"/>
  <c r="I4480" i="1"/>
  <c r="B4481" i="1"/>
  <c r="C4481" i="1"/>
  <c r="I4481" i="1"/>
  <c r="B4482" i="1"/>
  <c r="C4482" i="1"/>
  <c r="I4482" i="1"/>
  <c r="B4483" i="1"/>
  <c r="C4483" i="1"/>
  <c r="I4483" i="1"/>
  <c r="B4484" i="1"/>
  <c r="C4484" i="1"/>
  <c r="I4484" i="1"/>
  <c r="B4485" i="1"/>
  <c r="C4485" i="1"/>
  <c r="I4485" i="1"/>
  <c r="B4486" i="1"/>
  <c r="C4486" i="1"/>
  <c r="I4486" i="1"/>
  <c r="B4487" i="1"/>
  <c r="C4487" i="1"/>
  <c r="I4487" i="1"/>
  <c r="B4488" i="1"/>
  <c r="C4488" i="1"/>
  <c r="I4488" i="1"/>
  <c r="B4489" i="1"/>
  <c r="C4489" i="1"/>
  <c r="I4489" i="1"/>
  <c r="B4490" i="1"/>
  <c r="C4490" i="1"/>
  <c r="I4490" i="1"/>
  <c r="B4491" i="1"/>
  <c r="C4491" i="1"/>
  <c r="I4491" i="1"/>
  <c r="B4492" i="1"/>
  <c r="C4492" i="1"/>
  <c r="I4492" i="1"/>
  <c r="B4493" i="1"/>
  <c r="C4493" i="1"/>
  <c r="I4493" i="1"/>
  <c r="B4494" i="1"/>
  <c r="C4494" i="1"/>
  <c r="I4494" i="1"/>
  <c r="B4495" i="1"/>
  <c r="C4495" i="1"/>
  <c r="I4495" i="1"/>
  <c r="B4496" i="1"/>
  <c r="C4496" i="1"/>
  <c r="I4496" i="1"/>
  <c r="B4497" i="1"/>
  <c r="C4497" i="1"/>
  <c r="I4497" i="1"/>
  <c r="B4498" i="1"/>
  <c r="C4498" i="1"/>
  <c r="I4498" i="1"/>
  <c r="B4499" i="1"/>
  <c r="C4499" i="1"/>
  <c r="I4499" i="1"/>
  <c r="B4500" i="1"/>
  <c r="C4500" i="1"/>
  <c r="I4500" i="1"/>
  <c r="B4501" i="1"/>
  <c r="C4501" i="1"/>
  <c r="I4501" i="1"/>
  <c r="B4502" i="1"/>
  <c r="C4502" i="1"/>
  <c r="I4502" i="1"/>
  <c r="B4503" i="1"/>
  <c r="C4503" i="1"/>
  <c r="I4503" i="1"/>
  <c r="B4504" i="1"/>
  <c r="C4504" i="1"/>
  <c r="I4504" i="1"/>
  <c r="B4505" i="1"/>
  <c r="C4505" i="1"/>
  <c r="I4505" i="1"/>
  <c r="B4506" i="1"/>
  <c r="C4506" i="1"/>
  <c r="I4506" i="1"/>
  <c r="B4507" i="1"/>
  <c r="C4507" i="1"/>
  <c r="I4507" i="1"/>
  <c r="B4508" i="1"/>
  <c r="C4508" i="1"/>
  <c r="I4508" i="1"/>
  <c r="B4509" i="1"/>
  <c r="C4509" i="1"/>
  <c r="I4509" i="1"/>
  <c r="B4510" i="1"/>
  <c r="C4510" i="1"/>
  <c r="I4510" i="1"/>
  <c r="B4511" i="1"/>
  <c r="C4511" i="1"/>
  <c r="I4511" i="1"/>
  <c r="B4512" i="1"/>
  <c r="C4512" i="1"/>
  <c r="I4512" i="1"/>
  <c r="B4513" i="1"/>
  <c r="C4513" i="1"/>
  <c r="I4513" i="1"/>
  <c r="B4514" i="1"/>
  <c r="C4514" i="1"/>
  <c r="I4514" i="1"/>
  <c r="B4515" i="1"/>
  <c r="C4515" i="1"/>
  <c r="I4515" i="1"/>
  <c r="B4516" i="1"/>
  <c r="C4516" i="1"/>
  <c r="I4516" i="1"/>
  <c r="B4517" i="1"/>
  <c r="C4517" i="1"/>
  <c r="I4517" i="1"/>
  <c r="B4518" i="1"/>
  <c r="C4518" i="1"/>
  <c r="I4518" i="1"/>
  <c r="B4519" i="1"/>
  <c r="C4519" i="1"/>
  <c r="I4519" i="1"/>
  <c r="B4520" i="1"/>
  <c r="C4520" i="1"/>
  <c r="I4520" i="1"/>
  <c r="B4521" i="1"/>
  <c r="C4521" i="1"/>
  <c r="I4521" i="1"/>
  <c r="B4522" i="1"/>
  <c r="C4522" i="1"/>
  <c r="I4522" i="1"/>
  <c r="B4523" i="1"/>
  <c r="C4523" i="1"/>
  <c r="I4523" i="1"/>
  <c r="B4524" i="1"/>
  <c r="C4524" i="1"/>
  <c r="I4524" i="1"/>
  <c r="B4525" i="1"/>
  <c r="C4525" i="1"/>
  <c r="I4525" i="1"/>
  <c r="B4526" i="1"/>
  <c r="C4526" i="1"/>
  <c r="I4526" i="1"/>
  <c r="B4527" i="1"/>
  <c r="C4527" i="1"/>
  <c r="I4527" i="1"/>
  <c r="B4528" i="1"/>
  <c r="C4528" i="1"/>
  <c r="I4528" i="1"/>
  <c r="B4529" i="1"/>
  <c r="C4529" i="1"/>
  <c r="I4529" i="1"/>
  <c r="B4530" i="1"/>
  <c r="C4530" i="1"/>
  <c r="I4530" i="1"/>
  <c r="B4531" i="1"/>
  <c r="C4531" i="1"/>
  <c r="I4531" i="1"/>
  <c r="B4532" i="1"/>
  <c r="C4532" i="1"/>
  <c r="I4532" i="1"/>
  <c r="B4533" i="1"/>
  <c r="C4533" i="1"/>
  <c r="I4533" i="1"/>
  <c r="B4534" i="1"/>
  <c r="C4534" i="1"/>
  <c r="I4534" i="1"/>
  <c r="B4535" i="1"/>
  <c r="C4535" i="1"/>
  <c r="I4535" i="1"/>
  <c r="B4536" i="1"/>
  <c r="C4536" i="1"/>
  <c r="I4536" i="1"/>
  <c r="B4537" i="1"/>
  <c r="C4537" i="1"/>
  <c r="I4537" i="1"/>
  <c r="B4538" i="1"/>
  <c r="C4538" i="1"/>
  <c r="I4538" i="1"/>
  <c r="B4539" i="1"/>
  <c r="C4539" i="1"/>
  <c r="I4539" i="1"/>
  <c r="B4540" i="1"/>
  <c r="C4540" i="1"/>
  <c r="I4540" i="1"/>
  <c r="B4541" i="1"/>
  <c r="C4541" i="1"/>
  <c r="I4541" i="1"/>
  <c r="B4542" i="1"/>
  <c r="C4542" i="1"/>
  <c r="I4542" i="1"/>
  <c r="B4543" i="1"/>
  <c r="C4543" i="1"/>
  <c r="I4543" i="1"/>
  <c r="B4544" i="1"/>
  <c r="C4544" i="1"/>
  <c r="I4544" i="1"/>
  <c r="B4545" i="1"/>
  <c r="C4545" i="1"/>
  <c r="I4545" i="1"/>
  <c r="B4546" i="1"/>
  <c r="C4546" i="1"/>
  <c r="I4546" i="1"/>
  <c r="B4547" i="1"/>
  <c r="C4547" i="1"/>
  <c r="I4547" i="1"/>
  <c r="B4548" i="1"/>
  <c r="C4548" i="1"/>
  <c r="I4548" i="1"/>
  <c r="B4549" i="1"/>
  <c r="C4549" i="1"/>
  <c r="I4549" i="1"/>
  <c r="B4550" i="1"/>
  <c r="C4550" i="1"/>
  <c r="I4550" i="1"/>
  <c r="B4551" i="1"/>
  <c r="C4551" i="1"/>
  <c r="I4551" i="1"/>
  <c r="B4552" i="1"/>
  <c r="C4552" i="1"/>
  <c r="I4552" i="1"/>
  <c r="B4553" i="1"/>
  <c r="C4553" i="1"/>
  <c r="I4553" i="1"/>
  <c r="B4554" i="1"/>
  <c r="C4554" i="1"/>
  <c r="I4554" i="1"/>
  <c r="B4555" i="1"/>
  <c r="C4555" i="1"/>
  <c r="I4555" i="1"/>
  <c r="B4556" i="1"/>
  <c r="C4556" i="1"/>
  <c r="I4556" i="1"/>
  <c r="B4557" i="1"/>
  <c r="C4557" i="1"/>
  <c r="I4557" i="1"/>
  <c r="B4558" i="1"/>
  <c r="C4558" i="1"/>
  <c r="I4558" i="1"/>
  <c r="B4559" i="1"/>
  <c r="C4559" i="1"/>
  <c r="I4559" i="1"/>
  <c r="B4560" i="1"/>
  <c r="C4560" i="1"/>
  <c r="I4560" i="1"/>
  <c r="B4561" i="1"/>
  <c r="C4561" i="1"/>
  <c r="I4561" i="1"/>
  <c r="B4562" i="1"/>
  <c r="C4562" i="1"/>
  <c r="I4562" i="1"/>
  <c r="B4563" i="1"/>
  <c r="C4563" i="1"/>
  <c r="I4563" i="1"/>
  <c r="B4564" i="1"/>
  <c r="C4564" i="1"/>
  <c r="I4564" i="1"/>
  <c r="B4565" i="1"/>
  <c r="C4565" i="1"/>
  <c r="I4565" i="1"/>
  <c r="B4566" i="1"/>
  <c r="C4566" i="1"/>
  <c r="I4566" i="1"/>
  <c r="B4567" i="1"/>
  <c r="C4567" i="1"/>
  <c r="I4567" i="1"/>
  <c r="B4568" i="1"/>
  <c r="C4568" i="1"/>
  <c r="I4568" i="1"/>
  <c r="B4569" i="1"/>
  <c r="C4569" i="1"/>
  <c r="I4569" i="1"/>
  <c r="B4570" i="1"/>
  <c r="C4570" i="1"/>
  <c r="I4570" i="1"/>
  <c r="B4571" i="1"/>
  <c r="C4571" i="1"/>
  <c r="I4571" i="1"/>
  <c r="B4572" i="1"/>
  <c r="C4572" i="1"/>
  <c r="I4572" i="1"/>
  <c r="B4573" i="1"/>
  <c r="C4573" i="1"/>
  <c r="I4573" i="1"/>
  <c r="B4574" i="1"/>
  <c r="C4574" i="1"/>
  <c r="I4574" i="1"/>
  <c r="B4575" i="1"/>
  <c r="C4575" i="1"/>
  <c r="I4575" i="1"/>
  <c r="B4576" i="1"/>
  <c r="C4576" i="1"/>
  <c r="I4576" i="1"/>
  <c r="B4577" i="1"/>
  <c r="C4577" i="1"/>
  <c r="I4577" i="1"/>
  <c r="B4578" i="1"/>
  <c r="C4578" i="1"/>
  <c r="I4578" i="1"/>
  <c r="B4579" i="1"/>
  <c r="C4579" i="1"/>
  <c r="I4579" i="1"/>
  <c r="B4580" i="1"/>
  <c r="C4580" i="1"/>
  <c r="I4580" i="1"/>
  <c r="B4581" i="1"/>
  <c r="C4581" i="1"/>
  <c r="I4581" i="1"/>
  <c r="B4582" i="1"/>
  <c r="C4582" i="1"/>
  <c r="I4582" i="1"/>
  <c r="B4583" i="1"/>
  <c r="C4583" i="1"/>
  <c r="I4583" i="1"/>
  <c r="B4584" i="1"/>
  <c r="C4584" i="1"/>
  <c r="I4584" i="1"/>
  <c r="B4585" i="1"/>
  <c r="C4585" i="1"/>
  <c r="I4585" i="1"/>
  <c r="B4586" i="1"/>
  <c r="C4586" i="1"/>
  <c r="I4586" i="1"/>
  <c r="B4587" i="1"/>
  <c r="C4587" i="1"/>
  <c r="I4587" i="1"/>
  <c r="B4588" i="1"/>
  <c r="C4588" i="1"/>
  <c r="I4588" i="1"/>
  <c r="B4589" i="1"/>
  <c r="C4589" i="1"/>
  <c r="I4589" i="1"/>
  <c r="B4590" i="1"/>
  <c r="C4590" i="1"/>
  <c r="I4590" i="1"/>
  <c r="B4591" i="1"/>
  <c r="C4591" i="1"/>
  <c r="I4591" i="1"/>
  <c r="B4592" i="1"/>
  <c r="C4592" i="1"/>
  <c r="I4592" i="1"/>
  <c r="B4593" i="1"/>
  <c r="C4593" i="1"/>
  <c r="I4593" i="1"/>
  <c r="B4594" i="1"/>
  <c r="C4594" i="1"/>
  <c r="I4594" i="1"/>
  <c r="B4595" i="1"/>
  <c r="C4595" i="1"/>
  <c r="I4595" i="1"/>
  <c r="B4596" i="1"/>
  <c r="C4596" i="1"/>
  <c r="I4596" i="1"/>
  <c r="B4597" i="1"/>
  <c r="C4597" i="1"/>
  <c r="I4597" i="1"/>
  <c r="B4598" i="1"/>
  <c r="C4598" i="1"/>
  <c r="I4598" i="1"/>
  <c r="B4599" i="1"/>
  <c r="C4599" i="1"/>
  <c r="I4599" i="1"/>
  <c r="B4600" i="1"/>
  <c r="C4600" i="1"/>
  <c r="I4600" i="1"/>
  <c r="B4601" i="1"/>
  <c r="C4601" i="1"/>
  <c r="I4601" i="1"/>
  <c r="B4602" i="1"/>
  <c r="C4602" i="1"/>
  <c r="I4602" i="1"/>
  <c r="B4603" i="1"/>
  <c r="C4603" i="1"/>
  <c r="I4603" i="1"/>
  <c r="B4604" i="1"/>
  <c r="C4604" i="1"/>
  <c r="I4604" i="1"/>
  <c r="B4605" i="1"/>
  <c r="C4605" i="1"/>
  <c r="I4605" i="1"/>
  <c r="B4606" i="1"/>
  <c r="C4606" i="1"/>
  <c r="I4606" i="1"/>
  <c r="B4607" i="1"/>
  <c r="C4607" i="1"/>
  <c r="I4607" i="1"/>
  <c r="B4608" i="1"/>
  <c r="C4608" i="1"/>
  <c r="I4608" i="1"/>
  <c r="B4609" i="1"/>
  <c r="C4609" i="1"/>
  <c r="I4609" i="1"/>
  <c r="B4610" i="1"/>
  <c r="C4610" i="1"/>
  <c r="I4610" i="1"/>
  <c r="B4611" i="1"/>
  <c r="C4611" i="1"/>
  <c r="I4611" i="1"/>
  <c r="B4612" i="1"/>
  <c r="C4612" i="1"/>
  <c r="I4612" i="1"/>
  <c r="B4613" i="1"/>
  <c r="C4613" i="1"/>
  <c r="I4613" i="1"/>
  <c r="B4614" i="1"/>
  <c r="C4614" i="1"/>
  <c r="I4614" i="1"/>
  <c r="B4615" i="1"/>
  <c r="C4615" i="1"/>
  <c r="I4615" i="1"/>
  <c r="B4616" i="1"/>
  <c r="C4616" i="1"/>
  <c r="I4616" i="1"/>
  <c r="B4617" i="1"/>
  <c r="C4617" i="1"/>
  <c r="I4617" i="1"/>
  <c r="B4618" i="1"/>
  <c r="C4618" i="1"/>
  <c r="I4618" i="1"/>
  <c r="B4619" i="1"/>
  <c r="C4619" i="1"/>
  <c r="I4619" i="1"/>
  <c r="B4620" i="1"/>
  <c r="C4620" i="1"/>
  <c r="I4620" i="1"/>
  <c r="B4621" i="1"/>
  <c r="C4621" i="1"/>
  <c r="I4621" i="1"/>
  <c r="B4622" i="1"/>
  <c r="C4622" i="1"/>
  <c r="I4622" i="1"/>
  <c r="B4623" i="1"/>
  <c r="C4623" i="1"/>
  <c r="I4623" i="1"/>
  <c r="B4624" i="1"/>
  <c r="C4624" i="1"/>
  <c r="I4624" i="1"/>
  <c r="B4625" i="1"/>
  <c r="C4625" i="1"/>
  <c r="I4625" i="1"/>
  <c r="B4626" i="1"/>
  <c r="C4626" i="1"/>
  <c r="I4626" i="1"/>
  <c r="B4627" i="1"/>
  <c r="C4627" i="1"/>
  <c r="I4627" i="1"/>
  <c r="B4628" i="1"/>
  <c r="C4628" i="1"/>
  <c r="I4628" i="1"/>
  <c r="B4629" i="1"/>
  <c r="C4629" i="1"/>
  <c r="I4629" i="1"/>
  <c r="B4630" i="1"/>
  <c r="C4630" i="1"/>
  <c r="I4630" i="1"/>
  <c r="B4631" i="1"/>
  <c r="C4631" i="1"/>
  <c r="I4631" i="1"/>
  <c r="B4632" i="1"/>
  <c r="C4632" i="1"/>
  <c r="I4632" i="1"/>
  <c r="B4633" i="1"/>
  <c r="C4633" i="1"/>
  <c r="I4633" i="1"/>
  <c r="B4634" i="1"/>
  <c r="C4634" i="1"/>
  <c r="I4634" i="1"/>
  <c r="B4635" i="1"/>
  <c r="C4635" i="1"/>
  <c r="I4635" i="1"/>
  <c r="B4636" i="1"/>
  <c r="C4636" i="1"/>
  <c r="I4636" i="1"/>
  <c r="B4637" i="1"/>
  <c r="C4637" i="1"/>
  <c r="I4637" i="1"/>
  <c r="B4638" i="1"/>
  <c r="C4638" i="1"/>
  <c r="I4638" i="1"/>
  <c r="B4639" i="1"/>
  <c r="C4639" i="1"/>
  <c r="I4639" i="1"/>
  <c r="B4640" i="1"/>
  <c r="C4640" i="1"/>
  <c r="I4640" i="1"/>
  <c r="B4641" i="1"/>
  <c r="C4641" i="1"/>
  <c r="I4641" i="1"/>
  <c r="B4642" i="1"/>
  <c r="C4642" i="1"/>
  <c r="I4642" i="1"/>
  <c r="B4643" i="1"/>
  <c r="C4643" i="1"/>
  <c r="I4643" i="1"/>
  <c r="B4644" i="1"/>
  <c r="C4644" i="1"/>
  <c r="I4644" i="1"/>
  <c r="B4645" i="1"/>
  <c r="C4645" i="1"/>
  <c r="I4645" i="1"/>
  <c r="B4646" i="1"/>
  <c r="C4646" i="1"/>
  <c r="I4646" i="1"/>
  <c r="B4647" i="1"/>
  <c r="C4647" i="1"/>
  <c r="I4647" i="1"/>
  <c r="B4648" i="1"/>
  <c r="C4648" i="1"/>
  <c r="I4648" i="1"/>
  <c r="B4649" i="1"/>
  <c r="C4649" i="1"/>
  <c r="I4649" i="1"/>
  <c r="B4650" i="1"/>
  <c r="C4650" i="1"/>
  <c r="I4650" i="1"/>
  <c r="B4651" i="1"/>
  <c r="C4651" i="1"/>
  <c r="I4651" i="1"/>
  <c r="B4652" i="1"/>
  <c r="C4652" i="1"/>
  <c r="I4652" i="1"/>
  <c r="B4653" i="1"/>
  <c r="C4653" i="1"/>
  <c r="I4653" i="1"/>
  <c r="B4654" i="1"/>
  <c r="C4654" i="1"/>
  <c r="I4654" i="1"/>
  <c r="B4655" i="1"/>
  <c r="C4655" i="1"/>
  <c r="I4655" i="1"/>
  <c r="B4656" i="1"/>
  <c r="C4656" i="1"/>
  <c r="I4656" i="1"/>
  <c r="B4657" i="1"/>
  <c r="C4657" i="1"/>
  <c r="I4657" i="1"/>
  <c r="B4658" i="1"/>
  <c r="C4658" i="1"/>
  <c r="I4658" i="1"/>
  <c r="B4659" i="1"/>
  <c r="C4659" i="1"/>
  <c r="I4659" i="1"/>
  <c r="B4660" i="1"/>
  <c r="C4660" i="1"/>
  <c r="I4660" i="1"/>
  <c r="B4661" i="1"/>
  <c r="C4661" i="1"/>
  <c r="I4661" i="1"/>
  <c r="B4662" i="1"/>
  <c r="C4662" i="1"/>
  <c r="I4662" i="1"/>
  <c r="B4663" i="1"/>
  <c r="C4663" i="1"/>
  <c r="I4663" i="1"/>
  <c r="B4664" i="1"/>
  <c r="C4664" i="1"/>
  <c r="I4664" i="1"/>
  <c r="B4665" i="1"/>
  <c r="C4665" i="1"/>
  <c r="I4665" i="1"/>
  <c r="B4666" i="1"/>
  <c r="C4666" i="1"/>
  <c r="I4666" i="1"/>
  <c r="B4667" i="1"/>
  <c r="C4667" i="1"/>
  <c r="I4667" i="1"/>
  <c r="B4668" i="1"/>
  <c r="C4668" i="1"/>
  <c r="I4668" i="1"/>
  <c r="B4669" i="1"/>
  <c r="C4669" i="1"/>
  <c r="I4669" i="1"/>
  <c r="B4670" i="1"/>
  <c r="C4670" i="1"/>
  <c r="I4670" i="1"/>
  <c r="B4671" i="1"/>
  <c r="C4671" i="1"/>
  <c r="I4671" i="1"/>
  <c r="B4672" i="1"/>
  <c r="C4672" i="1"/>
  <c r="I4672" i="1"/>
  <c r="B4673" i="1"/>
  <c r="C4673" i="1"/>
  <c r="I4673" i="1"/>
  <c r="B4674" i="1"/>
  <c r="C4674" i="1"/>
  <c r="I4674" i="1"/>
  <c r="B4675" i="1"/>
  <c r="C4675" i="1"/>
  <c r="I4675" i="1"/>
  <c r="B4676" i="1"/>
  <c r="C4676" i="1"/>
  <c r="I4676" i="1"/>
  <c r="B4677" i="1"/>
  <c r="C4677" i="1"/>
  <c r="I4677" i="1"/>
  <c r="B4678" i="1"/>
  <c r="C4678" i="1"/>
  <c r="I4678" i="1"/>
  <c r="B4679" i="1"/>
  <c r="C4679" i="1"/>
  <c r="I4679" i="1"/>
  <c r="B4680" i="1"/>
  <c r="C4680" i="1"/>
  <c r="I4680" i="1"/>
  <c r="B4681" i="1"/>
  <c r="C4681" i="1"/>
  <c r="I4681" i="1"/>
  <c r="B4682" i="1"/>
  <c r="C4682" i="1"/>
  <c r="I4682" i="1"/>
  <c r="B4683" i="1"/>
  <c r="C4683" i="1"/>
  <c r="I4683" i="1"/>
  <c r="B4684" i="1"/>
  <c r="C4684" i="1"/>
  <c r="I4684" i="1"/>
  <c r="B4685" i="1"/>
  <c r="C4685" i="1"/>
  <c r="I4685" i="1"/>
  <c r="B4686" i="1"/>
  <c r="C4686" i="1"/>
  <c r="I4686" i="1"/>
  <c r="B4687" i="1"/>
  <c r="C4687" i="1"/>
  <c r="I4687" i="1"/>
  <c r="B4688" i="1"/>
  <c r="C4688" i="1"/>
  <c r="I4688" i="1"/>
  <c r="B4689" i="1"/>
  <c r="C4689" i="1"/>
  <c r="I4689" i="1"/>
  <c r="B4690" i="1"/>
  <c r="C4690" i="1"/>
  <c r="I4690" i="1"/>
  <c r="B4691" i="1"/>
  <c r="C4691" i="1"/>
  <c r="I4691" i="1"/>
  <c r="B4692" i="1"/>
  <c r="C4692" i="1"/>
  <c r="I4692" i="1"/>
  <c r="B4693" i="1"/>
  <c r="C4693" i="1"/>
  <c r="I4693" i="1"/>
  <c r="B4694" i="1"/>
  <c r="C4694" i="1"/>
  <c r="I4694" i="1"/>
  <c r="B4695" i="1"/>
  <c r="C4695" i="1"/>
  <c r="I4695" i="1"/>
  <c r="B4696" i="1"/>
  <c r="C4696" i="1"/>
  <c r="I4696" i="1"/>
  <c r="B4697" i="1"/>
  <c r="C4697" i="1"/>
  <c r="I4697" i="1"/>
  <c r="B4698" i="1"/>
  <c r="C4698" i="1"/>
  <c r="I4698" i="1"/>
  <c r="B4699" i="1"/>
  <c r="C4699" i="1"/>
  <c r="I4699" i="1"/>
  <c r="B4700" i="1"/>
  <c r="C4700" i="1"/>
  <c r="I4700" i="1"/>
  <c r="B4701" i="1"/>
  <c r="C4701" i="1"/>
  <c r="I4701" i="1"/>
  <c r="B4702" i="1"/>
  <c r="C4702" i="1"/>
  <c r="I4702" i="1"/>
  <c r="B4703" i="1"/>
  <c r="C4703" i="1"/>
  <c r="I4703" i="1"/>
  <c r="B4704" i="1"/>
  <c r="C4704" i="1"/>
  <c r="I4704" i="1"/>
  <c r="B4705" i="1"/>
  <c r="C4705" i="1"/>
  <c r="I4705" i="1"/>
  <c r="B4706" i="1"/>
  <c r="C4706" i="1"/>
  <c r="I4706" i="1"/>
  <c r="B4707" i="1"/>
  <c r="C4707" i="1"/>
  <c r="I4707" i="1"/>
  <c r="B4708" i="1"/>
  <c r="C4708" i="1"/>
  <c r="I4708" i="1"/>
  <c r="B4709" i="1"/>
  <c r="C4709" i="1"/>
  <c r="I4709" i="1"/>
  <c r="B4710" i="1"/>
  <c r="C4710" i="1"/>
  <c r="I4710" i="1"/>
  <c r="B4711" i="1"/>
  <c r="C4711" i="1"/>
  <c r="I4711" i="1"/>
  <c r="B4712" i="1"/>
  <c r="C4712" i="1"/>
  <c r="I4712" i="1"/>
  <c r="B4713" i="1"/>
  <c r="C4713" i="1"/>
  <c r="I4713" i="1"/>
  <c r="B4714" i="1"/>
  <c r="C4714" i="1"/>
  <c r="I4714" i="1"/>
  <c r="B4715" i="1"/>
  <c r="C4715" i="1"/>
  <c r="I4715" i="1"/>
  <c r="B4716" i="1"/>
  <c r="C4716" i="1"/>
  <c r="I4716" i="1"/>
  <c r="B4717" i="1"/>
  <c r="C4717" i="1"/>
  <c r="I4717" i="1"/>
  <c r="B4718" i="1"/>
  <c r="C4718" i="1"/>
  <c r="I4718" i="1"/>
  <c r="B4719" i="1"/>
  <c r="C4719" i="1"/>
  <c r="I4719" i="1"/>
  <c r="B4720" i="1"/>
  <c r="C4720" i="1"/>
  <c r="I4720" i="1"/>
  <c r="B4721" i="1"/>
  <c r="C4721" i="1"/>
  <c r="I4721" i="1"/>
  <c r="B4722" i="1"/>
  <c r="C4722" i="1"/>
  <c r="I4722" i="1"/>
  <c r="B4723" i="1"/>
  <c r="C4723" i="1"/>
  <c r="I4723" i="1"/>
  <c r="B4724" i="1"/>
  <c r="C4724" i="1"/>
  <c r="I4724" i="1"/>
  <c r="B4725" i="1"/>
  <c r="C4725" i="1"/>
  <c r="I4725" i="1"/>
</calcChain>
</file>

<file path=xl/sharedStrings.xml><?xml version="1.0" encoding="utf-8"?>
<sst xmlns="http://schemas.openxmlformats.org/spreadsheetml/2006/main" count="55641" uniqueCount="10779">
  <si>
    <t>EE_IID</t>
  </si>
  <si>
    <t>SSN4</t>
  </si>
  <si>
    <t>SSN</t>
  </si>
  <si>
    <t>LNAME</t>
  </si>
  <si>
    <t>FNAME</t>
  </si>
  <si>
    <t>MID</t>
  </si>
  <si>
    <t>DOB</t>
  </si>
  <si>
    <t>CUR_DOH</t>
  </si>
  <si>
    <t>CLASS</t>
  </si>
  <si>
    <t>CLASS_DESC</t>
  </si>
  <si>
    <t>Plan</t>
  </si>
  <si>
    <t>FT_PT</t>
  </si>
  <si>
    <t>COVERAGE</t>
  </si>
  <si>
    <t>EFF_DT</t>
  </si>
  <si>
    <t>ANNL_CONTRIB</t>
  </si>
  <si>
    <t>ANNL_EE_CONTRIB</t>
  </si>
  <si>
    <t>Gender</t>
  </si>
  <si>
    <t>Campus</t>
  </si>
  <si>
    <t>Org_No</t>
  </si>
  <si>
    <t>OrgDescr</t>
  </si>
  <si>
    <t>S01089439</t>
  </si>
  <si>
    <t>Donaldson Jr</t>
  </si>
  <si>
    <t>Charles</t>
  </si>
  <si>
    <t>Leander</t>
  </si>
  <si>
    <t>PT Non Union Non-Eligible</t>
  </si>
  <si>
    <t>NONE</t>
  </si>
  <si>
    <t>P</t>
  </si>
  <si>
    <t>NO COVERAGE</t>
  </si>
  <si>
    <t>M</t>
  </si>
  <si>
    <t>Metro</t>
  </si>
  <si>
    <t>3R2100</t>
  </si>
  <si>
    <t>Veterans Upward Bound</t>
  </si>
  <si>
    <t>S01071122</t>
  </si>
  <si>
    <t>Richard</t>
  </si>
  <si>
    <t>Evan</t>
  </si>
  <si>
    <t>Michael</t>
  </si>
  <si>
    <t>FT Non Union - Non-Exempt Supp</t>
  </si>
  <si>
    <t>F</t>
  </si>
  <si>
    <t>JST Center</t>
  </si>
  <si>
    <t>1H1100</t>
  </si>
  <si>
    <t>Human Resources</t>
  </si>
  <si>
    <t>S00409147</t>
  </si>
  <si>
    <t>Wiggins</t>
  </si>
  <si>
    <t>Robbin</t>
  </si>
  <si>
    <t>L</t>
  </si>
  <si>
    <t>Tutor-Non Eligible</t>
  </si>
  <si>
    <t>S00877866</t>
  </si>
  <si>
    <t>Barker</t>
  </si>
  <si>
    <t>Jennifer</t>
  </si>
  <si>
    <t>Lynn</t>
  </si>
  <si>
    <t>PT 1199 - Eligible</t>
  </si>
  <si>
    <t>East</t>
  </si>
  <si>
    <t>3E3300</t>
  </si>
  <si>
    <t>Enrollment Center - E</t>
  </si>
  <si>
    <t>S00611666</t>
  </si>
  <si>
    <t>Bassett</t>
  </si>
  <si>
    <t>Daniel</t>
  </si>
  <si>
    <t>Justin</t>
  </si>
  <si>
    <t>FT 1199 Non-Exempt Supp Staff</t>
  </si>
  <si>
    <t>3E2550</t>
  </si>
  <si>
    <t>Lrc - E</t>
  </si>
  <si>
    <t>S00761995</t>
  </si>
  <si>
    <t>DePaul</t>
  </si>
  <si>
    <t>Kara</t>
  </si>
  <si>
    <t>3E2800</t>
  </si>
  <si>
    <t>Massotherapy - E</t>
  </si>
  <si>
    <t>S01003199</t>
  </si>
  <si>
    <t>Dutt</t>
  </si>
  <si>
    <t>Adriane</t>
  </si>
  <si>
    <t>C</t>
  </si>
  <si>
    <t>Professional</t>
  </si>
  <si>
    <t>West</t>
  </si>
  <si>
    <t>3W2315</t>
  </si>
  <si>
    <t>Diagnostic Medical Sonography</t>
  </si>
  <si>
    <t>S00715861</t>
  </si>
  <si>
    <t>Ford</t>
  </si>
  <si>
    <t>Delon</t>
  </si>
  <si>
    <t>Heritage</t>
  </si>
  <si>
    <t>4W3900</t>
  </si>
  <si>
    <t>Truck Driving Academy</t>
  </si>
  <si>
    <t>S00938235</t>
  </si>
  <si>
    <t>Klenz</t>
  </si>
  <si>
    <t>Laura</t>
  </si>
  <si>
    <t>3M4150</t>
  </si>
  <si>
    <t>Art - M</t>
  </si>
  <si>
    <t>S00082375</t>
  </si>
  <si>
    <t>Lardell</t>
  </si>
  <si>
    <t>Tyra</t>
  </si>
  <si>
    <t>3M2110</t>
  </si>
  <si>
    <t>Adjunct Services - M</t>
  </si>
  <si>
    <t>S00235257</t>
  </si>
  <si>
    <t>Morrison</t>
  </si>
  <si>
    <t>Marjorie</t>
  </si>
  <si>
    <t>A</t>
  </si>
  <si>
    <t>S00058903</t>
  </si>
  <si>
    <t>Stegens</t>
  </si>
  <si>
    <t>Gloria</t>
  </si>
  <si>
    <t>J</t>
  </si>
  <si>
    <t>MED MUT STD</t>
  </si>
  <si>
    <t>Family</t>
  </si>
  <si>
    <t>Westshore</t>
  </si>
  <si>
    <t>3S3300</t>
  </si>
  <si>
    <t>Enrollment Center - S</t>
  </si>
  <si>
    <t>S01088285</t>
  </si>
  <si>
    <t>Brazile</t>
  </si>
  <si>
    <t>Nelson</t>
  </si>
  <si>
    <t>Joseph</t>
  </si>
  <si>
    <t>S00033126</t>
  </si>
  <si>
    <t>Horvath</t>
  </si>
  <si>
    <t>Lisa</t>
  </si>
  <si>
    <t>District</t>
  </si>
  <si>
    <t>2L1100</t>
  </si>
  <si>
    <t>Legal Services</t>
  </si>
  <si>
    <t>S00051873</t>
  </si>
  <si>
    <t>Williams</t>
  </si>
  <si>
    <t>Nedine</t>
  </si>
  <si>
    <t>Administrator</t>
  </si>
  <si>
    <t>Single</t>
  </si>
  <si>
    <t>3D1100</t>
  </si>
  <si>
    <t>VP Learning &amp; Engagement</t>
  </si>
  <si>
    <t>S00620292</t>
  </si>
  <si>
    <t>Arendt</t>
  </si>
  <si>
    <t>Thomas</t>
  </si>
  <si>
    <t>Full Time Faculty</t>
  </si>
  <si>
    <t>3M2645</t>
  </si>
  <si>
    <t>Mechanical Engineering - M</t>
  </si>
  <si>
    <t>S01084138</t>
  </si>
  <si>
    <t>Arthur</t>
  </si>
  <si>
    <t>Chandra</t>
  </si>
  <si>
    <t>Darlene</t>
  </si>
  <si>
    <t>3S2220</t>
  </si>
  <si>
    <t>Business Administration - S</t>
  </si>
  <si>
    <t>S01068026</t>
  </si>
  <si>
    <t>Basnayaka</t>
  </si>
  <si>
    <t>Punya</t>
  </si>
  <si>
    <t>S00130717</t>
  </si>
  <si>
    <t>Boris</t>
  </si>
  <si>
    <t>Sharon</t>
  </si>
  <si>
    <t>3M5200</t>
  </si>
  <si>
    <t>Nursing</t>
  </si>
  <si>
    <t>S01058946</t>
  </si>
  <si>
    <t>Brooks</t>
  </si>
  <si>
    <t>Anne Kristin</t>
  </si>
  <si>
    <t>Waive Medical Coverage</t>
  </si>
  <si>
    <t>S00393781</t>
  </si>
  <si>
    <t>Carte</t>
  </si>
  <si>
    <t>Rebecca</t>
  </si>
  <si>
    <t>3M2455</t>
  </si>
  <si>
    <t>Spanish - M</t>
  </si>
  <si>
    <t>S00147935</t>
  </si>
  <si>
    <t>Cummins</t>
  </si>
  <si>
    <t>3M2835</t>
  </si>
  <si>
    <t>Human Services</t>
  </si>
  <si>
    <t>S00621275</t>
  </si>
  <si>
    <t>DiGiampietro</t>
  </si>
  <si>
    <t>Lorrie</t>
  </si>
  <si>
    <t>Leigh</t>
  </si>
  <si>
    <t>3W2415</t>
  </si>
  <si>
    <t>English - W</t>
  </si>
  <si>
    <t>S00041878</t>
  </si>
  <si>
    <t>Gaiter</t>
  </si>
  <si>
    <t>LaToia</t>
  </si>
  <si>
    <t>S00956218</t>
  </si>
  <si>
    <t>Gromek</t>
  </si>
  <si>
    <t>Theresa</t>
  </si>
  <si>
    <t>R</t>
  </si>
  <si>
    <t>3S2415</t>
  </si>
  <si>
    <t>English - S</t>
  </si>
  <si>
    <t>S01056171</t>
  </si>
  <si>
    <t>Jukiewicz</t>
  </si>
  <si>
    <t>Deniece</t>
  </si>
  <si>
    <t>S00997075</t>
  </si>
  <si>
    <t>Kazmier</t>
  </si>
  <si>
    <t>Rachel</t>
  </si>
  <si>
    <t>T</t>
  </si>
  <si>
    <t>KAISER</t>
  </si>
  <si>
    <t>S00948500</t>
  </si>
  <si>
    <t>Kondik</t>
  </si>
  <si>
    <t>Kevin</t>
  </si>
  <si>
    <t>William</t>
  </si>
  <si>
    <t>3W2740</t>
  </si>
  <si>
    <t>Philosophy - W</t>
  </si>
  <si>
    <t>S00968415</t>
  </si>
  <si>
    <t>Lanier</t>
  </si>
  <si>
    <t>Linda</t>
  </si>
  <si>
    <t>3M3125</t>
  </si>
  <si>
    <t>Counseling - M</t>
  </si>
  <si>
    <t>S00639361</t>
  </si>
  <si>
    <t>McDowell</t>
  </si>
  <si>
    <t>Annette</t>
  </si>
  <si>
    <t>N</t>
  </si>
  <si>
    <t>3M2710</t>
  </si>
  <si>
    <t>Early Childhood Education - M</t>
  </si>
  <si>
    <t>S00626098</t>
  </si>
  <si>
    <t>Amy</t>
  </si>
  <si>
    <t>S01055768</t>
  </si>
  <si>
    <t>Rasel</t>
  </si>
  <si>
    <t>John</t>
  </si>
  <si>
    <t>3E2500</t>
  </si>
  <si>
    <t>Library - E</t>
  </si>
  <si>
    <t>S00161530</t>
  </si>
  <si>
    <t>Allamby</t>
  </si>
  <si>
    <t>Melanie</t>
  </si>
  <si>
    <t>3C6550</t>
  </si>
  <si>
    <t>Student Support Svcs - W</t>
  </si>
  <si>
    <t>S01087673</t>
  </si>
  <si>
    <t>Amster</t>
  </si>
  <si>
    <t>Ricky</t>
  </si>
  <si>
    <t>PT Lecturer - Special</t>
  </si>
  <si>
    <t>3W3125</t>
  </si>
  <si>
    <t>Counseling - W</t>
  </si>
  <si>
    <t>S00434175</t>
  </si>
  <si>
    <t>Birt</t>
  </si>
  <si>
    <t>Ryan</t>
  </si>
  <si>
    <t>Patrick</t>
  </si>
  <si>
    <t>4W3370</t>
  </si>
  <si>
    <t>Youth Academy - Credit</t>
  </si>
  <si>
    <t>S01085541</t>
  </si>
  <si>
    <t>Cunion</t>
  </si>
  <si>
    <t>E</t>
  </si>
  <si>
    <t>3E2400</t>
  </si>
  <si>
    <t>Assoc Dean Liberal Arts - E</t>
  </si>
  <si>
    <t>S01088286</t>
  </si>
  <si>
    <t>Ducmanas</t>
  </si>
  <si>
    <t>Virgil</t>
  </si>
  <si>
    <t>S00553880</t>
  </si>
  <si>
    <t>Dunne</t>
  </si>
  <si>
    <t>Adam</t>
  </si>
  <si>
    <t>S00154441</t>
  </si>
  <si>
    <t>Elekhtaby</t>
  </si>
  <si>
    <t>Sonja</t>
  </si>
  <si>
    <t>Renee</t>
  </si>
  <si>
    <t>S00021211</t>
  </si>
  <si>
    <t>Eugene</t>
  </si>
  <si>
    <t>3D1300</t>
  </si>
  <si>
    <t>Outcomes Assessment</t>
  </si>
  <si>
    <t>S00673447</t>
  </si>
  <si>
    <t>Fishman</t>
  </si>
  <si>
    <t>Kyle</t>
  </si>
  <si>
    <t>B</t>
  </si>
  <si>
    <t>3M2500</t>
  </si>
  <si>
    <t>Library - M</t>
  </si>
  <si>
    <t>S00556407</t>
  </si>
  <si>
    <t>Galati</t>
  </si>
  <si>
    <t>Jeannette</t>
  </si>
  <si>
    <t>FT Non Union - Exempt Supp</t>
  </si>
  <si>
    <t>3S3125</t>
  </si>
  <si>
    <t>Counseling - S</t>
  </si>
  <si>
    <t>S00832341</t>
  </si>
  <si>
    <t>Gannon</t>
  </si>
  <si>
    <t>Jessica</t>
  </si>
  <si>
    <t>3M2840</t>
  </si>
  <si>
    <t>Medical Lab Technology - M</t>
  </si>
  <si>
    <t>S00010264</t>
  </si>
  <si>
    <t>Gray-O'Shea</t>
  </si>
  <si>
    <t>Maureen</t>
  </si>
  <si>
    <t>Ann</t>
  </si>
  <si>
    <t>Employee + 1</t>
  </si>
  <si>
    <t>UTC</t>
  </si>
  <si>
    <t>3R1400</t>
  </si>
  <si>
    <t>Registrar</t>
  </si>
  <si>
    <t>S00881048</t>
  </si>
  <si>
    <t>Janison</t>
  </si>
  <si>
    <t>Kenneth</t>
  </si>
  <si>
    <t>D</t>
  </si>
  <si>
    <t>FT AFSCME</t>
  </si>
  <si>
    <t>2C3110</t>
  </si>
  <si>
    <t>Building Maintenance - M</t>
  </si>
  <si>
    <t>S00337482</t>
  </si>
  <si>
    <t>Kemmerling</t>
  </si>
  <si>
    <t>Wendy</t>
  </si>
  <si>
    <t>3W2300</t>
  </si>
  <si>
    <t>Assoc Dean Health &amp; Sci - W</t>
  </si>
  <si>
    <t>S01001444</t>
  </si>
  <si>
    <t>Klufas</t>
  </si>
  <si>
    <t>Irene</t>
  </si>
  <si>
    <t>O</t>
  </si>
  <si>
    <t>3C3200</t>
  </si>
  <si>
    <t>Assessment - W</t>
  </si>
  <si>
    <t>S00871098</t>
  </si>
  <si>
    <t>Redden</t>
  </si>
  <si>
    <t>Cameron</t>
  </si>
  <si>
    <t>W</t>
  </si>
  <si>
    <t>3X2100</t>
  </si>
  <si>
    <t>College Pathway Programs</t>
  </si>
  <si>
    <t>S00063185</t>
  </si>
  <si>
    <t>Reitz</t>
  </si>
  <si>
    <t>S01088164</t>
  </si>
  <si>
    <t>Richter</t>
  </si>
  <si>
    <t>Samantha</t>
  </si>
  <si>
    <t>3X3100</t>
  </si>
  <si>
    <t>Early College &amp; Outreach Prg Office</t>
  </si>
  <si>
    <t>S00437412</t>
  </si>
  <si>
    <t>Spence</t>
  </si>
  <si>
    <t>Olga</t>
  </si>
  <si>
    <t>S00032567</t>
  </si>
  <si>
    <t>Todl</t>
  </si>
  <si>
    <t>S00270952</t>
  </si>
  <si>
    <t>Tucker</t>
  </si>
  <si>
    <t>Tammy</t>
  </si>
  <si>
    <t>3X3175</t>
  </si>
  <si>
    <t>Upward Bound Funds</t>
  </si>
  <si>
    <t>S00024104</t>
  </si>
  <si>
    <t>Wagner</t>
  </si>
  <si>
    <t>Robert</t>
  </si>
  <si>
    <t>3W2260</t>
  </si>
  <si>
    <t>Information Technology - W</t>
  </si>
  <si>
    <t>S00676508</t>
  </si>
  <si>
    <t>Denise</t>
  </si>
  <si>
    <t>S01065785</t>
  </si>
  <si>
    <t>Wilson</t>
  </si>
  <si>
    <t>Monique</t>
  </si>
  <si>
    <t>Corp Coll East</t>
  </si>
  <si>
    <t>4C2110</t>
  </si>
  <si>
    <t>IT Training</t>
  </si>
  <si>
    <t>S01086378</t>
  </si>
  <si>
    <t>Dionisi</t>
  </si>
  <si>
    <t>Louise</t>
  </si>
  <si>
    <t>3E2300</t>
  </si>
  <si>
    <t>Assoc Dean Health &amp; Sci - E</t>
  </si>
  <si>
    <t>S00203857</t>
  </si>
  <si>
    <t>Szweda</t>
  </si>
  <si>
    <t>Sarah</t>
  </si>
  <si>
    <t>Kristen</t>
  </si>
  <si>
    <t>3E3500</t>
  </si>
  <si>
    <t>Student Activities - E</t>
  </si>
  <si>
    <t>S00183431</t>
  </si>
  <si>
    <t>Daniels</t>
  </si>
  <si>
    <t>Glenn</t>
  </si>
  <si>
    <t>G</t>
  </si>
  <si>
    <t>PT Instructor - Noncredit</t>
  </si>
  <si>
    <t>4W3550</t>
  </si>
  <si>
    <t>Basic Police Academy Credit</t>
  </si>
  <si>
    <t>S00814925</t>
  </si>
  <si>
    <t>Wolf</t>
  </si>
  <si>
    <t>Gary</t>
  </si>
  <si>
    <t>4W3800</t>
  </si>
  <si>
    <t>Police N/C</t>
  </si>
  <si>
    <t>S01087190</t>
  </si>
  <si>
    <t>Agona</t>
  </si>
  <si>
    <t>3W3440</t>
  </si>
  <si>
    <t>Varsity Baseball - W</t>
  </si>
  <si>
    <t>S00851655</t>
  </si>
  <si>
    <t>Budzick</t>
  </si>
  <si>
    <t>Danielle</t>
  </si>
  <si>
    <t>V</t>
  </si>
  <si>
    <t>Corp Coll West</t>
  </si>
  <si>
    <t>3S2100</t>
  </si>
  <si>
    <t>Dean Learning &amp; Engagement - S</t>
  </si>
  <si>
    <t>S01087443</t>
  </si>
  <si>
    <t>Carlson</t>
  </si>
  <si>
    <t>Benjamin</t>
  </si>
  <si>
    <t>Evans</t>
  </si>
  <si>
    <t>1H3100</t>
  </si>
  <si>
    <t>Office of Learning and Development</t>
  </si>
  <si>
    <t>S00583447</t>
  </si>
  <si>
    <t>Kocmit</t>
  </si>
  <si>
    <t>Cheri</t>
  </si>
  <si>
    <t>Marie</t>
  </si>
  <si>
    <t>S00018532</t>
  </si>
  <si>
    <t>Nixon</t>
  </si>
  <si>
    <t>Dianne</t>
  </si>
  <si>
    <t>3E1060</t>
  </si>
  <si>
    <t>Center for Aging Initiatives</t>
  </si>
  <si>
    <t>S00939743</t>
  </si>
  <si>
    <t>Reece</t>
  </si>
  <si>
    <t>Shane</t>
  </si>
  <si>
    <t>PT AFSCME</t>
  </si>
  <si>
    <t>2C3130</t>
  </si>
  <si>
    <t>Grounds Maintenance - M</t>
  </si>
  <si>
    <t>S00558944</t>
  </si>
  <si>
    <t>Sugar</t>
  </si>
  <si>
    <t>Christina</t>
  </si>
  <si>
    <t>3W2500</t>
  </si>
  <si>
    <t>Library - W</t>
  </si>
  <si>
    <t>S00374128</t>
  </si>
  <si>
    <t>Waitkus</t>
  </si>
  <si>
    <t>4W3650</t>
  </si>
  <si>
    <t>Fire Academy Credit</t>
  </si>
  <si>
    <t>S00010582</t>
  </si>
  <si>
    <t>Wilkins</t>
  </si>
  <si>
    <t>Barbara</t>
  </si>
  <si>
    <t>3S1010</t>
  </si>
  <si>
    <t>Campus President - S</t>
  </si>
  <si>
    <t>S01013004</t>
  </si>
  <si>
    <t>Barnes</t>
  </si>
  <si>
    <t>Difranco</t>
  </si>
  <si>
    <t>Erron</t>
  </si>
  <si>
    <t>Hourly-Seasonal</t>
  </si>
  <si>
    <t>2S1175</t>
  </si>
  <si>
    <t>Campus Police Special Events</t>
  </si>
  <si>
    <t>S00942499</t>
  </si>
  <si>
    <t>Benson</t>
  </si>
  <si>
    <t>Paricia</t>
  </si>
  <si>
    <t>S01019662</t>
  </si>
  <si>
    <t>Bonner</t>
  </si>
  <si>
    <t>Davon</t>
  </si>
  <si>
    <t>S00981605</t>
  </si>
  <si>
    <t>Carter</t>
  </si>
  <si>
    <t>Charkena</t>
  </si>
  <si>
    <t>S00277567</t>
  </si>
  <si>
    <t>Ciarrone</t>
  </si>
  <si>
    <t>4W3700</t>
  </si>
  <si>
    <t>Fire N/C</t>
  </si>
  <si>
    <t>S01022148</t>
  </si>
  <si>
    <t>Cooke</t>
  </si>
  <si>
    <t>LaRon</t>
  </si>
  <si>
    <t>Dustin</t>
  </si>
  <si>
    <t>S00334564</t>
  </si>
  <si>
    <t>DeLeaver</t>
  </si>
  <si>
    <t>Damon</t>
  </si>
  <si>
    <t>S01025229</t>
  </si>
  <si>
    <t>DeLeon</t>
  </si>
  <si>
    <t>Dezmond</t>
  </si>
  <si>
    <t>K</t>
  </si>
  <si>
    <t>S01059304</t>
  </si>
  <si>
    <t>Dunn</t>
  </si>
  <si>
    <t>Marselle</t>
  </si>
  <si>
    <t>Denea</t>
  </si>
  <si>
    <t>4W3360</t>
  </si>
  <si>
    <t>Youth Academy Non-Credit</t>
  </si>
  <si>
    <t>S01054720</t>
  </si>
  <si>
    <t>Elias</t>
  </si>
  <si>
    <t>Rashida</t>
  </si>
  <si>
    <t>Sybille</t>
  </si>
  <si>
    <t>S00950076</t>
  </si>
  <si>
    <t>Ervin</t>
  </si>
  <si>
    <t>Taylor-Cherie</t>
  </si>
  <si>
    <t>S00910081</t>
  </si>
  <si>
    <t>Kaszar</t>
  </si>
  <si>
    <t>David</t>
  </si>
  <si>
    <t>Philip Joseph</t>
  </si>
  <si>
    <t>S00167376</t>
  </si>
  <si>
    <t>Kovach</t>
  </si>
  <si>
    <t>Dale</t>
  </si>
  <si>
    <t>S01015524</t>
  </si>
  <si>
    <t>Makupson</t>
  </si>
  <si>
    <t>Myia</t>
  </si>
  <si>
    <t>S</t>
  </si>
  <si>
    <t>S00924122</t>
  </si>
  <si>
    <t>Marshall</t>
  </si>
  <si>
    <t>Daelantae</t>
  </si>
  <si>
    <t>Ramon</t>
  </si>
  <si>
    <t>S00627537</t>
  </si>
  <si>
    <t>Scudellari</t>
  </si>
  <si>
    <t>Mitchell</t>
  </si>
  <si>
    <t>S00892085</t>
  </si>
  <si>
    <t>Janel</t>
  </si>
  <si>
    <t>Kimberly</t>
  </si>
  <si>
    <t>S00952256</t>
  </si>
  <si>
    <t>Jamil</t>
  </si>
  <si>
    <t>S00761993</t>
  </si>
  <si>
    <t>White</t>
  </si>
  <si>
    <t>Davonne</t>
  </si>
  <si>
    <t>S00949842</t>
  </si>
  <si>
    <t>Whittemore</t>
  </si>
  <si>
    <t>Xavier</t>
  </si>
  <si>
    <t>S00448695</t>
  </si>
  <si>
    <t>Ray</t>
  </si>
  <si>
    <t>S00134960</t>
  </si>
  <si>
    <t>O'Connor II</t>
  </si>
  <si>
    <t>S00912152</t>
  </si>
  <si>
    <t>Roberts</t>
  </si>
  <si>
    <t>George</t>
  </si>
  <si>
    <t>S00729484</t>
  </si>
  <si>
    <t>Sowders</t>
  </si>
  <si>
    <t>Andrew</t>
  </si>
  <si>
    <t>S00640600</t>
  </si>
  <si>
    <t>Holbert</t>
  </si>
  <si>
    <t>Rachael</t>
  </si>
  <si>
    <t>Lee</t>
  </si>
  <si>
    <t>Part Time Lecturer</t>
  </si>
  <si>
    <t>4W2700</t>
  </si>
  <si>
    <t>PMT</t>
  </si>
  <si>
    <t>S00031155</t>
  </si>
  <si>
    <t>Adkins</t>
  </si>
  <si>
    <t>Laronda</t>
  </si>
  <si>
    <t>3R4400</t>
  </si>
  <si>
    <t>Access</t>
  </si>
  <si>
    <t>S00870583</t>
  </si>
  <si>
    <t>Astorino</t>
  </si>
  <si>
    <t>Dean</t>
  </si>
  <si>
    <t>2F2100</t>
  </si>
  <si>
    <t>Accounting &amp; Financial Operations</t>
  </si>
  <si>
    <t>S00352387</t>
  </si>
  <si>
    <t>Childs</t>
  </si>
  <si>
    <t>Tracie</t>
  </si>
  <si>
    <t>2F7300</t>
  </si>
  <si>
    <t>Financial Aid Admin - E</t>
  </si>
  <si>
    <t>S00839559</t>
  </si>
  <si>
    <t>Angel</t>
  </si>
  <si>
    <t>2F7400</t>
  </si>
  <si>
    <t>Financial Aid Admin - D</t>
  </si>
  <si>
    <t>S00969415</t>
  </si>
  <si>
    <t>Duchnowski</t>
  </si>
  <si>
    <t>2C3525</t>
  </si>
  <si>
    <t>Plant Operations - CCW</t>
  </si>
  <si>
    <t>S00872953</t>
  </si>
  <si>
    <t>Faciana</t>
  </si>
  <si>
    <t>Christopher</t>
  </si>
  <si>
    <t>1H5400</t>
  </si>
  <si>
    <t>Health and Wellness Admin</t>
  </si>
  <si>
    <t>S01007572</t>
  </si>
  <si>
    <t>Gasper</t>
  </si>
  <si>
    <t>Natalie</t>
  </si>
  <si>
    <t>3W3420</t>
  </si>
  <si>
    <t>Intramurals - W</t>
  </si>
  <si>
    <t>S01085564</t>
  </si>
  <si>
    <t>Harmon</t>
  </si>
  <si>
    <t>Elaine</t>
  </si>
  <si>
    <t>MED MUT PROF</t>
  </si>
  <si>
    <t>S00441113</t>
  </si>
  <si>
    <t>Herron</t>
  </si>
  <si>
    <t>Tamera</t>
  </si>
  <si>
    <t>3C5500</t>
  </si>
  <si>
    <t>Student Support Svcs - M</t>
  </si>
  <si>
    <t>S00014965</t>
  </si>
  <si>
    <t>Hobbs</t>
  </si>
  <si>
    <t>Angela</t>
  </si>
  <si>
    <t>S00473451</t>
  </si>
  <si>
    <t>Ignacio</t>
  </si>
  <si>
    <t>Kristie</t>
  </si>
  <si>
    <t>3W3300</t>
  </si>
  <si>
    <t>Enrollment Center - W</t>
  </si>
  <si>
    <t>S00728634</t>
  </si>
  <si>
    <t>Kertes</t>
  </si>
  <si>
    <t>Paula</t>
  </si>
  <si>
    <t>3C8650</t>
  </si>
  <si>
    <t>GED</t>
  </si>
  <si>
    <t>S00990517</t>
  </si>
  <si>
    <t>Martinez</t>
  </si>
  <si>
    <t>Julio</t>
  </si>
  <si>
    <t>Jose</t>
  </si>
  <si>
    <t>4W2500</t>
  </si>
  <si>
    <t>IMT/IST Credit</t>
  </si>
  <si>
    <t>S00585679</t>
  </si>
  <si>
    <t>Strother</t>
  </si>
  <si>
    <t>Sasha</t>
  </si>
  <si>
    <t>S00019021</t>
  </si>
  <si>
    <t>Sweet</t>
  </si>
  <si>
    <t>Roland</t>
  </si>
  <si>
    <t>3F2100</t>
  </si>
  <si>
    <t>Career Center</t>
  </si>
  <si>
    <t>S01086456</t>
  </si>
  <si>
    <t>Michelle</t>
  </si>
  <si>
    <t>1K3100</t>
  </si>
  <si>
    <t>Interactive Marketing</t>
  </si>
  <si>
    <t>S00667823</t>
  </si>
  <si>
    <t>Rollins</t>
  </si>
  <si>
    <t>Desmond</t>
  </si>
  <si>
    <t>3M3410</t>
  </si>
  <si>
    <t>Intercollegiate Athletics - M</t>
  </si>
  <si>
    <t>S01086453</t>
  </si>
  <si>
    <t>Brown</t>
  </si>
  <si>
    <t>Jill</t>
  </si>
  <si>
    <t>S01085076</t>
  </si>
  <si>
    <t>H</t>
  </si>
  <si>
    <t>4A1100</t>
  </si>
  <si>
    <t>WEDD EVP Office</t>
  </si>
  <si>
    <t>S00539966</t>
  </si>
  <si>
    <t>Haworth</t>
  </si>
  <si>
    <t>Laurie</t>
  </si>
  <si>
    <t>S00673078</t>
  </si>
  <si>
    <t>Taylor</t>
  </si>
  <si>
    <t>Nikol</t>
  </si>
  <si>
    <t>Marguerite</t>
  </si>
  <si>
    <t>2F7600</t>
  </si>
  <si>
    <t>Financial Aid Central Processing</t>
  </si>
  <si>
    <t>S00008546</t>
  </si>
  <si>
    <t>Bradley</t>
  </si>
  <si>
    <t>2C3230</t>
  </si>
  <si>
    <t>Grounds Maintenance - W</t>
  </si>
  <si>
    <t>S00864785</t>
  </si>
  <si>
    <t>Ambrosia-Conn</t>
  </si>
  <si>
    <t>Kristina</t>
  </si>
  <si>
    <t>S00568783</t>
  </si>
  <si>
    <t>Dranuski</t>
  </si>
  <si>
    <t>S00311168</t>
  </si>
  <si>
    <t>Humensky</t>
  </si>
  <si>
    <t>2F5100</t>
  </si>
  <si>
    <t>Campus Card Services</t>
  </si>
  <si>
    <t>S00640624</t>
  </si>
  <si>
    <t>Knight</t>
  </si>
  <si>
    <t>Cheryl</t>
  </si>
  <si>
    <t>3F1100</t>
  </si>
  <si>
    <t>Faculty &amp; Academic Prof Devel</t>
  </si>
  <si>
    <t>S00586062</t>
  </si>
  <si>
    <t>Koltnow</t>
  </si>
  <si>
    <t>Eric</t>
  </si>
  <si>
    <t>3M4650</t>
  </si>
  <si>
    <t>Recording Arts Technology</t>
  </si>
  <si>
    <t>S00621419</t>
  </si>
  <si>
    <t>Provost</t>
  </si>
  <si>
    <t>Terrence</t>
  </si>
  <si>
    <t>3C2150</t>
  </si>
  <si>
    <t>Development Education - M</t>
  </si>
  <si>
    <t>S00566370</t>
  </si>
  <si>
    <t>Banks</t>
  </si>
  <si>
    <t>Andrea</t>
  </si>
  <si>
    <t>Brunswick</t>
  </si>
  <si>
    <t>3W2130</t>
  </si>
  <si>
    <t>Brunswick Credit</t>
  </si>
  <si>
    <t>S01082987</t>
  </si>
  <si>
    <t>Booker</t>
  </si>
  <si>
    <t>Alicia</t>
  </si>
  <si>
    <t>4W2300</t>
  </si>
  <si>
    <t>VP Mfg</t>
  </si>
  <si>
    <t>S01037212</t>
  </si>
  <si>
    <t>Fisher</t>
  </si>
  <si>
    <t>James</t>
  </si>
  <si>
    <t>3W2355</t>
  </si>
  <si>
    <t>Nuclear Medicine</t>
  </si>
  <si>
    <t>S01067806</t>
  </si>
  <si>
    <t>Franks</t>
  </si>
  <si>
    <t>Kamiya</t>
  </si>
  <si>
    <t>4A1500</t>
  </si>
  <si>
    <t>Youth Technologies</t>
  </si>
  <si>
    <t>S00073575</t>
  </si>
  <si>
    <t>Houdek</t>
  </si>
  <si>
    <t>Nicole</t>
  </si>
  <si>
    <t>3M4100</t>
  </si>
  <si>
    <t>Dean Creative Arts</t>
  </si>
  <si>
    <t>S00929859</t>
  </si>
  <si>
    <t>McDonald</t>
  </si>
  <si>
    <t>Delonte</t>
  </si>
  <si>
    <t>Cortez</t>
  </si>
  <si>
    <t>S01084020</t>
  </si>
  <si>
    <t>Sobowale</t>
  </si>
  <si>
    <t>Joy</t>
  </si>
  <si>
    <t>I</t>
  </si>
  <si>
    <t>3M1010</t>
  </si>
  <si>
    <t>Campus President - M</t>
  </si>
  <si>
    <t>S00028939</t>
  </si>
  <si>
    <t>Jones-Williams</t>
  </si>
  <si>
    <t>Kay</t>
  </si>
  <si>
    <t>1A1200</t>
  </si>
  <si>
    <t>Board Of Trustees</t>
  </si>
  <si>
    <t>S00830946</t>
  </si>
  <si>
    <t>Bankston</t>
  </si>
  <si>
    <t>Brianna</t>
  </si>
  <si>
    <t>S01083676</t>
  </si>
  <si>
    <t>Bloss</t>
  </si>
  <si>
    <t>Louis</t>
  </si>
  <si>
    <t>S01084070</t>
  </si>
  <si>
    <t>Eckert</t>
  </si>
  <si>
    <t>3W2715</t>
  </si>
  <si>
    <t>Education - W</t>
  </si>
  <si>
    <t>S00470274</t>
  </si>
  <si>
    <t>Heimberger</t>
  </si>
  <si>
    <t>Edward</t>
  </si>
  <si>
    <t>2C3310</t>
  </si>
  <si>
    <t>Building Maintenance - E</t>
  </si>
  <si>
    <t>S01068990</t>
  </si>
  <si>
    <t>Hester</t>
  </si>
  <si>
    <t>Crystal</t>
  </si>
  <si>
    <t>3S2500</t>
  </si>
  <si>
    <t>Library TLC LRC- S</t>
  </si>
  <si>
    <t>S00616382</t>
  </si>
  <si>
    <t>Hill</t>
  </si>
  <si>
    <t>Yolanda</t>
  </si>
  <si>
    <t>2F7200</t>
  </si>
  <si>
    <t>Financial Aid Admin - W</t>
  </si>
  <si>
    <t>S01084021</t>
  </si>
  <si>
    <t>Jones</t>
  </si>
  <si>
    <t>Derrick</t>
  </si>
  <si>
    <t>S00501473</t>
  </si>
  <si>
    <t>McCarthy</t>
  </si>
  <si>
    <t>Raymond</t>
  </si>
  <si>
    <t>2S2510</t>
  </si>
  <si>
    <t>Law Enforcement - Brunswick</t>
  </si>
  <si>
    <t>S01005702</t>
  </si>
  <si>
    <t>Mihalek</t>
  </si>
  <si>
    <t>Nicholas</t>
  </si>
  <si>
    <t>S00032539</t>
  </si>
  <si>
    <t>Murray</t>
  </si>
  <si>
    <t>Shirley</t>
  </si>
  <si>
    <t>S00057739</t>
  </si>
  <si>
    <t>Schmidt</t>
  </si>
  <si>
    <t>4W3450</t>
  </si>
  <si>
    <t>Health Practitioner</t>
  </si>
  <si>
    <t>S00361996</t>
  </si>
  <si>
    <t>Zarback</t>
  </si>
  <si>
    <t>Karen</t>
  </si>
  <si>
    <t>3E3125</t>
  </si>
  <si>
    <t>Counseling - E</t>
  </si>
  <si>
    <t>S01083894</t>
  </si>
  <si>
    <t>Aquino</t>
  </si>
  <si>
    <t>Antonina</t>
  </si>
  <si>
    <t>S01083783</t>
  </si>
  <si>
    <t>Ardo</t>
  </si>
  <si>
    <t>Alexandra</t>
  </si>
  <si>
    <t>3X3177</t>
  </si>
  <si>
    <t>Upward Bound Math/Science Funds</t>
  </si>
  <si>
    <t>S00600564</t>
  </si>
  <si>
    <t>Ebert</t>
  </si>
  <si>
    <t>4W2110</t>
  </si>
  <si>
    <t>BCTC/PAT</t>
  </si>
  <si>
    <t>S01083782</t>
  </si>
  <si>
    <t>Gushue</t>
  </si>
  <si>
    <t>Sabrina</t>
  </si>
  <si>
    <t>S00642692</t>
  </si>
  <si>
    <t>Chene'</t>
  </si>
  <si>
    <t>S00034126</t>
  </si>
  <si>
    <t>Karr</t>
  </si>
  <si>
    <t>Steven</t>
  </si>
  <si>
    <t>S01084301</t>
  </si>
  <si>
    <t>Nagy</t>
  </si>
  <si>
    <t>S00048144</t>
  </si>
  <si>
    <t>Oliver-Wachira</t>
  </si>
  <si>
    <t>Shiesha</t>
  </si>
  <si>
    <t>Malik</t>
  </si>
  <si>
    <t>S00061005</t>
  </si>
  <si>
    <t>Shomo</t>
  </si>
  <si>
    <t>Vaquet</t>
  </si>
  <si>
    <t>S01063518</t>
  </si>
  <si>
    <t>Tenbergen</t>
  </si>
  <si>
    <t>Klaus</t>
  </si>
  <si>
    <t>3M6240</t>
  </si>
  <si>
    <t>Hospitality Management - M</t>
  </si>
  <si>
    <t>S00950818</t>
  </si>
  <si>
    <t>Cammon</t>
  </si>
  <si>
    <t>Aaron</t>
  </si>
  <si>
    <t>Alexander</t>
  </si>
  <si>
    <t>S01052966</t>
  </si>
  <si>
    <t>Martin</t>
  </si>
  <si>
    <t>Quiyon</t>
  </si>
  <si>
    <t>S00316351</t>
  </si>
  <si>
    <t>Ballonoff</t>
  </si>
  <si>
    <t>3S2380</t>
  </si>
  <si>
    <t>Physics - S</t>
  </si>
  <si>
    <t>S00564758</t>
  </si>
  <si>
    <t>Bansal</t>
  </si>
  <si>
    <t>Mandeep</t>
  </si>
  <si>
    <t>3M2635</t>
  </si>
  <si>
    <t>Manufacturing Industrial Tech - M</t>
  </si>
  <si>
    <t>S01082068</t>
  </si>
  <si>
    <t>Bianchini</t>
  </si>
  <si>
    <t>3W3500</t>
  </si>
  <si>
    <t>Student Activities - W</t>
  </si>
  <si>
    <t>S01075851</t>
  </si>
  <si>
    <t>Borvayeh</t>
  </si>
  <si>
    <t>Leila</t>
  </si>
  <si>
    <t>3E2380</t>
  </si>
  <si>
    <t>Physics - E</t>
  </si>
  <si>
    <t>S00289294</t>
  </si>
  <si>
    <t>Buffington</t>
  </si>
  <si>
    <t>Grovine</t>
  </si>
  <si>
    <t>S00618401</t>
  </si>
  <si>
    <t>Cloud</t>
  </si>
  <si>
    <t>Ntianu</t>
  </si>
  <si>
    <t>S01054317</t>
  </si>
  <si>
    <t>Conway</t>
  </si>
  <si>
    <t>Felton</t>
  </si>
  <si>
    <t>Lewis</t>
  </si>
  <si>
    <t>S01082803</t>
  </si>
  <si>
    <t>Doherty</t>
  </si>
  <si>
    <t>Nancy</t>
  </si>
  <si>
    <t>3S2400</t>
  </si>
  <si>
    <t>Assessment &amp; Tutoring- S</t>
  </si>
  <si>
    <t>S00985250</t>
  </si>
  <si>
    <t>Frazier</t>
  </si>
  <si>
    <t>Jevon</t>
  </si>
  <si>
    <t>S00929950</t>
  </si>
  <si>
    <t>Gocinski</t>
  </si>
  <si>
    <t>Hannah</t>
  </si>
  <si>
    <t>3M2305</t>
  </si>
  <si>
    <t>Biology - M</t>
  </si>
  <si>
    <t>S00464231</t>
  </si>
  <si>
    <t>Grant</t>
  </si>
  <si>
    <t>Pamela</t>
  </si>
  <si>
    <t>3W2220</t>
  </si>
  <si>
    <t>Business Administration - W</t>
  </si>
  <si>
    <t>S01078144</t>
  </si>
  <si>
    <t>Greene</t>
  </si>
  <si>
    <t>3E2305</t>
  </si>
  <si>
    <t>Biology - E</t>
  </si>
  <si>
    <t>S00875068</t>
  </si>
  <si>
    <t>Hawkins</t>
  </si>
  <si>
    <t>Erica</t>
  </si>
  <si>
    <t>S01013320</t>
  </si>
  <si>
    <t>Marcellus</t>
  </si>
  <si>
    <t>S00883612</t>
  </si>
  <si>
    <t>Kelly</t>
  </si>
  <si>
    <t>Cierra</t>
  </si>
  <si>
    <t>S01050178</t>
  </si>
  <si>
    <t>Khanam</t>
  </si>
  <si>
    <t>Anees</t>
  </si>
  <si>
    <t>S01076823</t>
  </si>
  <si>
    <t>Konopka</t>
  </si>
  <si>
    <t>Catherine</t>
  </si>
  <si>
    <t>3W2305</t>
  </si>
  <si>
    <t>Biology - W</t>
  </si>
  <si>
    <t>S01083102</t>
  </si>
  <si>
    <t>Kozlosky</t>
  </si>
  <si>
    <t>Carl</t>
  </si>
  <si>
    <t>3C4350</t>
  </si>
  <si>
    <t>Development Education - E</t>
  </si>
  <si>
    <t>S00050264</t>
  </si>
  <si>
    <t>Lisy</t>
  </si>
  <si>
    <t>Debbra</t>
  </si>
  <si>
    <t>Harbst</t>
  </si>
  <si>
    <t>3M2845</t>
  </si>
  <si>
    <t>Occupational Therapy - M</t>
  </si>
  <si>
    <t>S01073793</t>
  </si>
  <si>
    <t>Mavroidis</t>
  </si>
  <si>
    <t>Spiro</t>
  </si>
  <si>
    <t>S00891188</t>
  </si>
  <si>
    <t>Michal</t>
  </si>
  <si>
    <t>3W2365</t>
  </si>
  <si>
    <t>Physical Education - W</t>
  </si>
  <si>
    <t>S01082599</t>
  </si>
  <si>
    <t>Might-Zdradzinski</t>
  </si>
  <si>
    <t>Katherine</t>
  </si>
  <si>
    <t>Anne</t>
  </si>
  <si>
    <t>S01081915</t>
  </si>
  <si>
    <t>Montgomery</t>
  </si>
  <si>
    <t>Tracey</t>
  </si>
  <si>
    <t>Sonyette Brown</t>
  </si>
  <si>
    <t>3M2855</t>
  </si>
  <si>
    <t>Physical Therapy  Assisting - M</t>
  </si>
  <si>
    <t>S01082409</t>
  </si>
  <si>
    <t>Paladino</t>
  </si>
  <si>
    <t>Jacqueline</t>
  </si>
  <si>
    <t>S00852411</t>
  </si>
  <si>
    <t>Parker</t>
  </si>
  <si>
    <t>Bernard</t>
  </si>
  <si>
    <t>S01019710</t>
  </si>
  <si>
    <t>Pauer</t>
  </si>
  <si>
    <t>3S2260</t>
  </si>
  <si>
    <t>Information Technology - S</t>
  </si>
  <si>
    <t>S00138003</t>
  </si>
  <si>
    <t>Pearson</t>
  </si>
  <si>
    <t>Anthony</t>
  </si>
  <si>
    <t>S00914286</t>
  </si>
  <si>
    <t>Price</t>
  </si>
  <si>
    <t>Shavonne</t>
  </si>
  <si>
    <t>S00625822</t>
  </si>
  <si>
    <t>Radivoyevitch</t>
  </si>
  <si>
    <t>Kirsten</t>
  </si>
  <si>
    <t>3E2805</t>
  </si>
  <si>
    <t>Teacher Education - E</t>
  </si>
  <si>
    <t>S00919731</t>
  </si>
  <si>
    <t>S00989660</t>
  </si>
  <si>
    <t>Robey</t>
  </si>
  <si>
    <t>S00983820</t>
  </si>
  <si>
    <t>Rodriguez</t>
  </si>
  <si>
    <t>Manuel</t>
  </si>
  <si>
    <t>S01078148</t>
  </si>
  <si>
    <t>Serga</t>
  </si>
  <si>
    <t>Cherry</t>
  </si>
  <si>
    <t>S01078659</t>
  </si>
  <si>
    <t>Sheavly</t>
  </si>
  <si>
    <t>Ginger</t>
  </si>
  <si>
    <t>Pye</t>
  </si>
  <si>
    <t>S01081945</t>
  </si>
  <si>
    <t>Sicree</t>
  </si>
  <si>
    <t>Joan</t>
  </si>
  <si>
    <t>3W2395</t>
  </si>
  <si>
    <t>Veterinary Technology - W</t>
  </si>
  <si>
    <t>S00943089</t>
  </si>
  <si>
    <t>Smith</t>
  </si>
  <si>
    <t>LaToya</t>
  </si>
  <si>
    <t>S00818887</t>
  </si>
  <si>
    <t>Stephens</t>
  </si>
  <si>
    <t>Marquesa</t>
  </si>
  <si>
    <t>S01018866</t>
  </si>
  <si>
    <t>Thompson</t>
  </si>
  <si>
    <t>Donovan</t>
  </si>
  <si>
    <t>S01082933</t>
  </si>
  <si>
    <t>Tofan</t>
  </si>
  <si>
    <t>Monica</t>
  </si>
  <si>
    <t>3W2420</t>
  </si>
  <si>
    <t>English as a Second Language - W</t>
  </si>
  <si>
    <t>S00617359</t>
  </si>
  <si>
    <t>Brittany</t>
  </si>
  <si>
    <t>S00918611</t>
  </si>
  <si>
    <t>Yannie</t>
  </si>
  <si>
    <t>Victoria</t>
  </si>
  <si>
    <t>3M2365</t>
  </si>
  <si>
    <t>Physical Education - M</t>
  </si>
  <si>
    <t>S00389802</t>
  </si>
  <si>
    <t>Young</t>
  </si>
  <si>
    <t>Brett</t>
  </si>
  <si>
    <t>Lincoln</t>
  </si>
  <si>
    <t>S00972590</t>
  </si>
  <si>
    <t>2C3120</t>
  </si>
  <si>
    <t>Custodial Services - M</t>
  </si>
  <si>
    <t>S00215030</t>
  </si>
  <si>
    <t>Bondzio</t>
  </si>
  <si>
    <t>S00040752</t>
  </si>
  <si>
    <t>Noll</t>
  </si>
  <si>
    <t>S00116264</t>
  </si>
  <si>
    <t>Parsian</t>
  </si>
  <si>
    <t>Zohreh</t>
  </si>
  <si>
    <t>S01018261</t>
  </si>
  <si>
    <t>Rios</t>
  </si>
  <si>
    <t>Sylvia</t>
  </si>
  <si>
    <t>S00854686</t>
  </si>
  <si>
    <t>Taylor Heard</t>
  </si>
  <si>
    <t>Janice</t>
  </si>
  <si>
    <t>Diane</t>
  </si>
  <si>
    <t>3W2100</t>
  </si>
  <si>
    <t>Dean Learning &amp; Engagement - W</t>
  </si>
  <si>
    <t>S00010593</t>
  </si>
  <si>
    <t>Christman</t>
  </si>
  <si>
    <t>Julie</t>
  </si>
  <si>
    <t>S00906524</t>
  </si>
  <si>
    <t>Clark</t>
  </si>
  <si>
    <t>Troy</t>
  </si>
  <si>
    <t>S00745955</t>
  </si>
  <si>
    <t>Hager</t>
  </si>
  <si>
    <t>S00431471</t>
  </si>
  <si>
    <t>Druso</t>
  </si>
  <si>
    <t>2F2300</t>
  </si>
  <si>
    <t>Student Business Services</t>
  </si>
  <si>
    <t>S00260479</t>
  </si>
  <si>
    <t>Earley</t>
  </si>
  <si>
    <t>PT Instruct-Corporate College</t>
  </si>
  <si>
    <t>4C1140</t>
  </si>
  <si>
    <t>Organizational Effectiveness</t>
  </si>
  <si>
    <t>S00651635</t>
  </si>
  <si>
    <t>Lade</t>
  </si>
  <si>
    <t>Doreen</t>
  </si>
  <si>
    <t>3W2610</t>
  </si>
  <si>
    <t>Automotive Technology - W</t>
  </si>
  <si>
    <t>S01071062</t>
  </si>
  <si>
    <t>Luvison</t>
  </si>
  <si>
    <t>S00306952</t>
  </si>
  <si>
    <t>Murphy</t>
  </si>
  <si>
    <t>2F5150</t>
  </si>
  <si>
    <t>Campus Services &amp; Retail Operations</t>
  </si>
  <si>
    <t>S00702824</t>
  </si>
  <si>
    <t>Neel</t>
  </si>
  <si>
    <t>Paul</t>
  </si>
  <si>
    <t>3D1200</t>
  </si>
  <si>
    <t>Curriculum Development &amp; Assessment</t>
  </si>
  <si>
    <t>S01080545</t>
  </si>
  <si>
    <t>Petkovic</t>
  </si>
  <si>
    <t>Katrina</t>
  </si>
  <si>
    <t>S01036722</t>
  </si>
  <si>
    <t>Tarnai</t>
  </si>
  <si>
    <t>Jonathan</t>
  </si>
  <si>
    <t>S00389636</t>
  </si>
  <si>
    <t>Bender</t>
  </si>
  <si>
    <t>Mark</t>
  </si>
  <si>
    <t>S00486826</t>
  </si>
  <si>
    <t>Kollar</t>
  </si>
  <si>
    <t>S00160878</t>
  </si>
  <si>
    <t>Mastrandrea</t>
  </si>
  <si>
    <t>Mario</t>
  </si>
  <si>
    <t>4C2150</t>
  </si>
  <si>
    <t>Business &amp; Performance Development</t>
  </si>
  <si>
    <t>S00668577</t>
  </si>
  <si>
    <t>Sandercock</t>
  </si>
  <si>
    <t>Alycia</t>
  </si>
  <si>
    <t>3C3250</t>
  </si>
  <si>
    <t>Development Education - W</t>
  </si>
  <si>
    <t>S00144068</t>
  </si>
  <si>
    <t>Borys</t>
  </si>
  <si>
    <t>Peter</t>
  </si>
  <si>
    <t>4W5190</t>
  </si>
  <si>
    <t>S01070180</t>
  </si>
  <si>
    <t>See</t>
  </si>
  <si>
    <t>Heather</t>
  </si>
  <si>
    <t>S01081081</t>
  </si>
  <si>
    <t>Browning</t>
  </si>
  <si>
    <t>Devin</t>
  </si>
  <si>
    <t>S00572612</t>
  </si>
  <si>
    <t>Boross</t>
  </si>
  <si>
    <t>Kathryn</t>
  </si>
  <si>
    <t>S00549680</t>
  </si>
  <si>
    <t>Bradfield</t>
  </si>
  <si>
    <t>Loretta</t>
  </si>
  <si>
    <t>2F7100</t>
  </si>
  <si>
    <t>Financial Aid Admin - M</t>
  </si>
  <si>
    <t>S00045549</t>
  </si>
  <si>
    <t>Garth</t>
  </si>
  <si>
    <t>Wendall</t>
  </si>
  <si>
    <t>4W3350</t>
  </si>
  <si>
    <t>Job Link</t>
  </si>
  <si>
    <t>S00749437</t>
  </si>
  <si>
    <t>Gelder</t>
  </si>
  <si>
    <t>2S2400</t>
  </si>
  <si>
    <t>Law Enforcement - M</t>
  </si>
  <si>
    <t>S01006163</t>
  </si>
  <si>
    <t>Goodson</t>
  </si>
  <si>
    <t>S01080726</t>
  </si>
  <si>
    <t>Hrach</t>
  </si>
  <si>
    <t>Stephen</t>
  </si>
  <si>
    <t>S00957017</t>
  </si>
  <si>
    <t>Kriner</t>
  </si>
  <si>
    <t>Bridget</t>
  </si>
  <si>
    <t>S00731740</t>
  </si>
  <si>
    <t>2C3330</t>
  </si>
  <si>
    <t>Grounds Maintenance - E</t>
  </si>
  <si>
    <t>S00243571</t>
  </si>
  <si>
    <t>Monte</t>
  </si>
  <si>
    <t>Karla</t>
  </si>
  <si>
    <t>S01077662</t>
  </si>
  <si>
    <t>Rich</t>
  </si>
  <si>
    <t>S00666100</t>
  </si>
  <si>
    <t>Phillip</t>
  </si>
  <si>
    <t>S00572000</t>
  </si>
  <si>
    <t>Tarrant</t>
  </si>
  <si>
    <t>Rafael</t>
  </si>
  <si>
    <t>S01080097</t>
  </si>
  <si>
    <t>Tasnadi</t>
  </si>
  <si>
    <t>Megan</t>
  </si>
  <si>
    <t>Emma</t>
  </si>
  <si>
    <t>S00957285</t>
  </si>
  <si>
    <t>Waller</t>
  </si>
  <si>
    <t>Tanesha</t>
  </si>
  <si>
    <t>Shontia</t>
  </si>
  <si>
    <t>S00619438</t>
  </si>
  <si>
    <t>Eddie</t>
  </si>
  <si>
    <t>Unknown</t>
  </si>
  <si>
    <t>S00034508</t>
  </si>
  <si>
    <t>Woo</t>
  </si>
  <si>
    <t>BGS Supervisors /Non Union</t>
  </si>
  <si>
    <t>S00176098</t>
  </si>
  <si>
    <t>Ulrich</t>
  </si>
  <si>
    <t>S01076316</t>
  </si>
  <si>
    <t>Pieragostine</t>
  </si>
  <si>
    <t>Regina</t>
  </si>
  <si>
    <t>S00597033</t>
  </si>
  <si>
    <t>Sprafka</t>
  </si>
  <si>
    <t>Maria</t>
  </si>
  <si>
    <t>S00551021</t>
  </si>
  <si>
    <t>Caimi</t>
  </si>
  <si>
    <t>S00011563</t>
  </si>
  <si>
    <t>Drennan</t>
  </si>
  <si>
    <t>Harry</t>
  </si>
  <si>
    <t>Allen</t>
  </si>
  <si>
    <t>S00447149</t>
  </si>
  <si>
    <t>Funfgeld</t>
  </si>
  <si>
    <t>Erik</t>
  </si>
  <si>
    <t>S00473824</t>
  </si>
  <si>
    <t>Horn</t>
  </si>
  <si>
    <t>S01078547</t>
  </si>
  <si>
    <t>Lipke</t>
  </si>
  <si>
    <t>S00061401</t>
  </si>
  <si>
    <t>Messina</t>
  </si>
  <si>
    <t>S00569486</t>
  </si>
  <si>
    <t>Taryn</t>
  </si>
  <si>
    <t>S00601941</t>
  </si>
  <si>
    <t>Moore</t>
  </si>
  <si>
    <t>2F1100</t>
  </si>
  <si>
    <t>Administration &amp; Finance</t>
  </si>
  <si>
    <t>S00057835</t>
  </si>
  <si>
    <t>Scott</t>
  </si>
  <si>
    <t>Elijah</t>
  </si>
  <si>
    <t>3X4300</t>
  </si>
  <si>
    <t>Educational Opportunities Funds</t>
  </si>
  <si>
    <t>S01078685</t>
  </si>
  <si>
    <t>Sutton</t>
  </si>
  <si>
    <t>Marc</t>
  </si>
  <si>
    <t>S00586256</t>
  </si>
  <si>
    <t>Swope</t>
  </si>
  <si>
    <t>S00621725</t>
  </si>
  <si>
    <t>Thrasher</t>
  </si>
  <si>
    <t>S01076317</t>
  </si>
  <si>
    <t>Wheeler</t>
  </si>
  <si>
    <t>1K3200</t>
  </si>
  <si>
    <t>Marketing Publications</t>
  </si>
  <si>
    <t>S00085794</t>
  </si>
  <si>
    <t>S00220036</t>
  </si>
  <si>
    <t>Zak</t>
  </si>
  <si>
    <t>Ronald</t>
  </si>
  <si>
    <t>S00732024</t>
  </si>
  <si>
    <t>Krouse</t>
  </si>
  <si>
    <t>Ginny</t>
  </si>
  <si>
    <t>Christine</t>
  </si>
  <si>
    <t>S00026171</t>
  </si>
  <si>
    <t>Tatum</t>
  </si>
  <si>
    <t>Mary</t>
  </si>
  <si>
    <t>3M5400</t>
  </si>
  <si>
    <t>PN Credit Program</t>
  </si>
  <si>
    <t>S00336136</t>
  </si>
  <si>
    <t>4W2400</t>
  </si>
  <si>
    <t>Ford Training Program Credit</t>
  </si>
  <si>
    <t>S01071513</t>
  </si>
  <si>
    <t>Jeffrey</t>
  </si>
  <si>
    <t>Kohler</t>
  </si>
  <si>
    <t>S01002669</t>
  </si>
  <si>
    <t>Baker</t>
  </si>
  <si>
    <t>Inez</t>
  </si>
  <si>
    <t>S00288024</t>
  </si>
  <si>
    <t>Bell</t>
  </si>
  <si>
    <t>Erika</t>
  </si>
  <si>
    <t>S00041782</t>
  </si>
  <si>
    <t>Deaundra</t>
  </si>
  <si>
    <t>Joeset</t>
  </si>
  <si>
    <t>S00906185</t>
  </si>
  <si>
    <t>Craider</t>
  </si>
  <si>
    <t>Holly</t>
  </si>
  <si>
    <t>3R1600</t>
  </si>
  <si>
    <t>Call Center</t>
  </si>
  <si>
    <t>S00018548</t>
  </si>
  <si>
    <t>Ellis</t>
  </si>
  <si>
    <t>3M3500</t>
  </si>
  <si>
    <t>Student Activities - M</t>
  </si>
  <si>
    <t>S00474171</t>
  </si>
  <si>
    <t>Houlehan</t>
  </si>
  <si>
    <t>S00044914</t>
  </si>
  <si>
    <t>Alan</t>
  </si>
  <si>
    <t>S00219463</t>
  </si>
  <si>
    <t>Lucas</t>
  </si>
  <si>
    <t>S00300837</t>
  </si>
  <si>
    <t>Moranz</t>
  </si>
  <si>
    <t>3W2225</t>
  </si>
  <si>
    <t>Court Reporting &amp; Captioning - W</t>
  </si>
  <si>
    <t>S00009865</t>
  </si>
  <si>
    <t>Pope</t>
  </si>
  <si>
    <t>Terri</t>
  </si>
  <si>
    <t>S01003139</t>
  </si>
  <si>
    <t>Rawls-Groomes</t>
  </si>
  <si>
    <t>Christen</t>
  </si>
  <si>
    <t>Marquis</t>
  </si>
  <si>
    <t>S00364103</t>
  </si>
  <si>
    <t>Spotts</t>
  </si>
  <si>
    <t>Ralph</t>
  </si>
  <si>
    <t>S00927313</t>
  </si>
  <si>
    <t>Doneisha</t>
  </si>
  <si>
    <t>S00157972</t>
  </si>
  <si>
    <t>D'shaun</t>
  </si>
  <si>
    <t>Jerod</t>
  </si>
  <si>
    <t>S00930776</t>
  </si>
  <si>
    <t>Ware</t>
  </si>
  <si>
    <t>Damien</t>
  </si>
  <si>
    <t>S00307109</t>
  </si>
  <si>
    <t>S00990621</t>
  </si>
  <si>
    <t>Sarver</t>
  </si>
  <si>
    <t>S00147462</t>
  </si>
  <si>
    <t>Fambro</t>
  </si>
  <si>
    <t>Carolyn</t>
  </si>
  <si>
    <t>S00961270</t>
  </si>
  <si>
    <t>Ausperk</t>
  </si>
  <si>
    <t>2F2200</t>
  </si>
  <si>
    <t>Planning Budget &amp; Strategic Supp</t>
  </si>
  <si>
    <t>S00074109</t>
  </si>
  <si>
    <t>3E1010</t>
  </si>
  <si>
    <t>Campus President - E</t>
  </si>
  <si>
    <t>S01070283</t>
  </si>
  <si>
    <t>Factor</t>
  </si>
  <si>
    <t>Sol</t>
  </si>
  <si>
    <t>Avram</t>
  </si>
  <si>
    <t>S00841909</t>
  </si>
  <si>
    <t>Morford</t>
  </si>
  <si>
    <t>4E1100</t>
  </si>
  <si>
    <t>Community Cont Education</t>
  </si>
  <si>
    <t>S01074595</t>
  </si>
  <si>
    <t>Antwan</t>
  </si>
  <si>
    <t>Lamar</t>
  </si>
  <si>
    <t>2S2560</t>
  </si>
  <si>
    <t>Law Enforcement - CCW</t>
  </si>
  <si>
    <t>S00271207</t>
  </si>
  <si>
    <t>Davis</t>
  </si>
  <si>
    <t>Felisa</t>
  </si>
  <si>
    <t>S00620826</t>
  </si>
  <si>
    <t>Doskoch</t>
  </si>
  <si>
    <t>3M2460</t>
  </si>
  <si>
    <t>Speech Communications - M</t>
  </si>
  <si>
    <t>S00566469</t>
  </si>
  <si>
    <t>Fijalkovich</t>
  </si>
  <si>
    <t>Philip</t>
  </si>
  <si>
    <t>S00253775</t>
  </si>
  <si>
    <t>Handlovic</t>
  </si>
  <si>
    <t>Janine</t>
  </si>
  <si>
    <t>3W2200</t>
  </si>
  <si>
    <t>Assoc Dean Business &amp; IT Office-W</t>
  </si>
  <si>
    <t>S00667490</t>
  </si>
  <si>
    <t>Kerr</t>
  </si>
  <si>
    <t>Matthew</t>
  </si>
  <si>
    <t>2T2350</t>
  </si>
  <si>
    <t>Desktop Support</t>
  </si>
  <si>
    <t>S00052489</t>
  </si>
  <si>
    <t>Koskovics</t>
  </si>
  <si>
    <t>3V1200</t>
  </si>
  <si>
    <t>Media Engineering</t>
  </si>
  <si>
    <t>S01068776</t>
  </si>
  <si>
    <t>Pruett-Butler</t>
  </si>
  <si>
    <t>Wanda</t>
  </si>
  <si>
    <t>3M5300</t>
  </si>
  <si>
    <t>Nursing Administration</t>
  </si>
  <si>
    <t>S00838832</t>
  </si>
  <si>
    <t>Kriso</t>
  </si>
  <si>
    <t>3W2330</t>
  </si>
  <si>
    <t>Electroneurodiagnostic Tech - W</t>
  </si>
  <si>
    <t>S01036000</t>
  </si>
  <si>
    <t>Seman</t>
  </si>
  <si>
    <t>S00604683</t>
  </si>
  <si>
    <t>Shaw</t>
  </si>
  <si>
    <t>Athena</t>
  </si>
  <si>
    <t>Marcee'</t>
  </si>
  <si>
    <t>3I4100</t>
  </si>
  <si>
    <t>Office of eLearning &amp; Innovation</t>
  </si>
  <si>
    <t>S00237044</t>
  </si>
  <si>
    <t>Tisdale</t>
  </si>
  <si>
    <t>Brandon</t>
  </si>
  <si>
    <t>S01072274</t>
  </si>
  <si>
    <t>Wolff</t>
  </si>
  <si>
    <t>S00625575</t>
  </si>
  <si>
    <t>Carthon</t>
  </si>
  <si>
    <t>Lafayette</t>
  </si>
  <si>
    <t>3M4870</t>
  </si>
  <si>
    <t>Music - M</t>
  </si>
  <si>
    <t>S00870585</t>
  </si>
  <si>
    <t>Bajda</t>
  </si>
  <si>
    <t>Rae</t>
  </si>
  <si>
    <t>S01071238</t>
  </si>
  <si>
    <t>Bowdre</t>
  </si>
  <si>
    <t>Shaniqua</t>
  </si>
  <si>
    <t>S01072276</t>
  </si>
  <si>
    <t>Butler</t>
  </si>
  <si>
    <t>Calvin</t>
  </si>
  <si>
    <t>S01071388</t>
  </si>
  <si>
    <t>Edwards</t>
  </si>
  <si>
    <t>S01050467</t>
  </si>
  <si>
    <t>Francis</t>
  </si>
  <si>
    <t>S00083695</t>
  </si>
  <si>
    <t>Gaizutis</t>
  </si>
  <si>
    <t>Romualdas</t>
  </si>
  <si>
    <t>2S2450</t>
  </si>
  <si>
    <t>Law Enforcement - E</t>
  </si>
  <si>
    <t>S00049578</t>
  </si>
  <si>
    <t>Germano</t>
  </si>
  <si>
    <t>Salvatore</t>
  </si>
  <si>
    <t>S00881484</t>
  </si>
  <si>
    <t>Kukla</t>
  </si>
  <si>
    <t>Aniko</t>
  </si>
  <si>
    <t>S00629025</t>
  </si>
  <si>
    <t>Dannita</t>
  </si>
  <si>
    <t>S00751788</t>
  </si>
  <si>
    <t>Russell</t>
  </si>
  <si>
    <t>Melvin</t>
  </si>
  <si>
    <t>4W2200</t>
  </si>
  <si>
    <t>Digital Design &amp; MF N/C</t>
  </si>
  <si>
    <t>S01002489</t>
  </si>
  <si>
    <t>Stricklett</t>
  </si>
  <si>
    <t>S00548191</t>
  </si>
  <si>
    <t>Wagaba</t>
  </si>
  <si>
    <t>Thaddeus</t>
  </si>
  <si>
    <t>S00280127</t>
  </si>
  <si>
    <t>Weems</t>
  </si>
  <si>
    <t>3E3410</t>
  </si>
  <si>
    <t>Intercollegiate Athletics - E</t>
  </si>
  <si>
    <t>S00446897</t>
  </si>
  <si>
    <t>Lawrence</t>
  </si>
  <si>
    <t>Kathleen</t>
  </si>
  <si>
    <t>S00043971</t>
  </si>
  <si>
    <t>Riddlebaugh</t>
  </si>
  <si>
    <t>Talbot</t>
  </si>
  <si>
    <t>S00040729</t>
  </si>
  <si>
    <t>Star</t>
  </si>
  <si>
    <t>Katharina</t>
  </si>
  <si>
    <t>S00081010</t>
  </si>
  <si>
    <t>Wiley</t>
  </si>
  <si>
    <t>S00630223</t>
  </si>
  <si>
    <t>Parrish</t>
  </si>
  <si>
    <t>S01071613</t>
  </si>
  <si>
    <t>Amoroso</t>
  </si>
  <si>
    <t>S00004064</t>
  </si>
  <si>
    <t>Dobransky</t>
  </si>
  <si>
    <t>Ward</t>
  </si>
  <si>
    <t>1K3400</t>
  </si>
  <si>
    <t>Integrated Comm Operations Admin</t>
  </si>
  <si>
    <t>S00743845</t>
  </si>
  <si>
    <t>Farunia</t>
  </si>
  <si>
    <t>Huda</t>
  </si>
  <si>
    <t>S00038002</t>
  </si>
  <si>
    <t>Fleming</t>
  </si>
  <si>
    <t>Ebonie</t>
  </si>
  <si>
    <t>3E2100</t>
  </si>
  <si>
    <t>Dean Learning &amp; Engagement - E</t>
  </si>
  <si>
    <t>S00990890</t>
  </si>
  <si>
    <t>Halm</t>
  </si>
  <si>
    <t>S01071612</t>
  </si>
  <si>
    <t>Hooks</t>
  </si>
  <si>
    <t>S01071393</t>
  </si>
  <si>
    <t>Jackson</t>
  </si>
  <si>
    <t>Lowe</t>
  </si>
  <si>
    <t>S00214880</t>
  </si>
  <si>
    <t>Kasl</t>
  </si>
  <si>
    <t>S00120924</t>
  </si>
  <si>
    <t>Patrice</t>
  </si>
  <si>
    <t>S01064354</t>
  </si>
  <si>
    <t>Maggs</t>
  </si>
  <si>
    <t>Carol</t>
  </si>
  <si>
    <t>3C1600</t>
  </si>
  <si>
    <t>Dev Ed and Learning Services</t>
  </si>
  <si>
    <t>S01070078</t>
  </si>
  <si>
    <t>Molner</t>
  </si>
  <si>
    <t>Cory</t>
  </si>
  <si>
    <t>S01071824</t>
  </si>
  <si>
    <t>Noel</t>
  </si>
  <si>
    <t>S00591415</t>
  </si>
  <si>
    <t>Roper</t>
  </si>
  <si>
    <t>S01071747</t>
  </si>
  <si>
    <t>Taraschke</t>
  </si>
  <si>
    <t>Kristi</t>
  </si>
  <si>
    <t>S01071387</t>
  </si>
  <si>
    <t>Zicari</t>
  </si>
  <si>
    <t>Doris</t>
  </si>
  <si>
    <t>S01070473</t>
  </si>
  <si>
    <t>Johnston</t>
  </si>
  <si>
    <t>Tom</t>
  </si>
  <si>
    <t>Kieran</t>
  </si>
  <si>
    <t>S00010545</t>
  </si>
  <si>
    <t>Gunnison</t>
  </si>
  <si>
    <t>S01072685</t>
  </si>
  <si>
    <t>Kurkov</t>
  </si>
  <si>
    <t>Anatole</t>
  </si>
  <si>
    <t>S00619569</t>
  </si>
  <si>
    <t>Petrof</t>
  </si>
  <si>
    <t>Gery</t>
  </si>
  <si>
    <t>4W5100</t>
  </si>
  <si>
    <t>CISCO</t>
  </si>
  <si>
    <t>S00320497</t>
  </si>
  <si>
    <t>Shari</t>
  </si>
  <si>
    <t>S01004382</t>
  </si>
  <si>
    <t>Bushman</t>
  </si>
  <si>
    <t>Jonathon</t>
  </si>
  <si>
    <t>S00964840</t>
  </si>
  <si>
    <t>Crawford</t>
  </si>
  <si>
    <t>S00796839</t>
  </si>
  <si>
    <t>Durham</t>
  </si>
  <si>
    <t>Brandi</t>
  </si>
  <si>
    <t>S00004006</t>
  </si>
  <si>
    <t>Gamboa</t>
  </si>
  <si>
    <t>Gilma</t>
  </si>
  <si>
    <t>S00857579</t>
  </si>
  <si>
    <t>Hogan</t>
  </si>
  <si>
    <t>S00051838</t>
  </si>
  <si>
    <t>Jordan</t>
  </si>
  <si>
    <t>S00989593</t>
  </si>
  <si>
    <t>Kosatka</t>
  </si>
  <si>
    <t>Kira</t>
  </si>
  <si>
    <t>S00616752</t>
  </si>
  <si>
    <t>Latham</t>
  </si>
  <si>
    <t>Angele</t>
  </si>
  <si>
    <t>S00038816</t>
  </si>
  <si>
    <t>Long</t>
  </si>
  <si>
    <t>Robin</t>
  </si>
  <si>
    <t>S00808797</t>
  </si>
  <si>
    <t>Marizan</t>
  </si>
  <si>
    <t>Jenneffer</t>
  </si>
  <si>
    <t>1D1100</t>
  </si>
  <si>
    <t>Development Office</t>
  </si>
  <si>
    <t>S00920931</t>
  </si>
  <si>
    <t>Markis</t>
  </si>
  <si>
    <t>Teresa</t>
  </si>
  <si>
    <t>S00018252</t>
  </si>
  <si>
    <t>Meszaros</t>
  </si>
  <si>
    <t>Janet</t>
  </si>
  <si>
    <t>S00015791</t>
  </si>
  <si>
    <t>Nevels</t>
  </si>
  <si>
    <t>S00057317</t>
  </si>
  <si>
    <t>Rowell</t>
  </si>
  <si>
    <t>Dorian</t>
  </si>
  <si>
    <t>3E3905</t>
  </si>
  <si>
    <t>Womens Basketball - E</t>
  </si>
  <si>
    <t>S00140167</t>
  </si>
  <si>
    <t>Ruffin</t>
  </si>
  <si>
    <t>Michele</t>
  </si>
  <si>
    <t>S00901147</t>
  </si>
  <si>
    <t>Sewell</t>
  </si>
  <si>
    <t>Pratt</t>
  </si>
  <si>
    <t>S00058324</t>
  </si>
  <si>
    <t>Sinclair</t>
  </si>
  <si>
    <t>S00541061</t>
  </si>
  <si>
    <t>S01069884</t>
  </si>
  <si>
    <t>Sparrow</t>
  </si>
  <si>
    <t>Gail</t>
  </si>
  <si>
    <t>S00155976</t>
  </si>
  <si>
    <t>Speigner</t>
  </si>
  <si>
    <t>S00116284</t>
  </si>
  <si>
    <t>Sutyak</t>
  </si>
  <si>
    <t>Elisabeth</t>
  </si>
  <si>
    <t>S01070282</t>
  </si>
  <si>
    <t>Jakubchak</t>
  </si>
  <si>
    <t>Chuck</t>
  </si>
  <si>
    <t>Dennis</t>
  </si>
  <si>
    <t>S00921317</t>
  </si>
  <si>
    <t>Anderson</t>
  </si>
  <si>
    <t>S01068745</t>
  </si>
  <si>
    <t>Assily</t>
  </si>
  <si>
    <t>Rania</t>
  </si>
  <si>
    <t>3S2730</t>
  </si>
  <si>
    <t>History- S</t>
  </si>
  <si>
    <t>S01038601</t>
  </si>
  <si>
    <t>Benderro</t>
  </si>
  <si>
    <t>Girriso</t>
  </si>
  <si>
    <t>3S2305</t>
  </si>
  <si>
    <t>Biology - S</t>
  </si>
  <si>
    <t>S00957568</t>
  </si>
  <si>
    <t>Janay</t>
  </si>
  <si>
    <t>S00692919</t>
  </si>
  <si>
    <t>S00608191</t>
  </si>
  <si>
    <t>Heckler</t>
  </si>
  <si>
    <t>Jerry</t>
  </si>
  <si>
    <t>S00347480</t>
  </si>
  <si>
    <t>Kunzi</t>
  </si>
  <si>
    <t>Sonda</t>
  </si>
  <si>
    <t>4W3470</t>
  </si>
  <si>
    <t>Healthworker Support</t>
  </si>
  <si>
    <t>S01070593</t>
  </si>
  <si>
    <t>Maxey</t>
  </si>
  <si>
    <t>Claire</t>
  </si>
  <si>
    <t>S00045041</t>
  </si>
  <si>
    <t>Rackas</t>
  </si>
  <si>
    <t>S00658325</t>
  </si>
  <si>
    <t>Senkowski</t>
  </si>
  <si>
    <t>Curtis</t>
  </si>
  <si>
    <t>S00162997</t>
  </si>
  <si>
    <t>Rendlesham</t>
  </si>
  <si>
    <t>Betty</t>
  </si>
  <si>
    <t>S00405725</t>
  </si>
  <si>
    <t>Stone</t>
  </si>
  <si>
    <t>S00481833</t>
  </si>
  <si>
    <t>Kallhof</t>
  </si>
  <si>
    <t>S01064924</t>
  </si>
  <si>
    <t>Kasick</t>
  </si>
  <si>
    <t>3M2825</t>
  </si>
  <si>
    <t>Dental Hygiene - M</t>
  </si>
  <si>
    <t>S01069625</t>
  </si>
  <si>
    <t>Nedorezov</t>
  </si>
  <si>
    <t>Olivia</t>
  </si>
  <si>
    <t>3M2420</t>
  </si>
  <si>
    <t>English as a Second Language - M</t>
  </si>
  <si>
    <t>S00548452</t>
  </si>
  <si>
    <t>Healey</t>
  </si>
  <si>
    <t>S00087065</t>
  </si>
  <si>
    <t>Kuentz</t>
  </si>
  <si>
    <t>S00989583</t>
  </si>
  <si>
    <t>London</t>
  </si>
  <si>
    <t>Tamara</t>
  </si>
  <si>
    <t>S00894181</t>
  </si>
  <si>
    <t>Pitroski</t>
  </si>
  <si>
    <t>2C3220</t>
  </si>
  <si>
    <t>Custodial Services - W</t>
  </si>
  <si>
    <t>S01067953</t>
  </si>
  <si>
    <t>Sweeney-Reeves</t>
  </si>
  <si>
    <t>Norma</t>
  </si>
  <si>
    <t>3M2200</t>
  </si>
  <si>
    <t>Assoc Dean Business &amp; Tech - M</t>
  </si>
  <si>
    <t>S00037784</t>
  </si>
  <si>
    <t>Fields</t>
  </si>
  <si>
    <t>Aaliyah</t>
  </si>
  <si>
    <t>S00232614</t>
  </si>
  <si>
    <t>Gray</t>
  </si>
  <si>
    <t>Leslie</t>
  </si>
  <si>
    <t>S00786542</t>
  </si>
  <si>
    <t>Teets</t>
  </si>
  <si>
    <t>Timothy</t>
  </si>
  <si>
    <t>3M2860</t>
  </si>
  <si>
    <t>Surgical Technology - M</t>
  </si>
  <si>
    <t>S01026409</t>
  </si>
  <si>
    <t>Matthews</t>
  </si>
  <si>
    <t>Dominique</t>
  </si>
  <si>
    <t>Jovan</t>
  </si>
  <si>
    <t>S00970801</t>
  </si>
  <si>
    <t>Hirz</t>
  </si>
  <si>
    <t>3S2640</t>
  </si>
  <si>
    <t>Mathematics - S</t>
  </si>
  <si>
    <t>S00563186</t>
  </si>
  <si>
    <t>Dion</t>
  </si>
  <si>
    <t>S00035103</t>
  </si>
  <si>
    <t>Tabasso</t>
  </si>
  <si>
    <t>Gina</t>
  </si>
  <si>
    <t>S00615159</t>
  </si>
  <si>
    <t>Aminu</t>
  </si>
  <si>
    <t>Likita</t>
  </si>
  <si>
    <t>S00931500</t>
  </si>
  <si>
    <t>Arp</t>
  </si>
  <si>
    <t>3W4550</t>
  </si>
  <si>
    <t>Visual Comm &amp; Design - W</t>
  </si>
  <si>
    <t>S01067682</t>
  </si>
  <si>
    <t>Barfoot</t>
  </si>
  <si>
    <t>Alice</t>
  </si>
  <si>
    <t>S00090519</t>
  </si>
  <si>
    <t>Benmerzouga</t>
  </si>
  <si>
    <t>Imaan</t>
  </si>
  <si>
    <t>S01066408</t>
  </si>
  <si>
    <t>Berry</t>
  </si>
  <si>
    <t>Amber</t>
  </si>
  <si>
    <t>S01068245</t>
  </si>
  <si>
    <t>Blakeslee</t>
  </si>
  <si>
    <t>Samuel</t>
  </si>
  <si>
    <t>S00386835</t>
  </si>
  <si>
    <t>Renata</t>
  </si>
  <si>
    <t>3M2725</t>
  </si>
  <si>
    <t>Geography - M</t>
  </si>
  <si>
    <t>S00290118</t>
  </si>
  <si>
    <t>Thomasina</t>
  </si>
  <si>
    <t>3M2260</t>
  </si>
  <si>
    <t>Information Technology - M</t>
  </si>
  <si>
    <t>S01064359</t>
  </si>
  <si>
    <t>Chura</t>
  </si>
  <si>
    <t>Jolanta</t>
  </si>
  <si>
    <t>3W2450</t>
  </si>
  <si>
    <t>Russian - W</t>
  </si>
  <si>
    <t>S01066664</t>
  </si>
  <si>
    <t>Costa</t>
  </si>
  <si>
    <t>Paola</t>
  </si>
  <si>
    <t>3W2435</t>
  </si>
  <si>
    <t>Italian - W</t>
  </si>
  <si>
    <t>S00293080</t>
  </si>
  <si>
    <t>Dixon</t>
  </si>
  <si>
    <t>3E2785</t>
  </si>
  <si>
    <t>Environmental Health &amp; Safety</t>
  </si>
  <si>
    <t>S01053618</t>
  </si>
  <si>
    <t>Dupper</t>
  </si>
  <si>
    <t>Contole</t>
  </si>
  <si>
    <t>3W2705</t>
  </si>
  <si>
    <t>Anthropology - W</t>
  </si>
  <si>
    <t>S00154216</t>
  </si>
  <si>
    <t>Eichman</t>
  </si>
  <si>
    <t>3W2710</t>
  </si>
  <si>
    <t>Early Childhood Education - W</t>
  </si>
  <si>
    <t>S01062333</t>
  </si>
  <si>
    <t>Eischen</t>
  </si>
  <si>
    <t>Mallerie</t>
  </si>
  <si>
    <t>3E2780</t>
  </si>
  <si>
    <t>Interior Design - E</t>
  </si>
  <si>
    <t>S00828630</t>
  </si>
  <si>
    <t>Ferrari</t>
  </si>
  <si>
    <t>3S2420</t>
  </si>
  <si>
    <t>English as a Second Language - S</t>
  </si>
  <si>
    <t>S00843942</t>
  </si>
  <si>
    <t>Fuller</t>
  </si>
  <si>
    <t>Sara</t>
  </si>
  <si>
    <t>S01068129</t>
  </si>
  <si>
    <t>Goddard</t>
  </si>
  <si>
    <t>Carole</t>
  </si>
  <si>
    <t>S01065915</t>
  </si>
  <si>
    <t>Graham</t>
  </si>
  <si>
    <t>S01030623</t>
  </si>
  <si>
    <t>Hale</t>
  </si>
  <si>
    <t>3E2220</t>
  </si>
  <si>
    <t>Business Administration - E</t>
  </si>
  <si>
    <t>S01067884</t>
  </si>
  <si>
    <t>Harper</t>
  </si>
  <si>
    <t>3M4300</t>
  </si>
  <si>
    <t>Journalism &amp; Mass Comm - M</t>
  </si>
  <si>
    <t>S00443777</t>
  </si>
  <si>
    <t>Herzak-Bauman</t>
  </si>
  <si>
    <t>Lauren</t>
  </si>
  <si>
    <t>3W4150</t>
  </si>
  <si>
    <t>Art - W</t>
  </si>
  <si>
    <t>S01066675</t>
  </si>
  <si>
    <t>Hileman</t>
  </si>
  <si>
    <t>S00875523</t>
  </si>
  <si>
    <t>Ina</t>
  </si>
  <si>
    <t>S00990602</t>
  </si>
  <si>
    <t>Irvin</t>
  </si>
  <si>
    <t>3M2640</t>
  </si>
  <si>
    <t>Mathematics - M</t>
  </si>
  <si>
    <t>S01032813</t>
  </si>
  <si>
    <t>Janamanchi</t>
  </si>
  <si>
    <t>Ramalakshmi</t>
  </si>
  <si>
    <t>S01053268</t>
  </si>
  <si>
    <t>Jordan Wells</t>
  </si>
  <si>
    <t>Re'Gine</t>
  </si>
  <si>
    <t>Lynnette</t>
  </si>
  <si>
    <t>S00488887</t>
  </si>
  <si>
    <t>Kaminski</t>
  </si>
  <si>
    <t>S01069049</t>
  </si>
  <si>
    <t>Keiper</t>
  </si>
  <si>
    <t>3E2415</t>
  </si>
  <si>
    <t>English - E</t>
  </si>
  <si>
    <t>S01066946</t>
  </si>
  <si>
    <t>Kess</t>
  </si>
  <si>
    <t>3M2415</t>
  </si>
  <si>
    <t>English - M</t>
  </si>
  <si>
    <t>S01067882</t>
  </si>
  <si>
    <t>Kowalski</t>
  </si>
  <si>
    <t>S01068538</t>
  </si>
  <si>
    <t>Lachner</t>
  </si>
  <si>
    <t>S01063180</t>
  </si>
  <si>
    <t>Sara-Anne</t>
  </si>
  <si>
    <t>S01065930</t>
  </si>
  <si>
    <t>Litschel</t>
  </si>
  <si>
    <t>S00063389</t>
  </si>
  <si>
    <t>Lynch</t>
  </si>
  <si>
    <t>Nathan</t>
  </si>
  <si>
    <t>3W2735</t>
  </si>
  <si>
    <t>Humanities - W</t>
  </si>
  <si>
    <t>S00053748</t>
  </si>
  <si>
    <t>Marsick</t>
  </si>
  <si>
    <t>Susan</t>
  </si>
  <si>
    <t>S01068621</t>
  </si>
  <si>
    <t>Mastrey</t>
  </si>
  <si>
    <t>Alyssa</t>
  </si>
  <si>
    <t>S00415558</t>
  </si>
  <si>
    <t>McNair</t>
  </si>
  <si>
    <t>Ronna</t>
  </si>
  <si>
    <t>S00414653</t>
  </si>
  <si>
    <t>McVoy</t>
  </si>
  <si>
    <t>S00977972</t>
  </si>
  <si>
    <t>Meeker</t>
  </si>
  <si>
    <t>Amanda</t>
  </si>
  <si>
    <t>S01069395</t>
  </si>
  <si>
    <t>Shasta</t>
  </si>
  <si>
    <t>Q</t>
  </si>
  <si>
    <t>S00326081</t>
  </si>
  <si>
    <t>3M2755</t>
  </si>
  <si>
    <t>Religious Studies - M</t>
  </si>
  <si>
    <t>S00560835</t>
  </si>
  <si>
    <t>Morehouse</t>
  </si>
  <si>
    <t>Nathaniel</t>
  </si>
  <si>
    <t>3W2755</t>
  </si>
  <si>
    <t>Religious Studies - W</t>
  </si>
  <si>
    <t>S01063837</t>
  </si>
  <si>
    <t>Neubauer</t>
  </si>
  <si>
    <t>S00137631</t>
  </si>
  <si>
    <t>Nurse</t>
  </si>
  <si>
    <t>Tina</t>
  </si>
  <si>
    <t>S00562315</t>
  </si>
  <si>
    <t>Patrizi</t>
  </si>
  <si>
    <t>S00755399</t>
  </si>
  <si>
    <t>Pearl</t>
  </si>
  <si>
    <t>S01063085</t>
  </si>
  <si>
    <t>Pesciotta</t>
  </si>
  <si>
    <t>S00449977</t>
  </si>
  <si>
    <t>Phillips</t>
  </si>
  <si>
    <t>S00013493</t>
  </si>
  <si>
    <t>Pich</t>
  </si>
  <si>
    <t>Setha</t>
  </si>
  <si>
    <t>S01068300</t>
  </si>
  <si>
    <t>Ritter</t>
  </si>
  <si>
    <t>S01068652</t>
  </si>
  <si>
    <t>Rivera</t>
  </si>
  <si>
    <t>S00337673</t>
  </si>
  <si>
    <t>Teena</t>
  </si>
  <si>
    <t>S01068641</t>
  </si>
  <si>
    <t>Selick</t>
  </si>
  <si>
    <t>Allysun</t>
  </si>
  <si>
    <t>S00538212</t>
  </si>
  <si>
    <t>Shewalter</t>
  </si>
  <si>
    <t>Donald</t>
  </si>
  <si>
    <t>3M2630</t>
  </si>
  <si>
    <t>S00658431</t>
  </si>
  <si>
    <t>Sopher</t>
  </si>
  <si>
    <t>S00577881</t>
  </si>
  <si>
    <t>Starks</t>
  </si>
  <si>
    <t>Sanchez</t>
  </si>
  <si>
    <t>Torionte'</t>
  </si>
  <si>
    <t>S00739116</t>
  </si>
  <si>
    <t>Stepanik</t>
  </si>
  <si>
    <t>4W2100</t>
  </si>
  <si>
    <t>Construction Trades Operating</t>
  </si>
  <si>
    <t>S00640026</t>
  </si>
  <si>
    <t>Stevenson</t>
  </si>
  <si>
    <t>S00632335</t>
  </si>
  <si>
    <t>Storath</t>
  </si>
  <si>
    <t>Marianne</t>
  </si>
  <si>
    <t>3E2365</t>
  </si>
  <si>
    <t>Physical Education - E</t>
  </si>
  <si>
    <t>S00613773</t>
  </si>
  <si>
    <t>Szopo</t>
  </si>
  <si>
    <t>S01063608</t>
  </si>
  <si>
    <t>Teleha</t>
  </si>
  <si>
    <t>S01063080</t>
  </si>
  <si>
    <t>Tulisiak</t>
  </si>
  <si>
    <t>S01063506</t>
  </si>
  <si>
    <t>Vaidya</t>
  </si>
  <si>
    <t>Elizabeth</t>
  </si>
  <si>
    <t>S00604589</t>
  </si>
  <si>
    <t>Vatamanu</t>
  </si>
  <si>
    <t>Ovidiu</t>
  </si>
  <si>
    <t>Lucian</t>
  </si>
  <si>
    <t>3M2380</t>
  </si>
  <si>
    <t>Physics - M</t>
  </si>
  <si>
    <t>S01068852</t>
  </si>
  <si>
    <t>Vitale</t>
  </si>
  <si>
    <t>S00073689</t>
  </si>
  <si>
    <t>Waterman</t>
  </si>
  <si>
    <t>3M2615</t>
  </si>
  <si>
    <t>Electrical-Electronic Eng - M</t>
  </si>
  <si>
    <t>S00212957</t>
  </si>
  <si>
    <t>Westfall</t>
  </si>
  <si>
    <t>3W2230</t>
  </si>
  <si>
    <t>Economics - W</t>
  </si>
  <si>
    <t>S01067910</t>
  </si>
  <si>
    <t>S01068828</t>
  </si>
  <si>
    <t>Wise</t>
  </si>
  <si>
    <t>S00212567</t>
  </si>
  <si>
    <t>Yee</t>
  </si>
  <si>
    <t>Laurel</t>
  </si>
  <si>
    <t>S01065678</t>
  </si>
  <si>
    <t>Zehnder</t>
  </si>
  <si>
    <t>Cara</t>
  </si>
  <si>
    <t>S00952508</t>
  </si>
  <si>
    <t>Barros</t>
  </si>
  <si>
    <t>Simone</t>
  </si>
  <si>
    <t>Virginia</t>
  </si>
  <si>
    <t>4W1290</t>
  </si>
  <si>
    <t>Profession</t>
  </si>
  <si>
    <t>S00117453</t>
  </si>
  <si>
    <t>Breininger</t>
  </si>
  <si>
    <t>S01067119</t>
  </si>
  <si>
    <t>Kimberlyn</t>
  </si>
  <si>
    <t>3W2600</t>
  </si>
  <si>
    <t>Assoc Dean Math - W</t>
  </si>
  <si>
    <t>S01063317</t>
  </si>
  <si>
    <t>Browder</t>
  </si>
  <si>
    <t>Mary Elizabeth</t>
  </si>
  <si>
    <t>3M2350</t>
  </si>
  <si>
    <t>Medical Assisting - M</t>
  </si>
  <si>
    <t>S00555037</t>
  </si>
  <si>
    <t>Collupy</t>
  </si>
  <si>
    <t>Erin</t>
  </si>
  <si>
    <t>S00116211</t>
  </si>
  <si>
    <t>Copeland</t>
  </si>
  <si>
    <t>S01064681</t>
  </si>
  <si>
    <t>Cox</t>
  </si>
  <si>
    <t>S00946414</t>
  </si>
  <si>
    <t>Finneran</t>
  </si>
  <si>
    <t>Collin</t>
  </si>
  <si>
    <t>S00953313</t>
  </si>
  <si>
    <t>S00044844</t>
  </si>
  <si>
    <t>Gary-Walker</t>
  </si>
  <si>
    <t>Valerie</t>
  </si>
  <si>
    <t>Arleather</t>
  </si>
  <si>
    <t>S00089373</t>
  </si>
  <si>
    <t>Gaston</t>
  </si>
  <si>
    <t>Lorraine</t>
  </si>
  <si>
    <t>3E2790</t>
  </si>
  <si>
    <t>Pharmacology - E</t>
  </si>
  <si>
    <t>S01054808</t>
  </si>
  <si>
    <t>Greenfield</t>
  </si>
  <si>
    <t>S00478420</t>
  </si>
  <si>
    <t>Jenkins</t>
  </si>
  <si>
    <t>S01002748</t>
  </si>
  <si>
    <t>Khan</t>
  </si>
  <si>
    <t>Salma</t>
  </si>
  <si>
    <t>3X4200</t>
  </si>
  <si>
    <t>Women in Transition Funds</t>
  </si>
  <si>
    <t>S00870878</t>
  </si>
  <si>
    <t>LaVecchia</t>
  </si>
  <si>
    <t>Nichole</t>
  </si>
  <si>
    <t>S00999945</t>
  </si>
  <si>
    <t>Lipford</t>
  </si>
  <si>
    <t>S00068327</t>
  </si>
  <si>
    <t>Emily</t>
  </si>
  <si>
    <t>3M1020</t>
  </si>
  <si>
    <t>Campus Scheduling - M</t>
  </si>
  <si>
    <t>S01063549</t>
  </si>
  <si>
    <t>Mraz</t>
  </si>
  <si>
    <t>Allison</t>
  </si>
  <si>
    <t>S00097030</t>
  </si>
  <si>
    <t>Nolan</t>
  </si>
  <si>
    <t>1D1200</t>
  </si>
  <si>
    <t>Alumni &amp; Friends</t>
  </si>
  <si>
    <t>S00844057</t>
  </si>
  <si>
    <t>Oriti</t>
  </si>
  <si>
    <t>S00608882</t>
  </si>
  <si>
    <t>Pegman</t>
  </si>
  <si>
    <t>S00026533</t>
  </si>
  <si>
    <t>Rice-Newell</t>
  </si>
  <si>
    <t>Ericka</t>
  </si>
  <si>
    <t>3X3240</t>
  </si>
  <si>
    <t>SEMAA-NASA</t>
  </si>
  <si>
    <t>S00021550</t>
  </si>
  <si>
    <t>Swigonski</t>
  </si>
  <si>
    <t>S00852167</t>
  </si>
  <si>
    <t>Velez</t>
  </si>
  <si>
    <t>Esther</t>
  </si>
  <si>
    <t>S00448300</t>
  </si>
  <si>
    <t>Viancourt</t>
  </si>
  <si>
    <t>S01055844</t>
  </si>
  <si>
    <t>S00023003</t>
  </si>
  <si>
    <t>Page</t>
  </si>
  <si>
    <t>Waymon</t>
  </si>
  <si>
    <t>3W3100</t>
  </si>
  <si>
    <t>Dean Student Affairs - W</t>
  </si>
  <si>
    <t>S00605872</t>
  </si>
  <si>
    <t>2T2500</t>
  </si>
  <si>
    <t>Network Services</t>
  </si>
  <si>
    <t>S00975694</t>
  </si>
  <si>
    <t>3W3450</t>
  </si>
  <si>
    <t>Womens Softball- W</t>
  </si>
  <si>
    <t>S00151667</t>
  </si>
  <si>
    <t>Biggers</t>
  </si>
  <si>
    <t>Kristine</t>
  </si>
  <si>
    <t>S00881338</t>
  </si>
  <si>
    <t>Blech</t>
  </si>
  <si>
    <t>S01066592</t>
  </si>
  <si>
    <t>Carlucci</t>
  </si>
  <si>
    <t>S00034774</t>
  </si>
  <si>
    <t>Christy</t>
  </si>
  <si>
    <t>2T1100</t>
  </si>
  <si>
    <t>ITS</t>
  </si>
  <si>
    <t>S00942773</t>
  </si>
  <si>
    <t>Crump</t>
  </si>
  <si>
    <t>3V2300</t>
  </si>
  <si>
    <t>Cable Television Operations</t>
  </si>
  <si>
    <t>S01068054</t>
  </si>
  <si>
    <t>Johnson</t>
  </si>
  <si>
    <t>Vicki</t>
  </si>
  <si>
    <t>S01055376</t>
  </si>
  <si>
    <t>Malberti</t>
  </si>
  <si>
    <t>Shelly</t>
  </si>
  <si>
    <t>S00809680</t>
  </si>
  <si>
    <t>Slater</t>
  </si>
  <si>
    <t>S00115753</t>
  </si>
  <si>
    <t>Zenora</t>
  </si>
  <si>
    <t>S00025794</t>
  </si>
  <si>
    <t>Debra</t>
  </si>
  <si>
    <t>S00234448</t>
  </si>
  <si>
    <t>Adams</t>
  </si>
  <si>
    <t>S00834765</t>
  </si>
  <si>
    <t>Benz</t>
  </si>
  <si>
    <t>Deborah</t>
  </si>
  <si>
    <t>S00914497</t>
  </si>
  <si>
    <t>Herman</t>
  </si>
  <si>
    <t>Avery</t>
  </si>
  <si>
    <t>S01059251</t>
  </si>
  <si>
    <t>Horton</t>
  </si>
  <si>
    <t>1K1100</t>
  </si>
  <si>
    <t>Integrated Comm Administration</t>
  </si>
  <si>
    <t>S01060191</t>
  </si>
  <si>
    <t>Khoury</t>
  </si>
  <si>
    <t>S00556274</t>
  </si>
  <si>
    <t>Parland</t>
  </si>
  <si>
    <t>S00036508</t>
  </si>
  <si>
    <t>Waters</t>
  </si>
  <si>
    <t>Velvey</t>
  </si>
  <si>
    <t>3M2400</t>
  </si>
  <si>
    <t>Assoc Dean Liberal Arts - M</t>
  </si>
  <si>
    <t>S01059645</t>
  </si>
  <si>
    <t>Zickefoose</t>
  </si>
  <si>
    <t>Jarrod</t>
  </si>
  <si>
    <t>S00935957</t>
  </si>
  <si>
    <t>DeLong</t>
  </si>
  <si>
    <t>Jillian</t>
  </si>
  <si>
    <t>S00010747</t>
  </si>
  <si>
    <t>1A1100</t>
  </si>
  <si>
    <t>President Office</t>
  </si>
  <si>
    <t>S00358347</t>
  </si>
  <si>
    <t>Clarke</t>
  </si>
  <si>
    <t>Courtney</t>
  </si>
  <si>
    <t>1K2100</t>
  </si>
  <si>
    <t>Market Research</t>
  </si>
  <si>
    <t>S00553294</t>
  </si>
  <si>
    <t>Crenshaw</t>
  </si>
  <si>
    <t>Gabrielle</t>
  </si>
  <si>
    <t>S00547718</t>
  </si>
  <si>
    <t>Ellis-Hill</t>
  </si>
  <si>
    <t>Ralonda</t>
  </si>
  <si>
    <t>S00855774</t>
  </si>
  <si>
    <t>Brandt</t>
  </si>
  <si>
    <t>S00567099</t>
  </si>
  <si>
    <t>Fitzgerald</t>
  </si>
  <si>
    <t>Douglas</t>
  </si>
  <si>
    <t>S01065448</t>
  </si>
  <si>
    <t>Francia</t>
  </si>
  <si>
    <t>Adrieanna</t>
  </si>
  <si>
    <t>S00961273</t>
  </si>
  <si>
    <t>Gusching</t>
  </si>
  <si>
    <t>S00035061</t>
  </si>
  <si>
    <t>Halter</t>
  </si>
  <si>
    <t>S01066156</t>
  </si>
  <si>
    <t>Hansen</t>
  </si>
  <si>
    <t>Christian</t>
  </si>
  <si>
    <t>S01055250</t>
  </si>
  <si>
    <t>Hoovler</t>
  </si>
  <si>
    <t>S00894037</t>
  </si>
  <si>
    <t>Iddrisu</t>
  </si>
  <si>
    <t>S00489877</t>
  </si>
  <si>
    <t>Labbato</t>
  </si>
  <si>
    <t>Pamelia</t>
  </si>
  <si>
    <t>S01055224</t>
  </si>
  <si>
    <t>Mencini</t>
  </si>
  <si>
    <t>2T2650</t>
  </si>
  <si>
    <t>Safe &amp; Secure Computing</t>
  </si>
  <si>
    <t>S00059659</t>
  </si>
  <si>
    <t>Miles</t>
  </si>
  <si>
    <t>S00736684</t>
  </si>
  <si>
    <t>Musai</t>
  </si>
  <si>
    <t>Bleranda</t>
  </si>
  <si>
    <t>S00982777</t>
  </si>
  <si>
    <t>Ogden Boyd</t>
  </si>
  <si>
    <t>Shannon</t>
  </si>
  <si>
    <t>S00417980</t>
  </si>
  <si>
    <t>Richardson</t>
  </si>
  <si>
    <t>Belinda</t>
  </si>
  <si>
    <t>3M2100</t>
  </si>
  <si>
    <t>Dean Learning &amp; Engagement - M</t>
  </si>
  <si>
    <t>S00846471</t>
  </si>
  <si>
    <t>Spetz</t>
  </si>
  <si>
    <t>Sarim</t>
  </si>
  <si>
    <t>S00439200</t>
  </si>
  <si>
    <t>Talley</t>
  </si>
  <si>
    <t>Nina</t>
  </si>
  <si>
    <t>S00676127</t>
  </si>
  <si>
    <t>Clarissa</t>
  </si>
  <si>
    <t>Sard'a</t>
  </si>
  <si>
    <t>4W5130</t>
  </si>
  <si>
    <t>WEDD Testing Center</t>
  </si>
  <si>
    <t>S01068833</t>
  </si>
  <si>
    <t>Bigley</t>
  </si>
  <si>
    <t>S00302801</t>
  </si>
  <si>
    <t>Jopek</t>
  </si>
  <si>
    <t>Meri</t>
  </si>
  <si>
    <t>S00848768</t>
  </si>
  <si>
    <t>Foltin</t>
  </si>
  <si>
    <t>Craig</t>
  </si>
  <si>
    <t>2A1100</t>
  </si>
  <si>
    <t>Exec VP Admin &amp; Finance</t>
  </si>
  <si>
    <t>S01038051</t>
  </si>
  <si>
    <t>Harris</t>
  </si>
  <si>
    <t>Salome</t>
  </si>
  <si>
    <t>S00376613</t>
  </si>
  <si>
    <t>Cedric</t>
  </si>
  <si>
    <t>D. T.</t>
  </si>
  <si>
    <t>S00569278</t>
  </si>
  <si>
    <t>Rankins</t>
  </si>
  <si>
    <t>S00923933</t>
  </si>
  <si>
    <t>Latifa</t>
  </si>
  <si>
    <t>S00972089</t>
  </si>
  <si>
    <t>Agnes</t>
  </si>
  <si>
    <t>3E3100</t>
  </si>
  <si>
    <t>Dean Access &amp; Completion - E</t>
  </si>
  <si>
    <t>S00081687</t>
  </si>
  <si>
    <t>Blaine</t>
  </si>
  <si>
    <t>S00573906</t>
  </si>
  <si>
    <t>S00573916</t>
  </si>
  <si>
    <t>DiMaria</t>
  </si>
  <si>
    <t>Mariano</t>
  </si>
  <si>
    <t>S00010734</t>
  </si>
  <si>
    <t>Dido</t>
  </si>
  <si>
    <t>S00183683</t>
  </si>
  <si>
    <t>Leek</t>
  </si>
  <si>
    <t>Kim</t>
  </si>
  <si>
    <t>S00579229</t>
  </si>
  <si>
    <t>Peery Gholson</t>
  </si>
  <si>
    <t>4W1260</t>
  </si>
  <si>
    <t>S00042986</t>
  </si>
  <si>
    <t>Beck</t>
  </si>
  <si>
    <t>S01054009</t>
  </si>
  <si>
    <t>Du Bois</t>
  </si>
  <si>
    <t>Jamie</t>
  </si>
  <si>
    <t>S00442922</t>
  </si>
  <si>
    <t>S01063667</t>
  </si>
  <si>
    <t>S00953510</t>
  </si>
  <si>
    <t>Pike</t>
  </si>
  <si>
    <t>S00856011</t>
  </si>
  <si>
    <t>Singaram</t>
  </si>
  <si>
    <t>Geetha</t>
  </si>
  <si>
    <t>S00408478</t>
  </si>
  <si>
    <t>Watson</t>
  </si>
  <si>
    <t>Yvonne</t>
  </si>
  <si>
    <t>S01064123</t>
  </si>
  <si>
    <t>Wray</t>
  </si>
  <si>
    <t>Kerry</t>
  </si>
  <si>
    <t>S00905659</t>
  </si>
  <si>
    <t>Archable</t>
  </si>
  <si>
    <t>S00403239</t>
  </si>
  <si>
    <t>S00899799</t>
  </si>
  <si>
    <t>Eustache</t>
  </si>
  <si>
    <t>S00964742</t>
  </si>
  <si>
    <t>Hilbert</t>
  </si>
  <si>
    <t>2F4100</t>
  </si>
  <si>
    <t>Supplier Managed Services</t>
  </si>
  <si>
    <t>S00661187</t>
  </si>
  <si>
    <t>Mathew</t>
  </si>
  <si>
    <t>Sam</t>
  </si>
  <si>
    <t>S01004501</t>
  </si>
  <si>
    <t>Morgan</t>
  </si>
  <si>
    <t>Jean</t>
  </si>
  <si>
    <t>Miguel</t>
  </si>
  <si>
    <t>3E3400</t>
  </si>
  <si>
    <t>Community Recreation - E</t>
  </si>
  <si>
    <t>S00010483</t>
  </si>
  <si>
    <t>Welch</t>
  </si>
  <si>
    <t>Lillian</t>
  </si>
  <si>
    <t>S00907726</t>
  </si>
  <si>
    <t>D'Aloiso</t>
  </si>
  <si>
    <t>S01063318</t>
  </si>
  <si>
    <t>Lane</t>
  </si>
  <si>
    <t>Patricia</t>
  </si>
  <si>
    <t>Gartman</t>
  </si>
  <si>
    <t>S01060266</t>
  </si>
  <si>
    <t>Kulis</t>
  </si>
  <si>
    <t>4W2420</t>
  </si>
  <si>
    <t>Ford Training Program N/C</t>
  </si>
  <si>
    <t>S00079014</t>
  </si>
  <si>
    <t>Corprew</t>
  </si>
  <si>
    <t>S01000263</t>
  </si>
  <si>
    <t>S00081091</t>
  </si>
  <si>
    <t>Hunter</t>
  </si>
  <si>
    <t>S00181123</t>
  </si>
  <si>
    <t>Atwood</t>
  </si>
  <si>
    <t>Vivian</t>
  </si>
  <si>
    <t>S00892963</t>
  </si>
  <si>
    <t>Ballinger</t>
  </si>
  <si>
    <t>S00061745</t>
  </si>
  <si>
    <t>Caldwell</t>
  </si>
  <si>
    <t>Jeremy</t>
  </si>
  <si>
    <t>S00945753</t>
  </si>
  <si>
    <t>Gross</t>
  </si>
  <si>
    <t>S01010002</t>
  </si>
  <si>
    <t>Rodriguez Baylis</t>
  </si>
  <si>
    <t>S01026135</t>
  </si>
  <si>
    <t>Schulte</t>
  </si>
  <si>
    <t>S00689341</t>
  </si>
  <si>
    <t>Vance</t>
  </si>
  <si>
    <t>Karah</t>
  </si>
  <si>
    <t>S00881598</t>
  </si>
  <si>
    <t>Ian</t>
  </si>
  <si>
    <t>S00844726</t>
  </si>
  <si>
    <t>Conlon</t>
  </si>
  <si>
    <t>Ashley</t>
  </si>
  <si>
    <t>Ellen</t>
  </si>
  <si>
    <t>S00066320</t>
  </si>
  <si>
    <t>Braun</t>
  </si>
  <si>
    <t>Alison</t>
  </si>
  <si>
    <t>S00393869</t>
  </si>
  <si>
    <t>Costello</t>
  </si>
  <si>
    <t>Clare</t>
  </si>
  <si>
    <t>S00724456</t>
  </si>
  <si>
    <t>McMahon</t>
  </si>
  <si>
    <t>S00583770</t>
  </si>
  <si>
    <t>Pruitt</t>
  </si>
  <si>
    <t>S00578056</t>
  </si>
  <si>
    <t>Raber</t>
  </si>
  <si>
    <t>Larry</t>
  </si>
  <si>
    <t>S01061021</t>
  </si>
  <si>
    <t>Sedgwick</t>
  </si>
  <si>
    <t>Seth</t>
  </si>
  <si>
    <t>S00418136</t>
  </si>
  <si>
    <t>Sturik</t>
  </si>
  <si>
    <t>S00628848</t>
  </si>
  <si>
    <t>Zickel</t>
  </si>
  <si>
    <t>S00966212</t>
  </si>
  <si>
    <t>Rachakonda</t>
  </si>
  <si>
    <t>Suguna</t>
  </si>
  <si>
    <t>4C1180</t>
  </si>
  <si>
    <t>Health Info Tech Prog</t>
  </si>
  <si>
    <t>S00930592</t>
  </si>
  <si>
    <t>Breehl</t>
  </si>
  <si>
    <t>Dawn</t>
  </si>
  <si>
    <t>4C3100</t>
  </si>
  <si>
    <t>Business Development</t>
  </si>
  <si>
    <t>S00271998</t>
  </si>
  <si>
    <t>Chizmar</t>
  </si>
  <si>
    <t>Albert</t>
  </si>
  <si>
    <t>S00322409</t>
  </si>
  <si>
    <t>Theodore</t>
  </si>
  <si>
    <t>S00010884</t>
  </si>
  <si>
    <t>Ivory</t>
  </si>
  <si>
    <t>S00064852</t>
  </si>
  <si>
    <t>Kaplan</t>
  </si>
  <si>
    <t>4C2140</t>
  </si>
  <si>
    <t>Lean/Six Sigma</t>
  </si>
  <si>
    <t>S01061323</t>
  </si>
  <si>
    <t>Rios-Sparks</t>
  </si>
  <si>
    <t>S00416338</t>
  </si>
  <si>
    <t>Stasenko</t>
  </si>
  <si>
    <t>Jason</t>
  </si>
  <si>
    <t>S00560473</t>
  </si>
  <si>
    <t>Voloshen</t>
  </si>
  <si>
    <t>S00010339</t>
  </si>
  <si>
    <t>Walker</t>
  </si>
  <si>
    <t>Drucilla</t>
  </si>
  <si>
    <t>3M2335</t>
  </si>
  <si>
    <t>Emergency Medical Technology - M</t>
  </si>
  <si>
    <t>S01052652</t>
  </si>
  <si>
    <t>Wright</t>
  </si>
  <si>
    <t>Carla</t>
  </si>
  <si>
    <t>3X1100</t>
  </si>
  <si>
    <t>College Pathway Admin</t>
  </si>
  <si>
    <t>S00477632</t>
  </si>
  <si>
    <t>Monyulona</t>
  </si>
  <si>
    <t>Y</t>
  </si>
  <si>
    <t>S01055168</t>
  </si>
  <si>
    <t>Kulbis</t>
  </si>
  <si>
    <t>S00311939</t>
  </si>
  <si>
    <t>MacDowell</t>
  </si>
  <si>
    <t>Wilbert</t>
  </si>
  <si>
    <t>S00632764</t>
  </si>
  <si>
    <t>Timmons</t>
  </si>
  <si>
    <t>LaTasha</t>
  </si>
  <si>
    <t>3C4300</t>
  </si>
  <si>
    <t>Assessment - E</t>
  </si>
  <si>
    <t>S01060566</t>
  </si>
  <si>
    <t>Wallace</t>
  </si>
  <si>
    <t>S00009786</t>
  </si>
  <si>
    <t>Finson</t>
  </si>
  <si>
    <t>3R1100</t>
  </si>
  <si>
    <t>VP Enrollment Management</t>
  </si>
  <si>
    <t>S00665450</t>
  </si>
  <si>
    <t>Boyd</t>
  </si>
  <si>
    <t>Chuntaye</t>
  </si>
  <si>
    <t>Letrice</t>
  </si>
  <si>
    <t>S00086433</t>
  </si>
  <si>
    <t>Gest</t>
  </si>
  <si>
    <t>S00984435</t>
  </si>
  <si>
    <t>Pashaj</t>
  </si>
  <si>
    <t>Mirela</t>
  </si>
  <si>
    <t>S00388483</t>
  </si>
  <si>
    <t>Schneid</t>
  </si>
  <si>
    <t>S01060642</t>
  </si>
  <si>
    <t>Tosi</t>
  </si>
  <si>
    <t>Gino</t>
  </si>
  <si>
    <t>S01060957</t>
  </si>
  <si>
    <t>Levine</t>
  </si>
  <si>
    <t>S01063090</t>
  </si>
  <si>
    <t>Ratka</t>
  </si>
  <si>
    <t>Frances</t>
  </si>
  <si>
    <t>S00116088</t>
  </si>
  <si>
    <t>Bakalar</t>
  </si>
  <si>
    <t>S00152897</t>
  </si>
  <si>
    <t>Bauer</t>
  </si>
  <si>
    <t>Jodi</t>
  </si>
  <si>
    <t>S01059365</t>
  </si>
  <si>
    <t>Blasio</t>
  </si>
  <si>
    <t>S00608957</t>
  </si>
  <si>
    <t>Bowman</t>
  </si>
  <si>
    <t>S00023925</t>
  </si>
  <si>
    <t>Brabson</t>
  </si>
  <si>
    <t>Thia</t>
  </si>
  <si>
    <t>S00010380</t>
  </si>
  <si>
    <t>S01059364</t>
  </si>
  <si>
    <t>Dreskin</t>
  </si>
  <si>
    <t>Lori</t>
  </si>
  <si>
    <t>Herzig</t>
  </si>
  <si>
    <t>S00062447</t>
  </si>
  <si>
    <t>Emmer</t>
  </si>
  <si>
    <t>S01059366</t>
  </si>
  <si>
    <t>Greenberg</t>
  </si>
  <si>
    <t>Cohen</t>
  </si>
  <si>
    <t>S01059295</t>
  </si>
  <si>
    <t>Keller</t>
  </si>
  <si>
    <t>Joel</t>
  </si>
  <si>
    <t>Stewart</t>
  </si>
  <si>
    <t>S01060182</t>
  </si>
  <si>
    <t>Li</t>
  </si>
  <si>
    <t>Fang-Chun</t>
  </si>
  <si>
    <t>S00519881</t>
  </si>
  <si>
    <t>Petrulis</t>
  </si>
  <si>
    <t>Jana</t>
  </si>
  <si>
    <t>S01026570</t>
  </si>
  <si>
    <t>Shaffer</t>
  </si>
  <si>
    <t>S01060958</t>
  </si>
  <si>
    <t>Grimm</t>
  </si>
  <si>
    <t>S00086761</t>
  </si>
  <si>
    <t>Napoli</t>
  </si>
  <si>
    <t>S00967502</t>
  </si>
  <si>
    <t>Beth</t>
  </si>
  <si>
    <t>S00624088</t>
  </si>
  <si>
    <t>Sandra</t>
  </si>
  <si>
    <t>S00153406</t>
  </si>
  <si>
    <t>Chaney</t>
  </si>
  <si>
    <t>S01060258</t>
  </si>
  <si>
    <t>Hausrod-Hodkey</t>
  </si>
  <si>
    <t>S00341554</t>
  </si>
  <si>
    <t>King</t>
  </si>
  <si>
    <t>Tracy</t>
  </si>
  <si>
    <t>S00020192</t>
  </si>
  <si>
    <t>Lyons</t>
  </si>
  <si>
    <t>Traci</t>
  </si>
  <si>
    <t>S00075756</t>
  </si>
  <si>
    <t>Musso</t>
  </si>
  <si>
    <t>S00950486</t>
  </si>
  <si>
    <t>Pankow</t>
  </si>
  <si>
    <t>Gisella</t>
  </si>
  <si>
    <t>S00395376</t>
  </si>
  <si>
    <t>Ratcliff-Johnson</t>
  </si>
  <si>
    <t>Maxine</t>
  </si>
  <si>
    <t>S01057263</t>
  </si>
  <si>
    <t>Reynolds</t>
  </si>
  <si>
    <t>S01060222</t>
  </si>
  <si>
    <t>LaDawn</t>
  </si>
  <si>
    <t>S00625014</t>
  </si>
  <si>
    <t>Steinmetz</t>
  </si>
  <si>
    <t>Melissa</t>
  </si>
  <si>
    <t>S01059817</t>
  </si>
  <si>
    <t>Blakemore</t>
  </si>
  <si>
    <t>S00171887</t>
  </si>
  <si>
    <t>Pinto</t>
  </si>
  <si>
    <t>S00293464</t>
  </si>
  <si>
    <t>Miller</t>
  </si>
  <si>
    <t>4W1310</t>
  </si>
  <si>
    <t>Meeting &amp; Event Planning</t>
  </si>
  <si>
    <t>S01062763</t>
  </si>
  <si>
    <t>S01059818</t>
  </si>
  <si>
    <t>Bodapati</t>
  </si>
  <si>
    <t>Radha</t>
  </si>
  <si>
    <t>3W2730</t>
  </si>
  <si>
    <t>History - W</t>
  </si>
  <si>
    <t>S00879954</t>
  </si>
  <si>
    <t>Bucur</t>
  </si>
  <si>
    <t>Phil</t>
  </si>
  <si>
    <t>S01059723</t>
  </si>
  <si>
    <t>Burger</t>
  </si>
  <si>
    <t>S00433294</t>
  </si>
  <si>
    <t>Cali</t>
  </si>
  <si>
    <t>S00921512</t>
  </si>
  <si>
    <t>Cicerchi</t>
  </si>
  <si>
    <t>Tanja</t>
  </si>
  <si>
    <t>3E2640</t>
  </si>
  <si>
    <t>Mathematics - E</t>
  </si>
  <si>
    <t>S01059377</t>
  </si>
  <si>
    <t>S01055368</t>
  </si>
  <si>
    <t>3S2310</t>
  </si>
  <si>
    <t>Chemistry - S</t>
  </si>
  <si>
    <t>S00121319</t>
  </si>
  <si>
    <t>Kuhlman</t>
  </si>
  <si>
    <t>S01059719</t>
  </si>
  <si>
    <t>LaGrotteria</t>
  </si>
  <si>
    <t>3W2775</t>
  </si>
  <si>
    <t>Womens Studies - W</t>
  </si>
  <si>
    <t>S00499716</t>
  </si>
  <si>
    <t>Marusic</t>
  </si>
  <si>
    <t>S00099069</t>
  </si>
  <si>
    <t>Nantambi Mwonyonyi</t>
  </si>
  <si>
    <t>Teddy</t>
  </si>
  <si>
    <t>S01058756</t>
  </si>
  <si>
    <t>Potash</t>
  </si>
  <si>
    <t>Mallory</t>
  </si>
  <si>
    <t>S00537737</t>
  </si>
  <si>
    <t>Shealey</t>
  </si>
  <si>
    <t>Freddie</t>
  </si>
  <si>
    <t>S00035436</t>
  </si>
  <si>
    <t>S00593453</t>
  </si>
  <si>
    <t>Speas</t>
  </si>
  <si>
    <t>Cathy</t>
  </si>
  <si>
    <t>Jo</t>
  </si>
  <si>
    <t>S01062764</t>
  </si>
  <si>
    <t>Sprague</t>
  </si>
  <si>
    <t>Trevor</t>
  </si>
  <si>
    <t>S01059374</t>
  </si>
  <si>
    <t>Wiemer</t>
  </si>
  <si>
    <t>S01051196</t>
  </si>
  <si>
    <t>Yates</t>
  </si>
  <si>
    <t>S00365830</t>
  </si>
  <si>
    <t>Cook</t>
  </si>
  <si>
    <t>Selena</t>
  </si>
  <si>
    <t>S01004748</t>
  </si>
  <si>
    <t>Randle</t>
  </si>
  <si>
    <t>S01059598</t>
  </si>
  <si>
    <t>Kline</t>
  </si>
  <si>
    <t>S00255838</t>
  </si>
  <si>
    <t>Ashford</t>
  </si>
  <si>
    <t>Stacey</t>
  </si>
  <si>
    <t>Marcea</t>
  </si>
  <si>
    <t>S00046423</t>
  </si>
  <si>
    <t>Consorte</t>
  </si>
  <si>
    <t>Kimberle</t>
  </si>
  <si>
    <t>2C3100</t>
  </si>
  <si>
    <t>Plant Administration - M</t>
  </si>
  <si>
    <t>S00590045</t>
  </si>
  <si>
    <t>Cooper</t>
  </si>
  <si>
    <t>Judi</t>
  </si>
  <si>
    <t>Jane</t>
  </si>
  <si>
    <t>2C5100</t>
  </si>
  <si>
    <t>Facilities Development</t>
  </si>
  <si>
    <t>S01059144</t>
  </si>
  <si>
    <t>Dimond</t>
  </si>
  <si>
    <t>S00015440</t>
  </si>
  <si>
    <t>Discenza</t>
  </si>
  <si>
    <t>S01057826</t>
  </si>
  <si>
    <t>Foldesi</t>
  </si>
  <si>
    <t>S00919551</t>
  </si>
  <si>
    <t>Jimison</t>
  </si>
  <si>
    <t>Keith</t>
  </si>
  <si>
    <t>S01059679</t>
  </si>
  <si>
    <t>Lemmer-Graber</t>
  </si>
  <si>
    <t>Jenny</t>
  </si>
  <si>
    <t>Lyn</t>
  </si>
  <si>
    <t>S00948360</t>
  </si>
  <si>
    <t>Ludwa O'Hanlon</t>
  </si>
  <si>
    <t>S00066188</t>
  </si>
  <si>
    <t>Pierce</t>
  </si>
  <si>
    <t>Charlena</t>
  </si>
  <si>
    <t>S00556583</t>
  </si>
  <si>
    <t>Moroney</t>
  </si>
  <si>
    <t>Andrews</t>
  </si>
  <si>
    <t>S00044441</t>
  </si>
  <si>
    <t>Heaton</t>
  </si>
  <si>
    <t>S00966301</t>
  </si>
  <si>
    <t>Adedipe</t>
  </si>
  <si>
    <t>Adebimpe</t>
  </si>
  <si>
    <t>S01056589</t>
  </si>
  <si>
    <t>Babiy</t>
  </si>
  <si>
    <t>Vasyl</t>
  </si>
  <si>
    <t>S00846286</t>
  </si>
  <si>
    <t>Baird</t>
  </si>
  <si>
    <t>Terry</t>
  </si>
  <si>
    <t>S01056281</t>
  </si>
  <si>
    <t>Ball</t>
  </si>
  <si>
    <t>S01051005</t>
  </si>
  <si>
    <t>Balla</t>
  </si>
  <si>
    <t>S01051427</t>
  </si>
  <si>
    <t>Bambrick</t>
  </si>
  <si>
    <t>3W2385</t>
  </si>
  <si>
    <t>Radiologic Technology - W</t>
  </si>
  <si>
    <t>S00344565</t>
  </si>
  <si>
    <t>Baranovic</t>
  </si>
  <si>
    <t>S01057904</t>
  </si>
  <si>
    <t>Barnhill</t>
  </si>
  <si>
    <t>Joni</t>
  </si>
  <si>
    <t>S00293320</t>
  </si>
  <si>
    <t>Becker</t>
  </si>
  <si>
    <t>S00011804</t>
  </si>
  <si>
    <t>Beigie</t>
  </si>
  <si>
    <t>Diana</t>
  </si>
  <si>
    <t>S00037166</t>
  </si>
  <si>
    <t>Bernstein</t>
  </si>
  <si>
    <t>Kristin</t>
  </si>
  <si>
    <t>1H1200</t>
  </si>
  <si>
    <t>Pooled Position Default</t>
  </si>
  <si>
    <t>S00854338</t>
  </si>
  <si>
    <t>Boucher</t>
  </si>
  <si>
    <t>S00612080</t>
  </si>
  <si>
    <t>Brubeck</t>
  </si>
  <si>
    <t>3E2795</t>
  </si>
  <si>
    <t>Plant Science Technology - E</t>
  </si>
  <si>
    <t>S00719551</t>
  </si>
  <si>
    <t>Bryant</t>
  </si>
  <si>
    <t>Don</t>
  </si>
  <si>
    <t>S00857754</t>
  </si>
  <si>
    <t>Tierney</t>
  </si>
  <si>
    <t>S01051383</t>
  </si>
  <si>
    <t>Burke</t>
  </si>
  <si>
    <t>S01057930</t>
  </si>
  <si>
    <t>Campbell</t>
  </si>
  <si>
    <t>Chad</t>
  </si>
  <si>
    <t>S00115529</t>
  </si>
  <si>
    <t>Chatto</t>
  </si>
  <si>
    <t>Leland</t>
  </si>
  <si>
    <t>3E2460</t>
  </si>
  <si>
    <t>Speech Communications - E</t>
  </si>
  <si>
    <t>S01055369</t>
  </si>
  <si>
    <t>Cicora</t>
  </si>
  <si>
    <t>S01036482</t>
  </si>
  <si>
    <t>Colahan</t>
  </si>
  <si>
    <t>Cynthia</t>
  </si>
  <si>
    <t>S01050146</t>
  </si>
  <si>
    <t>Coniglio</t>
  </si>
  <si>
    <t>S01058076</t>
  </si>
  <si>
    <t>S00158424</t>
  </si>
  <si>
    <t>Donnamarie</t>
  </si>
  <si>
    <t>S01013451</t>
  </si>
  <si>
    <t>Courey</t>
  </si>
  <si>
    <t>S00574763</t>
  </si>
  <si>
    <t>D'Mello</t>
  </si>
  <si>
    <t>S00145583</t>
  </si>
  <si>
    <t>Daley</t>
  </si>
  <si>
    <t>Mary Jo</t>
  </si>
  <si>
    <t>S01001789</t>
  </si>
  <si>
    <t>De Pould</t>
  </si>
  <si>
    <t>Ana</t>
  </si>
  <si>
    <t>3M4550</t>
  </si>
  <si>
    <t>Visual Comm &amp; Design - M</t>
  </si>
  <si>
    <t>S01050998</t>
  </si>
  <si>
    <t>Deighton</t>
  </si>
  <si>
    <t>Vanessa</t>
  </si>
  <si>
    <t>S00009975</t>
  </si>
  <si>
    <t>Demiray</t>
  </si>
  <si>
    <t>S01049626</t>
  </si>
  <si>
    <t>DiGiulio</t>
  </si>
  <si>
    <t>Brenda</t>
  </si>
  <si>
    <t>S00178559</t>
  </si>
  <si>
    <t>Dooner</t>
  </si>
  <si>
    <t>S00143250</t>
  </si>
  <si>
    <t>Duns</t>
  </si>
  <si>
    <t>S00016415</t>
  </si>
  <si>
    <t>Duvall</t>
  </si>
  <si>
    <t>S00431020</t>
  </si>
  <si>
    <t>Elmore</t>
  </si>
  <si>
    <t>S00010102</t>
  </si>
  <si>
    <t>Emmitt</t>
  </si>
  <si>
    <t>S00013192</t>
  </si>
  <si>
    <t>Fedak</t>
  </si>
  <si>
    <t>Sherry</t>
  </si>
  <si>
    <t>S01059103</t>
  </si>
  <si>
    <t>Federer</t>
  </si>
  <si>
    <t>Mae</t>
  </si>
  <si>
    <t>3E2735</t>
  </si>
  <si>
    <t>Humanities - E</t>
  </si>
  <si>
    <t>S00992455</t>
  </si>
  <si>
    <t>Feldman</t>
  </si>
  <si>
    <t>Donna</t>
  </si>
  <si>
    <t>S00087419</t>
  </si>
  <si>
    <t>Fischbach</t>
  </si>
  <si>
    <t>S00842847</t>
  </si>
  <si>
    <t>Foley</t>
  </si>
  <si>
    <t>Joyce</t>
  </si>
  <si>
    <t>S01052981</t>
  </si>
  <si>
    <t>Foster</t>
  </si>
  <si>
    <t>3E2745</t>
  </si>
  <si>
    <t>Political Science - E</t>
  </si>
  <si>
    <t>S00743682</t>
  </si>
  <si>
    <t>Fowler</t>
  </si>
  <si>
    <t>S00010042</t>
  </si>
  <si>
    <t>Franklin</t>
  </si>
  <si>
    <t>S00831196</t>
  </si>
  <si>
    <t>Fruscella</t>
  </si>
  <si>
    <t>S00573377</t>
  </si>
  <si>
    <t>Gennarelli</t>
  </si>
  <si>
    <t>S01057089</t>
  </si>
  <si>
    <t>Gertsberg</t>
  </si>
  <si>
    <t>Nelly</t>
  </si>
  <si>
    <t>3W2750</t>
  </si>
  <si>
    <t>Psychology - W</t>
  </si>
  <si>
    <t>S00559181</t>
  </si>
  <si>
    <t>Gilmore</t>
  </si>
  <si>
    <t>S00285143</t>
  </si>
  <si>
    <t>Gmeiner</t>
  </si>
  <si>
    <t>S00339516</t>
  </si>
  <si>
    <t>Goetz</t>
  </si>
  <si>
    <t>S01057936</t>
  </si>
  <si>
    <t>Gorbach</t>
  </si>
  <si>
    <t>S00464097</t>
  </si>
  <si>
    <t>S01056060</t>
  </si>
  <si>
    <t>Hedy</t>
  </si>
  <si>
    <t>S01057736</t>
  </si>
  <si>
    <t>S00187551</t>
  </si>
  <si>
    <t>Green</t>
  </si>
  <si>
    <t>Felecia</t>
  </si>
  <si>
    <t>S00592256</t>
  </si>
  <si>
    <t>Griffin</t>
  </si>
  <si>
    <t>S01056172</t>
  </si>
  <si>
    <t>S00040297</t>
  </si>
  <si>
    <t>Guilford</t>
  </si>
  <si>
    <t>S00298939</t>
  </si>
  <si>
    <t>Guzowski</t>
  </si>
  <si>
    <t>S01055265</t>
  </si>
  <si>
    <t>Hartley</t>
  </si>
  <si>
    <t>S00966299</t>
  </si>
  <si>
    <t>Haynie</t>
  </si>
  <si>
    <t>Aprille</t>
  </si>
  <si>
    <t>S00470081</t>
  </si>
  <si>
    <t>Heath</t>
  </si>
  <si>
    <t>S01058996</t>
  </si>
  <si>
    <t>Henry</t>
  </si>
  <si>
    <t>S01056811</t>
  </si>
  <si>
    <t>Hicks</t>
  </si>
  <si>
    <t>Vaughn</t>
  </si>
  <si>
    <t>S01056734</t>
  </si>
  <si>
    <t>Houston</t>
  </si>
  <si>
    <t>S00088679</t>
  </si>
  <si>
    <t>Hovan</t>
  </si>
  <si>
    <t>S01058585</t>
  </si>
  <si>
    <t>Iken</t>
  </si>
  <si>
    <t>S00051259</t>
  </si>
  <si>
    <t>Ismaila-Mitchell</t>
  </si>
  <si>
    <t>Margaret</t>
  </si>
  <si>
    <t>3E2705</t>
  </si>
  <si>
    <t>Anthropology - E</t>
  </si>
  <si>
    <t>S01058639</t>
  </si>
  <si>
    <t>Jablonski</t>
  </si>
  <si>
    <t>Evelyn</t>
  </si>
  <si>
    <t>S01054284</t>
  </si>
  <si>
    <t>Jenkinson</t>
  </si>
  <si>
    <t>3W2640</t>
  </si>
  <si>
    <t>Mathematics - W</t>
  </si>
  <si>
    <t>S00643224</t>
  </si>
  <si>
    <t>Jasmine</t>
  </si>
  <si>
    <t>S01049187</t>
  </si>
  <si>
    <t>Cindy</t>
  </si>
  <si>
    <t>S00484736</t>
  </si>
  <si>
    <t>Kinder</t>
  </si>
  <si>
    <t>S00330194</t>
  </si>
  <si>
    <t>Klonaris</t>
  </si>
  <si>
    <t>S00052646</t>
  </si>
  <si>
    <t>Krumroy</t>
  </si>
  <si>
    <t>Karl</t>
  </si>
  <si>
    <t>S00260450</t>
  </si>
  <si>
    <t>Kuhr</t>
  </si>
  <si>
    <t>Linn</t>
  </si>
  <si>
    <t>S01057072</t>
  </si>
  <si>
    <t>Kurdila</t>
  </si>
  <si>
    <t>Julianne</t>
  </si>
  <si>
    <t>S00490451</t>
  </si>
  <si>
    <t>Landoll</t>
  </si>
  <si>
    <t>S00271723</t>
  </si>
  <si>
    <t>Lanning</t>
  </si>
  <si>
    <t>S01051844</t>
  </si>
  <si>
    <t>Larion</t>
  </si>
  <si>
    <t>Colleen</t>
  </si>
  <si>
    <t>S00295283</t>
  </si>
  <si>
    <t>Lattimore</t>
  </si>
  <si>
    <t>Florence</t>
  </si>
  <si>
    <t>S01053404</t>
  </si>
  <si>
    <t>Linehan</t>
  </si>
  <si>
    <t>Sumner</t>
  </si>
  <si>
    <t>S01049629</t>
  </si>
  <si>
    <t>Lu</t>
  </si>
  <si>
    <t>S00597361</t>
  </si>
  <si>
    <t>Lund</t>
  </si>
  <si>
    <t>S00607571</t>
  </si>
  <si>
    <t>Madger</t>
  </si>
  <si>
    <t>3E2335</t>
  </si>
  <si>
    <t>Emergency Medical Technology - E</t>
  </si>
  <si>
    <t>S01056572</t>
  </si>
  <si>
    <t>Magno</t>
  </si>
  <si>
    <t>Stephanie</t>
  </si>
  <si>
    <t>S01050944</t>
  </si>
  <si>
    <t>Major</t>
  </si>
  <si>
    <t>Katie</t>
  </si>
  <si>
    <t>S00690920</t>
  </si>
  <si>
    <t>Mang</t>
  </si>
  <si>
    <t>S00027368</t>
  </si>
  <si>
    <t>Marek</t>
  </si>
  <si>
    <t>S01050575</t>
  </si>
  <si>
    <t>Maret</t>
  </si>
  <si>
    <t>S00335337</t>
  </si>
  <si>
    <t>McKnight-Tuffuor</t>
  </si>
  <si>
    <t>Tanya</t>
  </si>
  <si>
    <t>S00503716</t>
  </si>
  <si>
    <t>McNeill</t>
  </si>
  <si>
    <t>S01054220</t>
  </si>
  <si>
    <t>Megla</t>
  </si>
  <si>
    <t>S00341263</t>
  </si>
  <si>
    <t>S01057331</t>
  </si>
  <si>
    <t>Judith</t>
  </si>
  <si>
    <t>3E2715</t>
  </si>
  <si>
    <t>Education - E</t>
  </si>
  <si>
    <t>S00698289</t>
  </si>
  <si>
    <t>Minek</t>
  </si>
  <si>
    <t>3E4550</t>
  </si>
  <si>
    <t>Visual Comm &amp; Design - E</t>
  </si>
  <si>
    <t>S00009759</t>
  </si>
  <si>
    <t>Moniz</t>
  </si>
  <si>
    <t>S00037980</t>
  </si>
  <si>
    <t>Mouradi</t>
  </si>
  <si>
    <t>Rand</t>
  </si>
  <si>
    <t>S01057849</t>
  </si>
  <si>
    <t>Mueller</t>
  </si>
  <si>
    <t>S00191180</t>
  </si>
  <si>
    <t>Mullee</t>
  </si>
  <si>
    <t>S00329805</t>
  </si>
  <si>
    <t>Myles</t>
  </si>
  <si>
    <t>Judy</t>
  </si>
  <si>
    <t>S01056268</t>
  </si>
  <si>
    <t>Naso</t>
  </si>
  <si>
    <t>3W2360</t>
  </si>
  <si>
    <t>Pharmacology - W</t>
  </si>
  <si>
    <t>S01055377</t>
  </si>
  <si>
    <t>Nduati</t>
  </si>
  <si>
    <t>S00947024</t>
  </si>
  <si>
    <t>Negron</t>
  </si>
  <si>
    <t>S00438066</t>
  </si>
  <si>
    <t>S01058266</t>
  </si>
  <si>
    <t>Nesmith</t>
  </si>
  <si>
    <t>S01056900</t>
  </si>
  <si>
    <t>Nicoletti</t>
  </si>
  <si>
    <t>Toni</t>
  </si>
  <si>
    <t>S01050526</t>
  </si>
  <si>
    <t>O'Leary</t>
  </si>
  <si>
    <t>S00515074</t>
  </si>
  <si>
    <t>O'Reilly-Dillon</t>
  </si>
  <si>
    <t>S00547687</t>
  </si>
  <si>
    <t>Papakonstantinou</t>
  </si>
  <si>
    <t>S00088411</t>
  </si>
  <si>
    <t>Perry</t>
  </si>
  <si>
    <t>Shonda</t>
  </si>
  <si>
    <t>S01058752</t>
  </si>
  <si>
    <t>Pietila</t>
  </si>
  <si>
    <t>Merry</t>
  </si>
  <si>
    <t>3E2405</t>
  </si>
  <si>
    <t>American Sign Language - E</t>
  </si>
  <si>
    <t>S00056616</t>
  </si>
  <si>
    <t>Ramirez</t>
  </si>
  <si>
    <t>S00123037</t>
  </si>
  <si>
    <t>S01055383</t>
  </si>
  <si>
    <t>Rizk</t>
  </si>
  <si>
    <t>S00400178</t>
  </si>
  <si>
    <t>Rudd</t>
  </si>
  <si>
    <t>S00601868</t>
  </si>
  <si>
    <t>Sampson</t>
  </si>
  <si>
    <t>S00751843</t>
  </si>
  <si>
    <t>Samrani</t>
  </si>
  <si>
    <t>Tannous</t>
  </si>
  <si>
    <t>S00559092</t>
  </si>
  <si>
    <t>Sassmannshausen</t>
  </si>
  <si>
    <t>Kurt</t>
  </si>
  <si>
    <t>S01049858</t>
  </si>
  <si>
    <t>Scianna</t>
  </si>
  <si>
    <t>S00306698</t>
  </si>
  <si>
    <t>Shaheen</t>
  </si>
  <si>
    <t>Raja</t>
  </si>
  <si>
    <t>S01058075</t>
  </si>
  <si>
    <t>Shin</t>
  </si>
  <si>
    <t>Bumshik</t>
  </si>
  <si>
    <t>S00116226</t>
  </si>
  <si>
    <t>3W2630</t>
  </si>
  <si>
    <t>Law Enforcement - W</t>
  </si>
  <si>
    <t>S00297285</t>
  </si>
  <si>
    <t>S01049633</t>
  </si>
  <si>
    <t>S00847080</t>
  </si>
  <si>
    <t>Soni-Patel</t>
  </si>
  <si>
    <t>Neha</t>
  </si>
  <si>
    <t>S00787143</t>
  </si>
  <si>
    <t>Stake</t>
  </si>
  <si>
    <t>Derek</t>
  </si>
  <si>
    <t>S00544323</t>
  </si>
  <si>
    <t>Stander-Biesiada</t>
  </si>
  <si>
    <t>3W2310</t>
  </si>
  <si>
    <t>Chemistry - W</t>
  </si>
  <si>
    <t>S00010344</t>
  </si>
  <si>
    <t>Stokes</t>
  </si>
  <si>
    <t>S01050527</t>
  </si>
  <si>
    <t>Stubblefield</t>
  </si>
  <si>
    <t>Angelique</t>
  </si>
  <si>
    <t>S00330647</t>
  </si>
  <si>
    <t>Swails</t>
  </si>
  <si>
    <t>Lynette</t>
  </si>
  <si>
    <t>S01054288</t>
  </si>
  <si>
    <t>Tegowski</t>
  </si>
  <si>
    <t>S00281625</t>
  </si>
  <si>
    <t>Shadina</t>
  </si>
  <si>
    <t>S00722531</t>
  </si>
  <si>
    <t>Todd</t>
  </si>
  <si>
    <t>Rita</t>
  </si>
  <si>
    <t>S01053009</t>
  </si>
  <si>
    <t>Turner</t>
  </si>
  <si>
    <t>S00743313</t>
  </si>
  <si>
    <t>Turoczi</t>
  </si>
  <si>
    <t>Timea</t>
  </si>
  <si>
    <t>Farkas</t>
  </si>
  <si>
    <t>S01058234</t>
  </si>
  <si>
    <t>3E4870</t>
  </si>
  <si>
    <t>Music - E</t>
  </si>
  <si>
    <t>S01056062</t>
  </si>
  <si>
    <t>Viland</t>
  </si>
  <si>
    <t>S00035793</t>
  </si>
  <si>
    <t>S01056170</t>
  </si>
  <si>
    <t>Wasil</t>
  </si>
  <si>
    <t>Jo Ann</t>
  </si>
  <si>
    <t>3W2280</t>
  </si>
  <si>
    <t>Paralegal Studies - W</t>
  </si>
  <si>
    <t>S01053011</t>
  </si>
  <si>
    <t>Wazni</t>
  </si>
  <si>
    <t>Hicham</t>
  </si>
  <si>
    <t>S01056495</t>
  </si>
  <si>
    <t>S00912602</t>
  </si>
  <si>
    <t>Wilcox-Baird</t>
  </si>
  <si>
    <t>S00736022</t>
  </si>
  <si>
    <t>Matt</t>
  </si>
  <si>
    <t>S01049390</t>
  </si>
  <si>
    <t>Williams-Andrews</t>
  </si>
  <si>
    <t>S00343015</t>
  </si>
  <si>
    <t>Wimbs</t>
  </si>
  <si>
    <t>S00206104</t>
  </si>
  <si>
    <t>Witteman</t>
  </si>
  <si>
    <t>Ruth Ann</t>
  </si>
  <si>
    <t>S01056262</t>
  </si>
  <si>
    <t>Wyse</t>
  </si>
  <si>
    <t>S00601891</t>
  </si>
  <si>
    <t>Zeleznak</t>
  </si>
  <si>
    <t>JenMarie</t>
  </si>
  <si>
    <t>S01057047</t>
  </si>
  <si>
    <t>Zhang</t>
  </si>
  <si>
    <t>S00372573</t>
  </si>
  <si>
    <t>Zikmanis</t>
  </si>
  <si>
    <t>S00034883</t>
  </si>
  <si>
    <t>Zimmerman</t>
  </si>
  <si>
    <t>S00895032</t>
  </si>
  <si>
    <t>Araujo</t>
  </si>
  <si>
    <t>S00983854</t>
  </si>
  <si>
    <t>Bober</t>
  </si>
  <si>
    <t>Delia</t>
  </si>
  <si>
    <t>3W2400</t>
  </si>
  <si>
    <t>Assoc Dean Liberal Arts - W</t>
  </si>
  <si>
    <t>S00718094</t>
  </si>
  <si>
    <t>Ariane</t>
  </si>
  <si>
    <t>S00330288</t>
  </si>
  <si>
    <t>D'Amico</t>
  </si>
  <si>
    <t>S00639836</t>
  </si>
  <si>
    <t>Sean</t>
  </si>
  <si>
    <t>S01057141</t>
  </si>
  <si>
    <t>Gadam</t>
  </si>
  <si>
    <t>Anusha</t>
  </si>
  <si>
    <t>2T2150</t>
  </si>
  <si>
    <t>Application Services</t>
  </si>
  <si>
    <t>S00404339</t>
  </si>
  <si>
    <t>Ganaway</t>
  </si>
  <si>
    <t>Alethea</t>
  </si>
  <si>
    <t>S00020703</t>
  </si>
  <si>
    <t>Gordon</t>
  </si>
  <si>
    <t>S01056825</t>
  </si>
  <si>
    <t>Doajo</t>
  </si>
  <si>
    <t>S01019936</t>
  </si>
  <si>
    <t>S00084826</t>
  </si>
  <si>
    <t>Mastny</t>
  </si>
  <si>
    <t>S00055980</t>
  </si>
  <si>
    <t>Perez</t>
  </si>
  <si>
    <t>Luis</t>
  </si>
  <si>
    <t>3E2455</t>
  </si>
  <si>
    <t>Spanish - E</t>
  </si>
  <si>
    <t>S00418249</t>
  </si>
  <si>
    <t>Peterson</t>
  </si>
  <si>
    <t>S00284677</t>
  </si>
  <si>
    <t>Pontremoli</t>
  </si>
  <si>
    <t>3M4900</t>
  </si>
  <si>
    <t>Jazzfest</t>
  </si>
  <si>
    <t>S01057375</t>
  </si>
  <si>
    <t>Robinson</t>
  </si>
  <si>
    <t>Sherrod</t>
  </si>
  <si>
    <t>S00603382</t>
  </si>
  <si>
    <t>Tuma</t>
  </si>
  <si>
    <t>Isabella</t>
  </si>
  <si>
    <t>S00548558</t>
  </si>
  <si>
    <t>Vigh</t>
  </si>
  <si>
    <t>S00442559</t>
  </si>
  <si>
    <t>Edington</t>
  </si>
  <si>
    <t>S00922089</t>
  </si>
  <si>
    <t>S00635448</t>
  </si>
  <si>
    <t>S01057257</t>
  </si>
  <si>
    <t>Daus</t>
  </si>
  <si>
    <t>S00945419</t>
  </si>
  <si>
    <t>Mahlay</t>
  </si>
  <si>
    <t>Iryna</t>
  </si>
  <si>
    <t>S00722438</t>
  </si>
  <si>
    <t>Thakkar</t>
  </si>
  <si>
    <t>Bhavna</t>
  </si>
  <si>
    <t>3S2750</t>
  </si>
  <si>
    <t>Psychology - S</t>
  </si>
  <si>
    <t>S01026384</t>
  </si>
  <si>
    <t>Arsenault</t>
  </si>
  <si>
    <t>Stacy</t>
  </si>
  <si>
    <t>S00035060</t>
  </si>
  <si>
    <t>Cain Smith</t>
  </si>
  <si>
    <t>S00571631</t>
  </si>
  <si>
    <t>S00956698</t>
  </si>
  <si>
    <t>Dalton</t>
  </si>
  <si>
    <t>Joslyn</t>
  </si>
  <si>
    <t>3M2830</t>
  </si>
  <si>
    <t>Health Information Management - M</t>
  </si>
  <si>
    <t>S00429636</t>
  </si>
  <si>
    <t>Gerding</t>
  </si>
  <si>
    <t>3M2750</t>
  </si>
  <si>
    <t>Psychology - M</t>
  </si>
  <si>
    <t>S00077641</t>
  </si>
  <si>
    <t>Jennings</t>
  </si>
  <si>
    <t>S01055770</t>
  </si>
  <si>
    <t>Koch</t>
  </si>
  <si>
    <t>S01047892</t>
  </si>
  <si>
    <t>Kovacic</t>
  </si>
  <si>
    <t>S00965132</t>
  </si>
  <si>
    <t>Kowalczyk</t>
  </si>
  <si>
    <t>Tomasz</t>
  </si>
  <si>
    <t>S00570117</t>
  </si>
  <si>
    <t>McGunia</t>
  </si>
  <si>
    <t>Serita</t>
  </si>
  <si>
    <t>S00956134</t>
  </si>
  <si>
    <t>Mikuszewski</t>
  </si>
  <si>
    <t>S00604247</t>
  </si>
  <si>
    <t>Morgenstein</t>
  </si>
  <si>
    <t>S00613693</t>
  </si>
  <si>
    <t>Piero</t>
  </si>
  <si>
    <t>S00724030</t>
  </si>
  <si>
    <t>Reed</t>
  </si>
  <si>
    <t>Tiffanie</t>
  </si>
  <si>
    <t>3E2765</t>
  </si>
  <si>
    <t>Sociology - E</t>
  </si>
  <si>
    <t>S00696414</t>
  </si>
  <si>
    <t>Stefanovic</t>
  </si>
  <si>
    <t>S01001863</t>
  </si>
  <si>
    <t>Tiralapuram</t>
  </si>
  <si>
    <t>Vinita</t>
  </si>
  <si>
    <t>3E2200</t>
  </si>
  <si>
    <t>Assoc Dean Business &amp; Tech - E</t>
  </si>
  <si>
    <t>S00885071</t>
  </si>
  <si>
    <t>Tobin</t>
  </si>
  <si>
    <t>S01056753</t>
  </si>
  <si>
    <t>Troche</t>
  </si>
  <si>
    <t>S00996653</t>
  </si>
  <si>
    <t>Tsarukyanova</t>
  </si>
  <si>
    <t>S00115163</t>
  </si>
  <si>
    <t>S00844684</t>
  </si>
  <si>
    <t>Meredith</t>
  </si>
  <si>
    <t>S00925408</t>
  </si>
  <si>
    <t>Ber</t>
  </si>
  <si>
    <t>S01055856</t>
  </si>
  <si>
    <t>Kosztya</t>
  </si>
  <si>
    <t>3M2310</t>
  </si>
  <si>
    <t>Chemistry - M</t>
  </si>
  <si>
    <t>S00052730</t>
  </si>
  <si>
    <t>Kuskin</t>
  </si>
  <si>
    <t>S00010242</t>
  </si>
  <si>
    <t>Beverly</t>
  </si>
  <si>
    <t>S00018691</t>
  </si>
  <si>
    <t>Eafford</t>
  </si>
  <si>
    <t>Rene</t>
  </si>
  <si>
    <t>3W2110</t>
  </si>
  <si>
    <t>Adjunct Services - W</t>
  </si>
  <si>
    <t>S00596316</t>
  </si>
  <si>
    <t>Huge</t>
  </si>
  <si>
    <t>Bryan</t>
  </si>
  <si>
    <t>S00378484</t>
  </si>
  <si>
    <t>Kronika</t>
  </si>
  <si>
    <t>S00448478</t>
  </si>
  <si>
    <t>Papesh</t>
  </si>
  <si>
    <t>S01055769</t>
  </si>
  <si>
    <t>Brindisi</t>
  </si>
  <si>
    <t>S00020473</t>
  </si>
  <si>
    <t>Meryl</t>
  </si>
  <si>
    <t>S00932036</t>
  </si>
  <si>
    <t>Twyman</t>
  </si>
  <si>
    <t>S01056355</t>
  </si>
  <si>
    <t>Wattar</t>
  </si>
  <si>
    <t>Ihab</t>
  </si>
  <si>
    <t>S00331469</t>
  </si>
  <si>
    <t>Yarmesch</t>
  </si>
  <si>
    <t>S00415672</t>
  </si>
  <si>
    <t>Florian</t>
  </si>
  <si>
    <t>Florin</t>
  </si>
  <si>
    <t>S01051058</t>
  </si>
  <si>
    <t>Bentley</t>
  </si>
  <si>
    <t>Kelvin</t>
  </si>
  <si>
    <t>S00009985</t>
  </si>
  <si>
    <t>Dolinar</t>
  </si>
  <si>
    <t>S01083678</t>
  </si>
  <si>
    <t>Greenleaf</t>
  </si>
  <si>
    <t>3M3920</t>
  </si>
  <si>
    <t>Track - M</t>
  </si>
  <si>
    <t>S01050776</t>
  </si>
  <si>
    <t>Liss</t>
  </si>
  <si>
    <t>Ron</t>
  </si>
  <si>
    <t>3W1010</t>
  </si>
  <si>
    <t>Campus President - W</t>
  </si>
  <si>
    <t>S00025786</t>
  </si>
  <si>
    <t>S00546287</t>
  </si>
  <si>
    <t>Morton</t>
  </si>
  <si>
    <t>Andre'</t>
  </si>
  <si>
    <t>S00887768</t>
  </si>
  <si>
    <t>Moses</t>
  </si>
  <si>
    <t>S00934213</t>
  </si>
  <si>
    <t>Oros</t>
  </si>
  <si>
    <t>Loren</t>
  </si>
  <si>
    <t>S00895095</t>
  </si>
  <si>
    <t>Thrash</t>
  </si>
  <si>
    <t>Jamye</t>
  </si>
  <si>
    <t>2S2425</t>
  </si>
  <si>
    <t>S01055324</t>
  </si>
  <si>
    <t>Benedict</t>
  </si>
  <si>
    <t>S01054912</t>
  </si>
  <si>
    <t>S00944483</t>
  </si>
  <si>
    <t>Glass</t>
  </si>
  <si>
    <t>S01055325</t>
  </si>
  <si>
    <t>Augustus</t>
  </si>
  <si>
    <t>S01055857</t>
  </si>
  <si>
    <t>Diandre</t>
  </si>
  <si>
    <t>Clinton</t>
  </si>
  <si>
    <t>S00358315</t>
  </si>
  <si>
    <t>Coats</t>
  </si>
  <si>
    <t>S01055249</t>
  </si>
  <si>
    <t>Duncan</t>
  </si>
  <si>
    <t>Destiny</t>
  </si>
  <si>
    <t>La'Shay</t>
  </si>
  <si>
    <t>S00010587</t>
  </si>
  <si>
    <t>Kreigh</t>
  </si>
  <si>
    <t>3F1200</t>
  </si>
  <si>
    <t>Faculty Affairs &amp; Prof Developmnt</t>
  </si>
  <si>
    <t>S00010266</t>
  </si>
  <si>
    <t>Mazzola</t>
  </si>
  <si>
    <t>S00814952</t>
  </si>
  <si>
    <t>McMillan</t>
  </si>
  <si>
    <t>S00013475</t>
  </si>
  <si>
    <t>Wise-Roman</t>
  </si>
  <si>
    <t>Okey</t>
  </si>
  <si>
    <t>S01055209</t>
  </si>
  <si>
    <t>Artman</t>
  </si>
  <si>
    <t>Z</t>
  </si>
  <si>
    <t>S01055167</t>
  </si>
  <si>
    <t>Borden</t>
  </si>
  <si>
    <t>S01054809</t>
  </si>
  <si>
    <t>Brewer</t>
  </si>
  <si>
    <t>S01054704</t>
  </si>
  <si>
    <t>Brimage</t>
  </si>
  <si>
    <t>Eunetta</t>
  </si>
  <si>
    <t>S01054645</t>
  </si>
  <si>
    <t>Bush</t>
  </si>
  <si>
    <t>S01054702</t>
  </si>
  <si>
    <t>Duesenberg</t>
  </si>
  <si>
    <t>S00557748</t>
  </si>
  <si>
    <t>Emblom</t>
  </si>
  <si>
    <t>S00011103</t>
  </si>
  <si>
    <t>Gregorio</t>
  </si>
  <si>
    <t>Kolleen</t>
  </si>
  <si>
    <t>S01001862</t>
  </si>
  <si>
    <t>Hinson</t>
  </si>
  <si>
    <t>S01055248</t>
  </si>
  <si>
    <t>Kender</t>
  </si>
  <si>
    <t>Cheryle</t>
  </si>
  <si>
    <t>S00557285</t>
  </si>
  <si>
    <t>Laurenzi</t>
  </si>
  <si>
    <t>S00369393</t>
  </si>
  <si>
    <t>Layton</t>
  </si>
  <si>
    <t>S00052983</t>
  </si>
  <si>
    <t>S00409272</t>
  </si>
  <si>
    <t>Lozada</t>
  </si>
  <si>
    <t>S00365075</t>
  </si>
  <si>
    <t>S01054838</t>
  </si>
  <si>
    <t>Maximovich</t>
  </si>
  <si>
    <t>S01055169</t>
  </si>
  <si>
    <t>Mays</t>
  </si>
  <si>
    <t>S00010223</t>
  </si>
  <si>
    <t>McDonough</t>
  </si>
  <si>
    <t>Mikki</t>
  </si>
  <si>
    <t>S00503354</t>
  </si>
  <si>
    <t>McLaughlin</t>
  </si>
  <si>
    <t>Marilyn</t>
  </si>
  <si>
    <t>S00892103</t>
  </si>
  <si>
    <t>Monteiro</t>
  </si>
  <si>
    <t>Arlene</t>
  </si>
  <si>
    <t>S01054626</t>
  </si>
  <si>
    <t>Mullet</t>
  </si>
  <si>
    <t>Royer</t>
  </si>
  <si>
    <t>S00803983</t>
  </si>
  <si>
    <t>Muntean</t>
  </si>
  <si>
    <t>Jeanne</t>
  </si>
  <si>
    <t>S00876540</t>
  </si>
  <si>
    <t>Nawalaniec</t>
  </si>
  <si>
    <t>S00254338</t>
  </si>
  <si>
    <t>Paulin</t>
  </si>
  <si>
    <t>S00631269</t>
  </si>
  <si>
    <t>Poporad</t>
  </si>
  <si>
    <t>S00304740</t>
  </si>
  <si>
    <t>Rhoads</t>
  </si>
  <si>
    <t>Penny</t>
  </si>
  <si>
    <t>S01055859</t>
  </si>
  <si>
    <t>Richmond</t>
  </si>
  <si>
    <t>S00059635</t>
  </si>
  <si>
    <t>Schulz</t>
  </si>
  <si>
    <t>June</t>
  </si>
  <si>
    <t>S00535805</t>
  </si>
  <si>
    <t>Scipio</t>
  </si>
  <si>
    <t>Yvette</t>
  </si>
  <si>
    <t>S00914045</t>
  </si>
  <si>
    <t>Shaver</t>
  </si>
  <si>
    <t>S00906440</t>
  </si>
  <si>
    <t>Siegel</t>
  </si>
  <si>
    <t>S01055166</t>
  </si>
  <si>
    <t>Simpson-Vlach</t>
  </si>
  <si>
    <t>S00971671</t>
  </si>
  <si>
    <t>S01054700</t>
  </si>
  <si>
    <t>Spoon</t>
  </si>
  <si>
    <t>Tequita</t>
  </si>
  <si>
    <t>Wyvette</t>
  </si>
  <si>
    <t>S00023790</t>
  </si>
  <si>
    <t>Voris</t>
  </si>
  <si>
    <t>Hana</t>
  </si>
  <si>
    <t>S01054807</t>
  </si>
  <si>
    <t>Suzanne</t>
  </si>
  <si>
    <t>S00294730</t>
  </si>
  <si>
    <t>Washington</t>
  </si>
  <si>
    <t>Saundra</t>
  </si>
  <si>
    <t>S00912160</t>
  </si>
  <si>
    <t>Cabrera</t>
  </si>
  <si>
    <t>Eunice</t>
  </si>
  <si>
    <t>S00030446</t>
  </si>
  <si>
    <t>Trissa</t>
  </si>
  <si>
    <t>S00275888</t>
  </si>
  <si>
    <t>Geneva</t>
  </si>
  <si>
    <t>S00369584</t>
  </si>
  <si>
    <t>S00108361</t>
  </si>
  <si>
    <t>Garbler</t>
  </si>
  <si>
    <t>S00467158</t>
  </si>
  <si>
    <t>Hambrick</t>
  </si>
  <si>
    <t>Bernita</t>
  </si>
  <si>
    <t>Iva</t>
  </si>
  <si>
    <t>S00051540</t>
  </si>
  <si>
    <t>Alex</t>
  </si>
  <si>
    <t>S00865075</t>
  </si>
  <si>
    <t>Francine</t>
  </si>
  <si>
    <t>S00157269</t>
  </si>
  <si>
    <t>Komp</t>
  </si>
  <si>
    <t>4W5180</t>
  </si>
  <si>
    <t>IT Training WEDD - Credit</t>
  </si>
  <si>
    <t>S00331190</t>
  </si>
  <si>
    <t>McCaleb</t>
  </si>
  <si>
    <t>Daphney</t>
  </si>
  <si>
    <t>S00054672</t>
  </si>
  <si>
    <t>Mobley</t>
  </si>
  <si>
    <t>S01054207</t>
  </si>
  <si>
    <t>Mooney</t>
  </si>
  <si>
    <t>Earle</t>
  </si>
  <si>
    <t>S00258444</t>
  </si>
  <si>
    <t>Nagle</t>
  </si>
  <si>
    <t>S00584955</t>
  </si>
  <si>
    <t>Parks</t>
  </si>
  <si>
    <t>Warren</t>
  </si>
  <si>
    <t>S00459226</t>
  </si>
  <si>
    <t>Hildy</t>
  </si>
  <si>
    <t>S00951041</t>
  </si>
  <si>
    <t>Pettis</t>
  </si>
  <si>
    <t>Rashidah</t>
  </si>
  <si>
    <t>S00966353</t>
  </si>
  <si>
    <t>Quartullo</t>
  </si>
  <si>
    <t>S00009876</t>
  </si>
  <si>
    <t>Ross</t>
  </si>
  <si>
    <t>S00531459</t>
  </si>
  <si>
    <t>Rush</t>
  </si>
  <si>
    <t>Roosevelt</t>
  </si>
  <si>
    <t>S00115531</t>
  </si>
  <si>
    <t>Stoop</t>
  </si>
  <si>
    <t>3W3400</t>
  </si>
  <si>
    <t>Community Recreation - W</t>
  </si>
  <si>
    <t>S01054487</t>
  </si>
  <si>
    <t>Yurik</t>
  </si>
  <si>
    <t>S00128546</t>
  </si>
  <si>
    <t>O'Haire</t>
  </si>
  <si>
    <t>S00996172</t>
  </si>
  <si>
    <t>Blauser</t>
  </si>
  <si>
    <t>S01049884</t>
  </si>
  <si>
    <t>Ewing</t>
  </si>
  <si>
    <t>Chatham</t>
  </si>
  <si>
    <t>S00591175</t>
  </si>
  <si>
    <t>Karakasis</t>
  </si>
  <si>
    <t>S01053050</t>
  </si>
  <si>
    <t>3A1100</t>
  </si>
  <si>
    <t>Exec VP  Acad &amp; Stud Affairs</t>
  </si>
  <si>
    <t>S00593711</t>
  </si>
  <si>
    <t>Simmons</t>
  </si>
  <si>
    <t>Laquodra</t>
  </si>
  <si>
    <t>S01052734</t>
  </si>
  <si>
    <t>Stricker</t>
  </si>
  <si>
    <t>S00622247</t>
  </si>
  <si>
    <t>S01003727</t>
  </si>
  <si>
    <t>Cadle</t>
  </si>
  <si>
    <t>S01054624</t>
  </si>
  <si>
    <t>Gionni</t>
  </si>
  <si>
    <t>Devante</t>
  </si>
  <si>
    <t>S00982235</t>
  </si>
  <si>
    <t>Raysean</t>
  </si>
  <si>
    <t>Darius</t>
  </si>
  <si>
    <t>S01030542</t>
  </si>
  <si>
    <t>Donley</t>
  </si>
  <si>
    <t>Saranda</t>
  </si>
  <si>
    <t>S00956626</t>
  </si>
  <si>
    <t>Freeman</t>
  </si>
  <si>
    <t>Ahmad</t>
  </si>
  <si>
    <t>S01053728</t>
  </si>
  <si>
    <t>India</t>
  </si>
  <si>
    <t>Lashelle</t>
  </si>
  <si>
    <t>S01053730</t>
  </si>
  <si>
    <t>Henderson</t>
  </si>
  <si>
    <t>Tieva</t>
  </si>
  <si>
    <t>Ronea</t>
  </si>
  <si>
    <t>S01052972</t>
  </si>
  <si>
    <t>Willie</t>
  </si>
  <si>
    <t>S01052531</t>
  </si>
  <si>
    <t>Littlefield</t>
  </si>
  <si>
    <t>J Scott</t>
  </si>
  <si>
    <t>S01053731</t>
  </si>
  <si>
    <t>Jaquon</t>
  </si>
  <si>
    <t>Dremone</t>
  </si>
  <si>
    <t>S00987444</t>
  </si>
  <si>
    <t>Donnell</t>
  </si>
  <si>
    <t>Gene</t>
  </si>
  <si>
    <t>S00999673</t>
  </si>
  <si>
    <t>Warton</t>
  </si>
  <si>
    <t>Shawn</t>
  </si>
  <si>
    <t>Tyler</t>
  </si>
  <si>
    <t>S01053729</t>
  </si>
  <si>
    <t>Weeams</t>
  </si>
  <si>
    <t>Kai</t>
  </si>
  <si>
    <t>Briana Alaye</t>
  </si>
  <si>
    <t>S01052961</t>
  </si>
  <si>
    <t>Wilk</t>
  </si>
  <si>
    <t>Cody</t>
  </si>
  <si>
    <t>S01022954</t>
  </si>
  <si>
    <t>Woods</t>
  </si>
  <si>
    <t>Wesley</t>
  </si>
  <si>
    <t>S00959246</t>
  </si>
  <si>
    <t>Walsh</t>
  </si>
  <si>
    <t>Lindsey</t>
  </si>
  <si>
    <t>S00574985</t>
  </si>
  <si>
    <t>Caskey</t>
  </si>
  <si>
    <t>S00990624</t>
  </si>
  <si>
    <t>Eleanor</t>
  </si>
  <si>
    <t>S01053013</t>
  </si>
  <si>
    <t>Cooney</t>
  </si>
  <si>
    <t>Valencia</t>
  </si>
  <si>
    <t>S01053270</t>
  </si>
  <si>
    <t>Gandy</t>
  </si>
  <si>
    <t>Indya</t>
  </si>
  <si>
    <t>S01054486</t>
  </si>
  <si>
    <t>De'Angello</t>
  </si>
  <si>
    <t>S01052188</t>
  </si>
  <si>
    <t>Aslanidis</t>
  </si>
  <si>
    <t>S01052533</t>
  </si>
  <si>
    <t>Bennett</t>
  </si>
  <si>
    <t>3X3125</t>
  </si>
  <si>
    <t>Educational Talent Search</t>
  </si>
  <si>
    <t>S00359915</t>
  </si>
  <si>
    <t>Clement</t>
  </si>
  <si>
    <t>Arcelia</t>
  </si>
  <si>
    <t>S00115491</t>
  </si>
  <si>
    <t>Ehrbar</t>
  </si>
  <si>
    <t>S01053323</t>
  </si>
  <si>
    <t>Fortson</t>
  </si>
  <si>
    <t>Antonio</t>
  </si>
  <si>
    <t>S01053403</t>
  </si>
  <si>
    <t>Friar</t>
  </si>
  <si>
    <t>Letavia</t>
  </si>
  <si>
    <t>S01053269</t>
  </si>
  <si>
    <t>Jodon</t>
  </si>
  <si>
    <t>S00035156</t>
  </si>
  <si>
    <t>Moncrief</t>
  </si>
  <si>
    <t>S01052189</t>
  </si>
  <si>
    <t>S00983673</t>
  </si>
  <si>
    <t>S00057774</t>
  </si>
  <si>
    <t>Schuler</t>
  </si>
  <si>
    <t>3E3910</t>
  </si>
  <si>
    <t>Womens Volleyball - E</t>
  </si>
  <si>
    <t>S01052532</t>
  </si>
  <si>
    <t>Tyus</t>
  </si>
  <si>
    <t>Antwain</t>
  </si>
  <si>
    <t>S00069391</t>
  </si>
  <si>
    <t>Wheaton</t>
  </si>
  <si>
    <t>Jody</t>
  </si>
  <si>
    <t>4C3110</t>
  </si>
  <si>
    <t>ED Client Solutions &amp; Program Mgmt.</t>
  </si>
  <si>
    <t>S01027358</t>
  </si>
  <si>
    <t>Whitehead</t>
  </si>
  <si>
    <t>De'lecta</t>
  </si>
  <si>
    <t>S01049304</t>
  </si>
  <si>
    <t>Herr</t>
  </si>
  <si>
    <t>Robyn</t>
  </si>
  <si>
    <t>S00895354</t>
  </si>
  <si>
    <t>Koussa</t>
  </si>
  <si>
    <t>Gabi</t>
  </si>
  <si>
    <t>S01014709</t>
  </si>
  <si>
    <t>S01051962</t>
  </si>
  <si>
    <t>Ryu</t>
  </si>
  <si>
    <t>Keun Moo</t>
  </si>
  <si>
    <t>S01043399</t>
  </si>
  <si>
    <t>Babu</t>
  </si>
  <si>
    <t>3E2310</t>
  </si>
  <si>
    <t>Chemistry - E</t>
  </si>
  <si>
    <t>S01005549</t>
  </si>
  <si>
    <t>S00607912</t>
  </si>
  <si>
    <t>Crossman</t>
  </si>
  <si>
    <t>Glenda</t>
  </si>
  <si>
    <t>S00018444</t>
  </si>
  <si>
    <t>DeHoff</t>
  </si>
  <si>
    <t>S00080062</t>
  </si>
  <si>
    <t>Dyson</t>
  </si>
  <si>
    <t>S00421780</t>
  </si>
  <si>
    <t>Finley</t>
  </si>
  <si>
    <t>S00831120</t>
  </si>
  <si>
    <t>Hir</t>
  </si>
  <si>
    <t>Yucel</t>
  </si>
  <si>
    <t>S00980056</t>
  </si>
  <si>
    <t>Hughes</t>
  </si>
  <si>
    <t>S01044560</t>
  </si>
  <si>
    <t>Jacob-Mosier</t>
  </si>
  <si>
    <t>Gayatry</t>
  </si>
  <si>
    <t>S00215111</t>
  </si>
  <si>
    <t>Jasany</t>
  </si>
  <si>
    <t>S00286466</t>
  </si>
  <si>
    <t>Kuzmickas</t>
  </si>
  <si>
    <t>Stanley</t>
  </si>
  <si>
    <t>S00181649</t>
  </si>
  <si>
    <t>Laufer</t>
  </si>
  <si>
    <t>Tiffany</t>
  </si>
  <si>
    <t>S00491847</t>
  </si>
  <si>
    <t>Lebinac</t>
  </si>
  <si>
    <t>Snezana</t>
  </si>
  <si>
    <t>S00061895</t>
  </si>
  <si>
    <t>McCreight</t>
  </si>
  <si>
    <t>S01048358</t>
  </si>
  <si>
    <t>Muslusky</t>
  </si>
  <si>
    <t>4C1110</t>
  </si>
  <si>
    <t>Corporate College Facilities Sales</t>
  </si>
  <si>
    <t>S01050351</t>
  </si>
  <si>
    <t>Pace</t>
  </si>
  <si>
    <t>S00581853</t>
  </si>
  <si>
    <t>Qualls-Mitchell</t>
  </si>
  <si>
    <t>S00712827</t>
  </si>
  <si>
    <t>Randolph</t>
  </si>
  <si>
    <t>S00530211</t>
  </si>
  <si>
    <t>Rosemond</t>
  </si>
  <si>
    <t>Vincent</t>
  </si>
  <si>
    <t>S01049779</t>
  </si>
  <si>
    <t>Ruple</t>
  </si>
  <si>
    <t>S00549109</t>
  </si>
  <si>
    <t>Shell</t>
  </si>
  <si>
    <t>S00321051</t>
  </si>
  <si>
    <t>Deitra</t>
  </si>
  <si>
    <t>S00668759</t>
  </si>
  <si>
    <t>Witt</t>
  </si>
  <si>
    <t>Meridith</t>
  </si>
  <si>
    <t>3W2380</t>
  </si>
  <si>
    <t>Physics - W</t>
  </si>
  <si>
    <t>S01050177</t>
  </si>
  <si>
    <t>Youngless</t>
  </si>
  <si>
    <t>3P1100</t>
  </si>
  <si>
    <t>Evidence &amp; Inquiry</t>
  </si>
  <si>
    <t>S00034338</t>
  </si>
  <si>
    <t>Broka</t>
  </si>
  <si>
    <t>S00103720</t>
  </si>
  <si>
    <t>Corron</t>
  </si>
  <si>
    <t>Jenise</t>
  </si>
  <si>
    <t>Laree</t>
  </si>
  <si>
    <t>S00943174</t>
  </si>
  <si>
    <t>Toth</t>
  </si>
  <si>
    <t>3S2330</t>
  </si>
  <si>
    <t>Electroneurodiagnostic Tech - S</t>
  </si>
  <si>
    <t>S00267905</t>
  </si>
  <si>
    <t>Zipay</t>
  </si>
  <si>
    <t>S00970361</t>
  </si>
  <si>
    <t>Desirae</t>
  </si>
  <si>
    <t>S01049305</t>
  </si>
  <si>
    <t>Abrams</t>
  </si>
  <si>
    <t>S00247558</t>
  </si>
  <si>
    <t>Campanella</t>
  </si>
  <si>
    <t>S01048199</t>
  </si>
  <si>
    <t>Dance</t>
  </si>
  <si>
    <t>S01048733</t>
  </si>
  <si>
    <t>Daneshvar</t>
  </si>
  <si>
    <t>S00337662</t>
  </si>
  <si>
    <t>S01013880</t>
  </si>
  <si>
    <t>Feliciano</t>
  </si>
  <si>
    <t>S00197610</t>
  </si>
  <si>
    <t>Fernandez</t>
  </si>
  <si>
    <t>S00926193</t>
  </si>
  <si>
    <t>Fogle</t>
  </si>
  <si>
    <t>Tornonpela</t>
  </si>
  <si>
    <t>S00968062</t>
  </si>
  <si>
    <t>Hubbard</t>
  </si>
  <si>
    <t>Devonte</t>
  </si>
  <si>
    <t>S01000710</t>
  </si>
  <si>
    <t>Malcolm</t>
  </si>
  <si>
    <t>Leon</t>
  </si>
  <si>
    <t>S01047623</t>
  </si>
  <si>
    <t>Stumpp</t>
  </si>
  <si>
    <t>S01050059</t>
  </si>
  <si>
    <t>Zarraga</t>
  </si>
  <si>
    <t>S01009312</t>
  </si>
  <si>
    <t>Lowrie</t>
  </si>
  <si>
    <t>S00059807</t>
  </si>
  <si>
    <t>Croyts</t>
  </si>
  <si>
    <t>Charlene</t>
  </si>
  <si>
    <t>S01037241</t>
  </si>
  <si>
    <t>Snow</t>
  </si>
  <si>
    <t>S01027184</t>
  </si>
  <si>
    <t>Voytek</t>
  </si>
  <si>
    <t>S00041156</t>
  </si>
  <si>
    <t>Abdollahian</t>
  </si>
  <si>
    <t>Hamid</t>
  </si>
  <si>
    <t>S01041299</t>
  </si>
  <si>
    <t>Bankey</t>
  </si>
  <si>
    <t>4W1100</t>
  </si>
  <si>
    <t>VP Workforce Solutions</t>
  </si>
  <si>
    <t>S00686694</t>
  </si>
  <si>
    <t>Dutkiewicz</t>
  </si>
  <si>
    <t>S01006487</t>
  </si>
  <si>
    <t>Gorley</t>
  </si>
  <si>
    <t>Toya</t>
  </si>
  <si>
    <t>3M2300</t>
  </si>
  <si>
    <t>Assoc Dean Health &amp; Sci - M</t>
  </si>
  <si>
    <t>S01036256</t>
  </si>
  <si>
    <t>Lonowski</t>
  </si>
  <si>
    <t>S01046950</t>
  </si>
  <si>
    <t>Ramos</t>
  </si>
  <si>
    <t>S00029922</t>
  </si>
  <si>
    <t>Reali-Sorrell</t>
  </si>
  <si>
    <t>S00160565</t>
  </si>
  <si>
    <t>Sandstrom</t>
  </si>
  <si>
    <t>S00100766</t>
  </si>
  <si>
    <t>Santalucia</t>
  </si>
  <si>
    <t>S00853469</t>
  </si>
  <si>
    <t>Thackaberry</t>
  </si>
  <si>
    <t>Alexandera</t>
  </si>
  <si>
    <t>S00033560</t>
  </si>
  <si>
    <t>Waterford</t>
  </si>
  <si>
    <t>3M3300</t>
  </si>
  <si>
    <t>Enrollment Center - M</t>
  </si>
  <si>
    <t>S00175747</t>
  </si>
  <si>
    <t>Tabler</t>
  </si>
  <si>
    <t>S00816181</t>
  </si>
  <si>
    <t>Crocker</t>
  </si>
  <si>
    <t>S00854507</t>
  </si>
  <si>
    <t>LaVorgna</t>
  </si>
  <si>
    <t>S00013549</t>
  </si>
  <si>
    <t>Stennis</t>
  </si>
  <si>
    <t>S00960997</t>
  </si>
  <si>
    <t>Priest</t>
  </si>
  <si>
    <t>Starlyn</t>
  </si>
  <si>
    <t>S00639198</t>
  </si>
  <si>
    <t>Tasch</t>
  </si>
  <si>
    <t>S01048198</t>
  </si>
  <si>
    <t>Welsh</t>
  </si>
  <si>
    <t>F. Eugene</t>
  </si>
  <si>
    <t>S00065991</t>
  </si>
  <si>
    <t>Buczak</t>
  </si>
  <si>
    <t>S00220043</t>
  </si>
  <si>
    <t>Dickens</t>
  </si>
  <si>
    <t>S00493595</t>
  </si>
  <si>
    <t>Lichman</t>
  </si>
  <si>
    <t>S00593584</t>
  </si>
  <si>
    <t>Carcioppolo</t>
  </si>
  <si>
    <t>S00489111</t>
  </si>
  <si>
    <t>Kudla</t>
  </si>
  <si>
    <t>S00144769</t>
  </si>
  <si>
    <t>S00057593</t>
  </si>
  <si>
    <t>Santa Maria</t>
  </si>
  <si>
    <t>S00592504</t>
  </si>
  <si>
    <t>Cuson</t>
  </si>
  <si>
    <t>S00075328</t>
  </si>
  <si>
    <t>Ledwell</t>
  </si>
  <si>
    <t>S00888048</t>
  </si>
  <si>
    <t>Morinec</t>
  </si>
  <si>
    <t>S01036735</t>
  </si>
  <si>
    <t>Berbilis</t>
  </si>
  <si>
    <t>S00547610</t>
  </si>
  <si>
    <t>Butcher</t>
  </si>
  <si>
    <t>S01042383</t>
  </si>
  <si>
    <t>DiLauro</t>
  </si>
  <si>
    <t>Helen</t>
  </si>
  <si>
    <t>S01042372</t>
  </si>
  <si>
    <t>Baldarelli</t>
  </si>
  <si>
    <t>PT 1199 - Non-Eligible</t>
  </si>
  <si>
    <t>3M4500</t>
  </si>
  <si>
    <t>Theatre Management - M</t>
  </si>
  <si>
    <t>S00181780</t>
  </si>
  <si>
    <t>Boone</t>
  </si>
  <si>
    <t>S00423525</t>
  </si>
  <si>
    <t>Bowers</t>
  </si>
  <si>
    <t>S00065414</t>
  </si>
  <si>
    <t>DeFelice</t>
  </si>
  <si>
    <t>S00595617</t>
  </si>
  <si>
    <t>Hupp</t>
  </si>
  <si>
    <t>S00492399</t>
  </si>
  <si>
    <t>Leighliter</t>
  </si>
  <si>
    <t>S00927603</t>
  </si>
  <si>
    <t>Partsch</t>
  </si>
  <si>
    <t>S00817753</t>
  </si>
  <si>
    <t>Penn</t>
  </si>
  <si>
    <t>Michaela</t>
  </si>
  <si>
    <t>RJ</t>
  </si>
  <si>
    <t>S00607540</t>
  </si>
  <si>
    <t>Rosby</t>
  </si>
  <si>
    <t>S00333306</t>
  </si>
  <si>
    <t>Trapp</t>
  </si>
  <si>
    <t>S00730042</t>
  </si>
  <si>
    <t>Loufman</t>
  </si>
  <si>
    <t>Jon</t>
  </si>
  <si>
    <t>S00884857</t>
  </si>
  <si>
    <t>Ballom</t>
  </si>
  <si>
    <t>S00510995</t>
  </si>
  <si>
    <t>Nadzam</t>
  </si>
  <si>
    <t>S01042978</t>
  </si>
  <si>
    <t>Suciu</t>
  </si>
  <si>
    <t>Radu</t>
  </si>
  <si>
    <t>S00903734</t>
  </si>
  <si>
    <t>Jaskolski</t>
  </si>
  <si>
    <t>S00551111</t>
  </si>
  <si>
    <t>Beichler</t>
  </si>
  <si>
    <t>Daren</t>
  </si>
  <si>
    <t>S00309542</t>
  </si>
  <si>
    <t>Neal</t>
  </si>
  <si>
    <t>S00009733</t>
  </si>
  <si>
    <t>Dell</t>
  </si>
  <si>
    <t>S00011325</t>
  </si>
  <si>
    <t>Steele</t>
  </si>
  <si>
    <t>Keenya</t>
  </si>
  <si>
    <t>S00211036</t>
  </si>
  <si>
    <t>Ash</t>
  </si>
  <si>
    <t>3M3900</t>
  </si>
  <si>
    <t>Athletic Dept - M</t>
  </si>
  <si>
    <t>S00727755</t>
  </si>
  <si>
    <t>Beckstrom</t>
  </si>
  <si>
    <t>Veronica</t>
  </si>
  <si>
    <t>S00086902</t>
  </si>
  <si>
    <t>Corbett</t>
  </si>
  <si>
    <t>S01041559</t>
  </si>
  <si>
    <t>Fluker</t>
  </si>
  <si>
    <t>Queen</t>
  </si>
  <si>
    <t>S00478467</t>
  </si>
  <si>
    <t>S01041889</t>
  </si>
  <si>
    <t>S01038842</t>
  </si>
  <si>
    <t>Sinisgalli</t>
  </si>
  <si>
    <t>Steve</t>
  </si>
  <si>
    <t>S01041434</t>
  </si>
  <si>
    <t>S00917034</t>
  </si>
  <si>
    <t>Stanton</t>
  </si>
  <si>
    <t>S00657027</t>
  </si>
  <si>
    <t>S01042373</t>
  </si>
  <si>
    <t>Walters</t>
  </si>
  <si>
    <t>S01041895</t>
  </si>
  <si>
    <t>S00048835</t>
  </si>
  <si>
    <t>Dunkle</t>
  </si>
  <si>
    <t>S01019123</t>
  </si>
  <si>
    <t>Nych</t>
  </si>
  <si>
    <t>S00888511</t>
  </si>
  <si>
    <t>Bliss</t>
  </si>
  <si>
    <t>Maricelly</t>
  </si>
  <si>
    <t>S01041160</t>
  </si>
  <si>
    <t>Cundiff</t>
  </si>
  <si>
    <t>Darice</t>
  </si>
  <si>
    <t>S00588177</t>
  </si>
  <si>
    <t>Dillon</t>
  </si>
  <si>
    <t>S00025439</t>
  </si>
  <si>
    <t>S00081422</t>
  </si>
  <si>
    <t>Keeney</t>
  </si>
  <si>
    <t>Dwayne</t>
  </si>
  <si>
    <t>3E2110</t>
  </si>
  <si>
    <t>Adjunct Services - E</t>
  </si>
  <si>
    <t>S00443595</t>
  </si>
  <si>
    <t>Meiyan</t>
  </si>
  <si>
    <t>S01040117</t>
  </si>
  <si>
    <t>Malone</t>
  </si>
  <si>
    <t>Gregory</t>
  </si>
  <si>
    <t>S00929606</t>
  </si>
  <si>
    <t>S00596303</t>
  </si>
  <si>
    <t>Blair</t>
  </si>
  <si>
    <t>Stephany</t>
  </si>
  <si>
    <t>S00455321</t>
  </si>
  <si>
    <t>Elkanich</t>
  </si>
  <si>
    <t>3W2390</t>
  </si>
  <si>
    <t>Respiratory Care - W</t>
  </si>
  <si>
    <t>S00422371</t>
  </si>
  <si>
    <t>Botsch</t>
  </si>
  <si>
    <t>S00742608</t>
  </si>
  <si>
    <t>S00097791</t>
  </si>
  <si>
    <t>Bradshaw</t>
  </si>
  <si>
    <t>S01038891</t>
  </si>
  <si>
    <t>Carroll</t>
  </si>
  <si>
    <t>S00141043</t>
  </si>
  <si>
    <t>Chism</t>
  </si>
  <si>
    <t>Patrisha</t>
  </si>
  <si>
    <t>S00399272</t>
  </si>
  <si>
    <t>Resia</t>
  </si>
  <si>
    <t>S00443257</t>
  </si>
  <si>
    <t>Holmes</t>
  </si>
  <si>
    <t>S00061266</t>
  </si>
  <si>
    <t>Koski</t>
  </si>
  <si>
    <t>S00147811</t>
  </si>
  <si>
    <t>Macerelli</t>
  </si>
  <si>
    <t>S00010672</t>
  </si>
  <si>
    <t>Mildred</t>
  </si>
  <si>
    <t>S00053668</t>
  </si>
  <si>
    <t>McDade</t>
  </si>
  <si>
    <t>Lisanetta</t>
  </si>
  <si>
    <t>3M3100</t>
  </si>
  <si>
    <t>Dean Access &amp; Completion - M</t>
  </si>
  <si>
    <t>S00340185</t>
  </si>
  <si>
    <t>Enrico</t>
  </si>
  <si>
    <t>S01039020</t>
  </si>
  <si>
    <t>Olson</t>
  </si>
  <si>
    <t>3E1070</t>
  </si>
  <si>
    <t>Conflict Resolution Certificate Prg</t>
  </si>
  <si>
    <t>S00070583</t>
  </si>
  <si>
    <t>Salmon</t>
  </si>
  <si>
    <t>Maurice</t>
  </si>
  <si>
    <t>S00812712</t>
  </si>
  <si>
    <t>Sarran</t>
  </si>
  <si>
    <t>Dhankumar</t>
  </si>
  <si>
    <t>S00617690</t>
  </si>
  <si>
    <t>Sharma</t>
  </si>
  <si>
    <t>Karn</t>
  </si>
  <si>
    <t>S00272484</t>
  </si>
  <si>
    <t>S00924144</t>
  </si>
  <si>
    <t>S00944198</t>
  </si>
  <si>
    <t>S01009798</t>
  </si>
  <si>
    <t>Nolen</t>
  </si>
  <si>
    <t>S00044507</t>
  </si>
  <si>
    <t>Gooden</t>
  </si>
  <si>
    <t>Tonya</t>
  </si>
  <si>
    <t>S00013794</t>
  </si>
  <si>
    <t>Wilcox</t>
  </si>
  <si>
    <t>S00115154</t>
  </si>
  <si>
    <t>Zola</t>
  </si>
  <si>
    <t>S01039187</t>
  </si>
  <si>
    <t>Anita</t>
  </si>
  <si>
    <t>S00632331</t>
  </si>
  <si>
    <t>Cross</t>
  </si>
  <si>
    <t>Marvin</t>
  </si>
  <si>
    <t>S00536276</t>
  </si>
  <si>
    <t>Jordan Seay</t>
  </si>
  <si>
    <t>S01038507</t>
  </si>
  <si>
    <t>Madison</t>
  </si>
  <si>
    <t>S00865095</t>
  </si>
  <si>
    <t>Moynihan</t>
  </si>
  <si>
    <t>S01012022</t>
  </si>
  <si>
    <t>S00025741</t>
  </si>
  <si>
    <t>S00373591</t>
  </si>
  <si>
    <t>Fedor</t>
  </si>
  <si>
    <t>S01036255</t>
  </si>
  <si>
    <t>Royko</t>
  </si>
  <si>
    <t>Barry</t>
  </si>
  <si>
    <t>S00310719</t>
  </si>
  <si>
    <t>S01032557</t>
  </si>
  <si>
    <t>Blackie</t>
  </si>
  <si>
    <t>S01011228</t>
  </si>
  <si>
    <t>S00852022</t>
  </si>
  <si>
    <t>S00885468</t>
  </si>
  <si>
    <t>Gregorich</t>
  </si>
  <si>
    <t>S00050515</t>
  </si>
  <si>
    <t>S01038550</t>
  </si>
  <si>
    <t>Luginbuhl Mather</t>
  </si>
  <si>
    <t>April</t>
  </si>
  <si>
    <t>3W2725</t>
  </si>
  <si>
    <t>Geography - W</t>
  </si>
  <si>
    <t>S01037262</t>
  </si>
  <si>
    <t>Ploenzke</t>
  </si>
  <si>
    <t>S00807751</t>
  </si>
  <si>
    <t>Sapp</t>
  </si>
  <si>
    <t>Cigornai</t>
  </si>
  <si>
    <t>S00140695</t>
  </si>
  <si>
    <t>VanArnhem</t>
  </si>
  <si>
    <t>S01036153</t>
  </si>
  <si>
    <t>Alpert</t>
  </si>
  <si>
    <t>S01036152</t>
  </si>
  <si>
    <t>Butrico</t>
  </si>
  <si>
    <t>S01038575</t>
  </si>
  <si>
    <t>Duris</t>
  </si>
  <si>
    <t>S00803807</t>
  </si>
  <si>
    <t>Eurenius</t>
  </si>
  <si>
    <t>S00848584</t>
  </si>
  <si>
    <t>Geffert</t>
  </si>
  <si>
    <t>S00009890</t>
  </si>
  <si>
    <t>Homenko</t>
  </si>
  <si>
    <t>S00571833</t>
  </si>
  <si>
    <t>Iler</t>
  </si>
  <si>
    <t>S01036795</t>
  </si>
  <si>
    <t>Mahle</t>
  </si>
  <si>
    <t>Alynn</t>
  </si>
  <si>
    <t>S01036794</t>
  </si>
  <si>
    <t>Manchester</t>
  </si>
  <si>
    <t>S01038151</t>
  </si>
  <si>
    <t>Schaffer</t>
  </si>
  <si>
    <t>S01036257</t>
  </si>
  <si>
    <t>Yelsky</t>
  </si>
  <si>
    <t>Adrienne</t>
  </si>
  <si>
    <t>S01038564</t>
  </si>
  <si>
    <t>Reif</t>
  </si>
  <si>
    <t>Edwin</t>
  </si>
  <si>
    <t>S00665635</t>
  </si>
  <si>
    <t>Bailey</t>
  </si>
  <si>
    <t>S01038290</t>
  </si>
  <si>
    <t>Pan</t>
  </si>
  <si>
    <t>Tao</t>
  </si>
  <si>
    <t>3M2620</t>
  </si>
  <si>
    <t>Engineering - M</t>
  </si>
  <si>
    <t>S01038382</t>
  </si>
  <si>
    <t>S00125152</t>
  </si>
  <si>
    <t>Kalnasy</t>
  </si>
  <si>
    <t>3E3900</t>
  </si>
  <si>
    <t>Athletic Dept - E</t>
  </si>
  <si>
    <t>S01037773</t>
  </si>
  <si>
    <t>Spitzig</t>
  </si>
  <si>
    <t>S00879291</t>
  </si>
  <si>
    <t>Abbott</t>
  </si>
  <si>
    <t>S01027909</t>
  </si>
  <si>
    <t>Hayden</t>
  </si>
  <si>
    <t>S00482331</t>
  </si>
  <si>
    <t>Karlak</t>
  </si>
  <si>
    <t>Gerald</t>
  </si>
  <si>
    <t>S00013486</t>
  </si>
  <si>
    <t>Kolodny</t>
  </si>
  <si>
    <t>Phyllis</t>
  </si>
  <si>
    <t>S00426668</t>
  </si>
  <si>
    <t>Kurshuk</t>
  </si>
  <si>
    <t>S00320308</t>
  </si>
  <si>
    <t>McCafferty</t>
  </si>
  <si>
    <t>4W2800</t>
  </si>
  <si>
    <t>Construction &amp; Green Tech. Credit</t>
  </si>
  <si>
    <t>S00091024</t>
  </si>
  <si>
    <t>McCoy-Gibbons</t>
  </si>
  <si>
    <t>Shenee</t>
  </si>
  <si>
    <t>S01014971</t>
  </si>
  <si>
    <t>S01021241</t>
  </si>
  <si>
    <t>Stafford</t>
  </si>
  <si>
    <t>S00330584</t>
  </si>
  <si>
    <t>Subby</t>
  </si>
  <si>
    <t>S00999907</t>
  </si>
  <si>
    <t>Trivison</t>
  </si>
  <si>
    <t>S00586562</t>
  </si>
  <si>
    <t>S00011388</t>
  </si>
  <si>
    <t>Aliyah</t>
  </si>
  <si>
    <t>S00947093</t>
  </si>
  <si>
    <t>Convertino</t>
  </si>
  <si>
    <t>4C2180</t>
  </si>
  <si>
    <t>Leadership</t>
  </si>
  <si>
    <t>S01034374</t>
  </si>
  <si>
    <t>Atkinson</t>
  </si>
  <si>
    <t>Casey</t>
  </si>
  <si>
    <t>3M2320</t>
  </si>
  <si>
    <t>Dietary Technology - M</t>
  </si>
  <si>
    <t>S01034129</t>
  </si>
  <si>
    <t>Alexis</t>
  </si>
  <si>
    <t>S00573212</t>
  </si>
  <si>
    <t>Bashian</t>
  </si>
  <si>
    <t>3W2745</t>
  </si>
  <si>
    <t>Political Science - W</t>
  </si>
  <si>
    <t>S00117647</t>
  </si>
  <si>
    <t>Beech</t>
  </si>
  <si>
    <t>Rhonda</t>
  </si>
  <si>
    <t>S00261144</t>
  </si>
  <si>
    <t>Erhardt</t>
  </si>
  <si>
    <t>S00060328</t>
  </si>
  <si>
    <t>Jeteia</t>
  </si>
  <si>
    <t>S01036643</t>
  </si>
  <si>
    <t>Bettinger</t>
  </si>
  <si>
    <t>Julia</t>
  </si>
  <si>
    <t>CS</t>
  </si>
  <si>
    <t>S01037355</t>
  </si>
  <si>
    <t>Talise</t>
  </si>
  <si>
    <t>3M4250</t>
  </si>
  <si>
    <t>Dance - M</t>
  </si>
  <si>
    <t>S00979211</t>
  </si>
  <si>
    <t>Cancelli</t>
  </si>
  <si>
    <t>S01035944</t>
  </si>
  <si>
    <t>Chapman</t>
  </si>
  <si>
    <t>S01037283</t>
  </si>
  <si>
    <t>Chinnam</t>
  </si>
  <si>
    <t>Daisy</t>
  </si>
  <si>
    <t>S00313703</t>
  </si>
  <si>
    <t>Ciulli</t>
  </si>
  <si>
    <t>S00072938</t>
  </si>
  <si>
    <t>Ashleigh</t>
  </si>
  <si>
    <t>S01031772</t>
  </si>
  <si>
    <t>Connelly</t>
  </si>
  <si>
    <t>S00055008</t>
  </si>
  <si>
    <t>S01034911</t>
  </si>
  <si>
    <t>Davros</t>
  </si>
  <si>
    <t>Ioannis (Yanni)</t>
  </si>
  <si>
    <t>S00117916</t>
  </si>
  <si>
    <t>Disch</t>
  </si>
  <si>
    <t>Arnold</t>
  </si>
  <si>
    <t>S00080020</t>
  </si>
  <si>
    <t>Krista</t>
  </si>
  <si>
    <t>S00681899</t>
  </si>
  <si>
    <t>Frash</t>
  </si>
  <si>
    <t>3W2405</t>
  </si>
  <si>
    <t>American Sign Language - W</t>
  </si>
  <si>
    <t>S01036259</t>
  </si>
  <si>
    <t>Friges</t>
  </si>
  <si>
    <t>S00227722</t>
  </si>
  <si>
    <t>Garland</t>
  </si>
  <si>
    <t>S00926110</t>
  </si>
  <si>
    <t>S01035537</t>
  </si>
  <si>
    <t>Granger</t>
  </si>
  <si>
    <t>S01034362</t>
  </si>
  <si>
    <t>Harrell</t>
  </si>
  <si>
    <t>Brian</t>
  </si>
  <si>
    <t>S01036535</t>
  </si>
  <si>
    <t>Harvey Collins</t>
  </si>
  <si>
    <t>Elena</t>
  </si>
  <si>
    <t>S00430594</t>
  </si>
  <si>
    <t>Headen</t>
  </si>
  <si>
    <t>Miesha</t>
  </si>
  <si>
    <t>S00046252</t>
  </si>
  <si>
    <t>Shanell</t>
  </si>
  <si>
    <t>S01031421</t>
  </si>
  <si>
    <t>S01030508</t>
  </si>
  <si>
    <t>Hrivnak</t>
  </si>
  <si>
    <t>S00475590</t>
  </si>
  <si>
    <t>S01013193</t>
  </si>
  <si>
    <t>Hutchinson</t>
  </si>
  <si>
    <t>Meghann</t>
  </si>
  <si>
    <t>S01032809</t>
  </si>
  <si>
    <t>Jack</t>
  </si>
  <si>
    <t>Pritchard</t>
  </si>
  <si>
    <t>S00597680</t>
  </si>
  <si>
    <t>Januszewski</t>
  </si>
  <si>
    <t>2D1100</t>
  </si>
  <si>
    <t>Audit &amp; Advisory Svcs</t>
  </si>
  <si>
    <t>S00169965</t>
  </si>
  <si>
    <t>Sue</t>
  </si>
  <si>
    <t>3M4450</t>
  </si>
  <si>
    <t>Theatre Arts - M</t>
  </si>
  <si>
    <t>S00051806</t>
  </si>
  <si>
    <t>Sherri</t>
  </si>
  <si>
    <t>S01037145</t>
  </si>
  <si>
    <t>Julian</t>
  </si>
  <si>
    <t>3E2325</t>
  </si>
  <si>
    <t>Earth Science - E</t>
  </si>
  <si>
    <t>S00142460</t>
  </si>
  <si>
    <t>Kenyatta</t>
  </si>
  <si>
    <t>Sonji</t>
  </si>
  <si>
    <t>3M2765</t>
  </si>
  <si>
    <t>Sociology - M</t>
  </si>
  <si>
    <t>S01036408</t>
  </si>
  <si>
    <t>Jacob</t>
  </si>
  <si>
    <t>S01030938</t>
  </si>
  <si>
    <t>Kiteu</t>
  </si>
  <si>
    <t>Marco</t>
  </si>
  <si>
    <t>S01033695</t>
  </si>
  <si>
    <t>Krishnamurthy</t>
  </si>
  <si>
    <t>Nirmala</t>
  </si>
  <si>
    <t>S00440246</t>
  </si>
  <si>
    <t>Kutz</t>
  </si>
  <si>
    <t>S00426633</t>
  </si>
  <si>
    <t>Lalumandier</t>
  </si>
  <si>
    <t>Rose</t>
  </si>
  <si>
    <t>S01034049</t>
  </si>
  <si>
    <t>Lang</t>
  </si>
  <si>
    <t>Lesley</t>
  </si>
  <si>
    <t>S01031570</t>
  </si>
  <si>
    <t>Latarski</t>
  </si>
  <si>
    <t>S01037471</t>
  </si>
  <si>
    <t>Levesque</t>
  </si>
  <si>
    <t>S01035383</t>
  </si>
  <si>
    <t>Manji</t>
  </si>
  <si>
    <t>Jamal</t>
  </si>
  <si>
    <t>S00600083</t>
  </si>
  <si>
    <t>McClain</t>
  </si>
  <si>
    <t>Cielo</t>
  </si>
  <si>
    <t>S00331292</t>
  </si>
  <si>
    <t>McGlothin</t>
  </si>
  <si>
    <t>Enola</t>
  </si>
  <si>
    <t>S00820418</t>
  </si>
  <si>
    <t>Tim</t>
  </si>
  <si>
    <t>S01037290</t>
  </si>
  <si>
    <t>Chanel</t>
  </si>
  <si>
    <t>S00346325</t>
  </si>
  <si>
    <t>Nash</t>
  </si>
  <si>
    <t>3M2850</t>
  </si>
  <si>
    <t>Ophthalmic Dispensing - M</t>
  </si>
  <si>
    <t>S00424726</t>
  </si>
  <si>
    <t>Nuti</t>
  </si>
  <si>
    <t>S01036221</t>
  </si>
  <si>
    <t>Petkiewicz</t>
  </si>
  <si>
    <t>S00040216</t>
  </si>
  <si>
    <t>S01035840</t>
  </si>
  <si>
    <t>Putnam</t>
  </si>
  <si>
    <t>S01034344</t>
  </si>
  <si>
    <t>Ranchod</t>
  </si>
  <si>
    <t>3E2420</t>
  </si>
  <si>
    <t>English as a Second Language - E</t>
  </si>
  <si>
    <t>S00720798</t>
  </si>
  <si>
    <t>Ebony</t>
  </si>
  <si>
    <t>3W4300</t>
  </si>
  <si>
    <t>Journalism &amp; Mass Comm - W</t>
  </si>
  <si>
    <t>S00057283</t>
  </si>
  <si>
    <t>S01034343</t>
  </si>
  <si>
    <t>Scarpa</t>
  </si>
  <si>
    <t>S01034158</t>
  </si>
  <si>
    <t>Sheaff</t>
  </si>
  <si>
    <t>Annika</t>
  </si>
  <si>
    <t>S00065330</t>
  </si>
  <si>
    <t>Shepherd</t>
  </si>
  <si>
    <t>Lolitha</t>
  </si>
  <si>
    <t>S00581779</t>
  </si>
  <si>
    <t>Shoemaker</t>
  </si>
  <si>
    <t>Frank</t>
  </si>
  <si>
    <t>S01036758</t>
  </si>
  <si>
    <t>Simbeck</t>
  </si>
  <si>
    <t>3W2460</t>
  </si>
  <si>
    <t>Speech Communications - W</t>
  </si>
  <si>
    <t>S00807531</t>
  </si>
  <si>
    <t>St. James</t>
  </si>
  <si>
    <t>S00574265</t>
  </si>
  <si>
    <t>Swetel</t>
  </si>
  <si>
    <t>Jeremiah</t>
  </si>
  <si>
    <t>S00183762</t>
  </si>
  <si>
    <t>S01034260</t>
  </si>
  <si>
    <t>Thoenen</t>
  </si>
  <si>
    <t>Heidi</t>
  </si>
  <si>
    <t>S00113277</t>
  </si>
  <si>
    <t>Tucci</t>
  </si>
  <si>
    <t>3M2220</t>
  </si>
  <si>
    <t>Business Administration - M</t>
  </si>
  <si>
    <t>S00959149</t>
  </si>
  <si>
    <t>Vasu</t>
  </si>
  <si>
    <t>S01036123</t>
  </si>
  <si>
    <t>S00914733</t>
  </si>
  <si>
    <t>Veres</t>
  </si>
  <si>
    <t>S00893248</t>
  </si>
  <si>
    <t>S01036612</t>
  </si>
  <si>
    <t>Ernest</t>
  </si>
  <si>
    <t>S00827278</t>
  </si>
  <si>
    <t>Woll</t>
  </si>
  <si>
    <t>Beryl</t>
  </si>
  <si>
    <t>S00070976</t>
  </si>
  <si>
    <t>Zimmer</t>
  </si>
  <si>
    <t>3E4150</t>
  </si>
  <si>
    <t>Art - E</t>
  </si>
  <si>
    <t>S01001544</t>
  </si>
  <si>
    <t>Aniton</t>
  </si>
  <si>
    <t>S00212846</t>
  </si>
  <si>
    <t>Broach</t>
  </si>
  <si>
    <t>S00366882</t>
  </si>
  <si>
    <t>Cavin</t>
  </si>
  <si>
    <t>S01035069</t>
  </si>
  <si>
    <t>S00668303</t>
  </si>
  <si>
    <t>Dietz</t>
  </si>
  <si>
    <t>S00010514</t>
  </si>
  <si>
    <t>Fogarty</t>
  </si>
  <si>
    <t>S00868789</t>
  </si>
  <si>
    <t>2C4100</t>
  </si>
  <si>
    <t>Business Continuity</t>
  </si>
  <si>
    <t>S00576569</t>
  </si>
  <si>
    <t>Kaaikaula</t>
  </si>
  <si>
    <t>S00432350</t>
  </si>
  <si>
    <t>Kimbro</t>
  </si>
  <si>
    <t>Randy</t>
  </si>
  <si>
    <t>S00954648</t>
  </si>
  <si>
    <t>Lanza</t>
  </si>
  <si>
    <t>S00016099</t>
  </si>
  <si>
    <t>Leonard</t>
  </si>
  <si>
    <t>S00031076</t>
  </si>
  <si>
    <t>Melnick</t>
  </si>
  <si>
    <t>S01036793</t>
  </si>
  <si>
    <t>Pattie</t>
  </si>
  <si>
    <t>S01035045</t>
  </si>
  <si>
    <t>S00122038</t>
  </si>
  <si>
    <t>Cassandra</t>
  </si>
  <si>
    <t>S01035839</t>
  </si>
  <si>
    <t>Rosenberg</t>
  </si>
  <si>
    <t>Kolman</t>
  </si>
  <si>
    <t>S00900469</t>
  </si>
  <si>
    <t>Artis</t>
  </si>
  <si>
    <t>S00933231</t>
  </si>
  <si>
    <t>S00728618</t>
  </si>
  <si>
    <t>Richardson-Phillips</t>
  </si>
  <si>
    <t>Deborale</t>
  </si>
  <si>
    <t>1H2100</t>
  </si>
  <si>
    <t>Diversity and Inclusion</t>
  </si>
  <si>
    <t>S00629788</t>
  </si>
  <si>
    <t>S00970426</t>
  </si>
  <si>
    <t>Cicely</t>
  </si>
  <si>
    <t>S01011039</t>
  </si>
  <si>
    <t>Hanson</t>
  </si>
  <si>
    <t>Mary Ellen</t>
  </si>
  <si>
    <t>S00444170</t>
  </si>
  <si>
    <t>Kijek</t>
  </si>
  <si>
    <t>S00740494</t>
  </si>
  <si>
    <t>Ryant</t>
  </si>
  <si>
    <t>S00029209</t>
  </si>
  <si>
    <t>Ticherich</t>
  </si>
  <si>
    <t>S00704549</t>
  </si>
  <si>
    <t>Knox</t>
  </si>
  <si>
    <t>Nichelle</t>
  </si>
  <si>
    <t>S00046134</t>
  </si>
  <si>
    <t>Hunt</t>
  </si>
  <si>
    <t>Sheryl</t>
  </si>
  <si>
    <t>S00952407</t>
  </si>
  <si>
    <t>Dohanos</t>
  </si>
  <si>
    <t>Abigail</t>
  </si>
  <si>
    <t>S00861199</t>
  </si>
  <si>
    <t>Homoki</t>
  </si>
  <si>
    <t>3W2375</t>
  </si>
  <si>
    <t>Physician Assistant - W</t>
  </si>
  <si>
    <t>S00998196</t>
  </si>
  <si>
    <t>Kacr</t>
  </si>
  <si>
    <t>S01033596</t>
  </si>
  <si>
    <t>Champayne</t>
  </si>
  <si>
    <t>S00602897</t>
  </si>
  <si>
    <t>Payton</t>
  </si>
  <si>
    <t>S00931175</t>
  </si>
  <si>
    <t>Rice</t>
  </si>
  <si>
    <t>S01034946</t>
  </si>
  <si>
    <t>S00077710</t>
  </si>
  <si>
    <t>Richards</t>
  </si>
  <si>
    <t>Marisa</t>
  </si>
  <si>
    <t>S00405386</t>
  </si>
  <si>
    <t>Tolliver</t>
  </si>
  <si>
    <t>Latrice</t>
  </si>
  <si>
    <t>S00889489</t>
  </si>
  <si>
    <t>Stopp</t>
  </si>
  <si>
    <t>S00440440</t>
  </si>
  <si>
    <t>Urbania</t>
  </si>
  <si>
    <t>S01030051</t>
  </si>
  <si>
    <t>Cain</t>
  </si>
  <si>
    <t>S01035413</t>
  </si>
  <si>
    <t>Chen</t>
  </si>
  <si>
    <t>Dongxing</t>
  </si>
  <si>
    <t>S01000914</t>
  </si>
  <si>
    <t>Coughlin</t>
  </si>
  <si>
    <t>S00046665</t>
  </si>
  <si>
    <t>Moleterno</t>
  </si>
  <si>
    <t>S00696596</t>
  </si>
  <si>
    <t>Templeman</t>
  </si>
  <si>
    <t>Tara</t>
  </si>
  <si>
    <t>S01032510</t>
  </si>
  <si>
    <t>German</t>
  </si>
  <si>
    <t>S01032996</t>
  </si>
  <si>
    <t>Scholz</t>
  </si>
  <si>
    <t>S00864732</t>
  </si>
  <si>
    <t>Wilder</t>
  </si>
  <si>
    <t>S00642065</t>
  </si>
  <si>
    <t>Stottler</t>
  </si>
  <si>
    <t>S00400709</t>
  </si>
  <si>
    <t>Radiah</t>
  </si>
  <si>
    <t>S00018274</t>
  </si>
  <si>
    <t>S00106642</t>
  </si>
  <si>
    <t>S00959990</t>
  </si>
  <si>
    <t>Suntken</t>
  </si>
  <si>
    <t>S00636678</t>
  </si>
  <si>
    <t>Zeszotek</t>
  </si>
  <si>
    <t>S01032150</t>
  </si>
  <si>
    <t>Davidson</t>
  </si>
  <si>
    <t>S01038890</t>
  </si>
  <si>
    <t>Iarussi</t>
  </si>
  <si>
    <t>S00009672</t>
  </si>
  <si>
    <t>Patterson</t>
  </si>
  <si>
    <t>S00242990</t>
  </si>
  <si>
    <t>Lent</t>
  </si>
  <si>
    <t>S00843256</t>
  </si>
  <si>
    <t>Poling</t>
  </si>
  <si>
    <t>S00035392</t>
  </si>
  <si>
    <t>Charlean</t>
  </si>
  <si>
    <t>S00963407</t>
  </si>
  <si>
    <t>Nakel</t>
  </si>
  <si>
    <t>S00995076</t>
  </si>
  <si>
    <t>S00892074</t>
  </si>
  <si>
    <t>Vara</t>
  </si>
  <si>
    <t>Kari</t>
  </si>
  <si>
    <t>S01031997</t>
  </si>
  <si>
    <t>S01030663</t>
  </si>
  <si>
    <t>Meyer</t>
  </si>
  <si>
    <t>S00846586</t>
  </si>
  <si>
    <t>Madsen</t>
  </si>
  <si>
    <t>S00932723</t>
  </si>
  <si>
    <t>Paulus</t>
  </si>
  <si>
    <t>S00786382</t>
  </si>
  <si>
    <t>Stehle</t>
  </si>
  <si>
    <t>S00534888</t>
  </si>
  <si>
    <t>Schneider</t>
  </si>
  <si>
    <t>S00070011</t>
  </si>
  <si>
    <t>Billups</t>
  </si>
  <si>
    <t>Tyiesha</t>
  </si>
  <si>
    <t>S00610936</t>
  </si>
  <si>
    <t>Darling</t>
  </si>
  <si>
    <t>Kimyata</t>
  </si>
  <si>
    <t>S01024079</t>
  </si>
  <si>
    <t>Dyczkiewycz</t>
  </si>
  <si>
    <t>S00051792</t>
  </si>
  <si>
    <t>S01028708</t>
  </si>
  <si>
    <t>Kokkinos</t>
  </si>
  <si>
    <t>S01029121</t>
  </si>
  <si>
    <t>J.</t>
  </si>
  <si>
    <t>4C1100</t>
  </si>
  <si>
    <t>Corporate College President</t>
  </si>
  <si>
    <t>S00605717</t>
  </si>
  <si>
    <t>Schudel</t>
  </si>
  <si>
    <t>S01013730</t>
  </si>
  <si>
    <t>Strong</t>
  </si>
  <si>
    <t>S00702215</t>
  </si>
  <si>
    <t>Ticknor</t>
  </si>
  <si>
    <t>S00866294</t>
  </si>
  <si>
    <t>Hairston</t>
  </si>
  <si>
    <t>S00965708</t>
  </si>
  <si>
    <t>Laurice</t>
  </si>
  <si>
    <t>S00922207</t>
  </si>
  <si>
    <t>2F6200</t>
  </si>
  <si>
    <t>S00524091</t>
  </si>
  <si>
    <t>Charlotte</t>
  </si>
  <si>
    <t>S00441252</t>
  </si>
  <si>
    <t>Battistuta</t>
  </si>
  <si>
    <t>S00076564</t>
  </si>
  <si>
    <t>Edmonds</t>
  </si>
  <si>
    <t>S00086427</t>
  </si>
  <si>
    <t>Golston</t>
  </si>
  <si>
    <t>S00116371</t>
  </si>
  <si>
    <t>Jake</t>
  </si>
  <si>
    <t>2S2475</t>
  </si>
  <si>
    <t>Law Enforcement - S</t>
  </si>
  <si>
    <t>S00052931</t>
  </si>
  <si>
    <t>Laycock</t>
  </si>
  <si>
    <t>3W4870</t>
  </si>
  <si>
    <t>Music - W</t>
  </si>
  <si>
    <t>S00329866</t>
  </si>
  <si>
    <t>Box</t>
  </si>
  <si>
    <t>S00014325</t>
  </si>
  <si>
    <t>Hilliard</t>
  </si>
  <si>
    <t>S00245582</t>
  </si>
  <si>
    <t>S00218281</t>
  </si>
  <si>
    <t>Delgado</t>
  </si>
  <si>
    <t>S00115709</t>
  </si>
  <si>
    <t>Gomez</t>
  </si>
  <si>
    <t>Magda</t>
  </si>
  <si>
    <t>S00566448</t>
  </si>
  <si>
    <t>Lieber</t>
  </si>
  <si>
    <t>S00541848</t>
  </si>
  <si>
    <t>Reginald</t>
  </si>
  <si>
    <t>S01019906</t>
  </si>
  <si>
    <t>Connor</t>
  </si>
  <si>
    <t>Norman</t>
  </si>
  <si>
    <t>S00386725</t>
  </si>
  <si>
    <t>Luketic</t>
  </si>
  <si>
    <t>S00558500</t>
  </si>
  <si>
    <t>Daher</t>
  </si>
  <si>
    <t>2S2200</t>
  </si>
  <si>
    <t>Campus Police Dispatch</t>
  </si>
  <si>
    <t>S00970296</t>
  </si>
  <si>
    <t>S00726263</t>
  </si>
  <si>
    <t>Shurkrea</t>
  </si>
  <si>
    <t>S00733182</t>
  </si>
  <si>
    <t>Griswold</t>
  </si>
  <si>
    <t>S00808895</t>
  </si>
  <si>
    <t>2C3320</t>
  </si>
  <si>
    <t>Custodial Services - E</t>
  </si>
  <si>
    <t>S01029355</t>
  </si>
  <si>
    <t>Justine</t>
  </si>
  <si>
    <t>S00380200</t>
  </si>
  <si>
    <t>S01029644</t>
  </si>
  <si>
    <t>3M4800</t>
  </si>
  <si>
    <t>Arts Prep</t>
  </si>
  <si>
    <t>S00996696</t>
  </si>
  <si>
    <t>Kostritsa</t>
  </si>
  <si>
    <t>Alexandr</t>
  </si>
  <si>
    <t>S01029101</t>
  </si>
  <si>
    <t>S00894799</t>
  </si>
  <si>
    <t>Deutschman-Ruiz</t>
  </si>
  <si>
    <t>Cindi</t>
  </si>
  <si>
    <t>S01021134</t>
  </si>
  <si>
    <t>Egleston</t>
  </si>
  <si>
    <t>S01021927</t>
  </si>
  <si>
    <t>Glove</t>
  </si>
  <si>
    <t>Jann</t>
  </si>
  <si>
    <t>S00159120</t>
  </si>
  <si>
    <t>Herceg</t>
  </si>
  <si>
    <t>S00920517</t>
  </si>
  <si>
    <t>Ketchaver</t>
  </si>
  <si>
    <t>S01021926</t>
  </si>
  <si>
    <t>Lofton</t>
  </si>
  <si>
    <t>S01021119</t>
  </si>
  <si>
    <t>Nance</t>
  </si>
  <si>
    <t>S01021136</t>
  </si>
  <si>
    <t>Pearch</t>
  </si>
  <si>
    <t>S01021137</t>
  </si>
  <si>
    <t>Perko</t>
  </si>
  <si>
    <t>S00651267</t>
  </si>
  <si>
    <t>Shucard</t>
  </si>
  <si>
    <t>S00339533</t>
  </si>
  <si>
    <t>S00344128</t>
  </si>
  <si>
    <t>Celia</t>
  </si>
  <si>
    <t>S00235553</t>
  </si>
  <si>
    <t>Collins</t>
  </si>
  <si>
    <t>Claressa</t>
  </si>
  <si>
    <t>S00865943</t>
  </si>
  <si>
    <t>Egan</t>
  </si>
  <si>
    <t>S01027908</t>
  </si>
  <si>
    <t>Mescudi</t>
  </si>
  <si>
    <t>Maisha</t>
  </si>
  <si>
    <t>S00180244</t>
  </si>
  <si>
    <t>S01012543</t>
  </si>
  <si>
    <t>Casali</t>
  </si>
  <si>
    <t>Brad</t>
  </si>
  <si>
    <t>S00622442</t>
  </si>
  <si>
    <t>Eversman</t>
  </si>
  <si>
    <t>S00156234</t>
  </si>
  <si>
    <t>Franczak</t>
  </si>
  <si>
    <t>S00366720</t>
  </si>
  <si>
    <t>Garan</t>
  </si>
  <si>
    <t>S00074318</t>
  </si>
  <si>
    <t>Hall</t>
  </si>
  <si>
    <t>S00010598</t>
  </si>
  <si>
    <t>Hauger</t>
  </si>
  <si>
    <t>S00475166</t>
  </si>
  <si>
    <t>Jennie</t>
  </si>
  <si>
    <t>S01029100</t>
  </si>
  <si>
    <t>Anissa</t>
  </si>
  <si>
    <t>S01027541</t>
  </si>
  <si>
    <t>Mastronardi-Kuk</t>
  </si>
  <si>
    <t>S00130009</t>
  </si>
  <si>
    <t>S01027365</t>
  </si>
  <si>
    <t>Piper</t>
  </si>
  <si>
    <t>S00930937</t>
  </si>
  <si>
    <t>Headd</t>
  </si>
  <si>
    <t>S00536148</t>
  </si>
  <si>
    <t>S00931083</t>
  </si>
  <si>
    <t>Barboza</t>
  </si>
  <si>
    <t>S00625095</t>
  </si>
  <si>
    <t>Behrendt</t>
  </si>
  <si>
    <t>S00285239</t>
  </si>
  <si>
    <t>Hoprich</t>
  </si>
  <si>
    <t>S00068059</t>
  </si>
  <si>
    <t>Logan</t>
  </si>
  <si>
    <t>S00523964</t>
  </si>
  <si>
    <t>S00378946</t>
  </si>
  <si>
    <t>Wells</t>
  </si>
  <si>
    <t>Mirol</t>
  </si>
  <si>
    <t>2C2100</t>
  </si>
  <si>
    <t>Capital &amp; Construction Dept</t>
  </si>
  <si>
    <t>S00914691</t>
  </si>
  <si>
    <t>Djukic</t>
  </si>
  <si>
    <t>S00014508</t>
  </si>
  <si>
    <t>Panehal</t>
  </si>
  <si>
    <t>S00381175</t>
  </si>
  <si>
    <t>Akram</t>
  </si>
  <si>
    <t>Maridah</t>
  </si>
  <si>
    <t>S00482208</t>
  </si>
  <si>
    <t>Ashworth</t>
  </si>
  <si>
    <t>S00340557</t>
  </si>
  <si>
    <t>Barko</t>
  </si>
  <si>
    <t>3W2350</t>
  </si>
  <si>
    <t>Medical Assisting - W</t>
  </si>
  <si>
    <t>S00244001</t>
  </si>
  <si>
    <t>Barr</t>
  </si>
  <si>
    <t>S00428219</t>
  </si>
  <si>
    <t>S01026301</t>
  </si>
  <si>
    <t>Beudert</t>
  </si>
  <si>
    <t>S01001864</t>
  </si>
  <si>
    <t>S00076739</t>
  </si>
  <si>
    <t>Booth</t>
  </si>
  <si>
    <t>Brianne</t>
  </si>
  <si>
    <t>S01026470</t>
  </si>
  <si>
    <t>Brady</t>
  </si>
  <si>
    <t>S00065713</t>
  </si>
  <si>
    <t>S00497792</t>
  </si>
  <si>
    <t>Buchannon</t>
  </si>
  <si>
    <t>Joanna</t>
  </si>
  <si>
    <t>S00011933</t>
  </si>
  <si>
    <t>Burgess</t>
  </si>
  <si>
    <t>Marlena</t>
  </si>
  <si>
    <t>S01024609</t>
  </si>
  <si>
    <t>Byers</t>
  </si>
  <si>
    <t>S00136187</t>
  </si>
  <si>
    <t>S00312303</t>
  </si>
  <si>
    <t>Cernoia</t>
  </si>
  <si>
    <t>S00352801</t>
  </si>
  <si>
    <t>S01023731</t>
  </si>
  <si>
    <t>Ciszewski</t>
  </si>
  <si>
    <t>3E2260</t>
  </si>
  <si>
    <t>Information Technology - E</t>
  </si>
  <si>
    <t>S01026505</t>
  </si>
  <si>
    <t>Cloyes</t>
  </si>
  <si>
    <t>S01025904</t>
  </si>
  <si>
    <t>Clymer</t>
  </si>
  <si>
    <t>S00012276</t>
  </si>
  <si>
    <t>Colbert</t>
  </si>
  <si>
    <t>S01025856</t>
  </si>
  <si>
    <t>Cruz</t>
  </si>
  <si>
    <t>S01026426</t>
  </si>
  <si>
    <t>Das Gupta</t>
  </si>
  <si>
    <t>Jaydip</t>
  </si>
  <si>
    <t>S00032254</t>
  </si>
  <si>
    <t>Marika</t>
  </si>
  <si>
    <t>Renate</t>
  </si>
  <si>
    <t>S01022077</t>
  </si>
  <si>
    <t>S00131935</t>
  </si>
  <si>
    <t>DeCarlo</t>
  </si>
  <si>
    <t>S00076662</t>
  </si>
  <si>
    <t>DeLury</t>
  </si>
  <si>
    <t>S00007100</t>
  </si>
  <si>
    <t>DeSario</t>
  </si>
  <si>
    <t>S00115962</t>
  </si>
  <si>
    <t>S00857131</t>
  </si>
  <si>
    <t>Downie</t>
  </si>
  <si>
    <t>S01024242</t>
  </si>
  <si>
    <t>Doxsey</t>
  </si>
  <si>
    <t>S00453935</t>
  </si>
  <si>
    <t>Dozier</t>
  </si>
  <si>
    <t>S00030771</t>
  </si>
  <si>
    <t>Ebose</t>
  </si>
  <si>
    <t>S00173028</t>
  </si>
  <si>
    <t>S00456158</t>
  </si>
  <si>
    <t>Exner</t>
  </si>
  <si>
    <t>S00162402</t>
  </si>
  <si>
    <t>Fatica-Westover</t>
  </si>
  <si>
    <t>Roseann</t>
  </si>
  <si>
    <t>S00084195</t>
  </si>
  <si>
    <t>Fernando</t>
  </si>
  <si>
    <t>S01021732</t>
  </si>
  <si>
    <t>Ferrigni</t>
  </si>
  <si>
    <t>S00042958</t>
  </si>
  <si>
    <t>Finch</t>
  </si>
  <si>
    <t>S00049274</t>
  </si>
  <si>
    <t>Fousek</t>
  </si>
  <si>
    <t>S01024204</t>
  </si>
  <si>
    <t>Gianine</t>
  </si>
  <si>
    <t>S00441852</t>
  </si>
  <si>
    <t>Gilbert</t>
  </si>
  <si>
    <t>Tiffani</t>
  </si>
  <si>
    <t>Alisha</t>
  </si>
  <si>
    <t>S00462619</t>
  </si>
  <si>
    <t>Glaude</t>
  </si>
  <si>
    <t>Lydia</t>
  </si>
  <si>
    <t>S01026134</t>
  </si>
  <si>
    <t>Gorelik</t>
  </si>
  <si>
    <t>S00420954</t>
  </si>
  <si>
    <t>Greywitt</t>
  </si>
  <si>
    <t>3W4450</t>
  </si>
  <si>
    <t>Theatre Arts - W</t>
  </si>
  <si>
    <t>S01020996</t>
  </si>
  <si>
    <t>Hafner</t>
  </si>
  <si>
    <t>S00365811</t>
  </si>
  <si>
    <t>Hankey</t>
  </si>
  <si>
    <t>Roberta</t>
  </si>
  <si>
    <t>S01026451</t>
  </si>
  <si>
    <t>Harley</t>
  </si>
  <si>
    <t>S00560729</t>
  </si>
  <si>
    <t>Hasberry</t>
  </si>
  <si>
    <t>S01025648</t>
  </si>
  <si>
    <t>Heinrich</t>
  </si>
  <si>
    <t>Bruce</t>
  </si>
  <si>
    <t>S01025475</t>
  </si>
  <si>
    <t>Hillary</t>
  </si>
  <si>
    <t>S00471740</t>
  </si>
  <si>
    <t>Hilfer</t>
  </si>
  <si>
    <t>S00024474</t>
  </si>
  <si>
    <t>Hines</t>
  </si>
  <si>
    <t>Sonyika</t>
  </si>
  <si>
    <t>S01026431</t>
  </si>
  <si>
    <t>Hollingsworth</t>
  </si>
  <si>
    <t>S00050908</t>
  </si>
  <si>
    <t>S00473947</t>
  </si>
  <si>
    <t>Janelle</t>
  </si>
  <si>
    <t>S01025857</t>
  </si>
  <si>
    <t>Iqbal</t>
  </si>
  <si>
    <t>Asif</t>
  </si>
  <si>
    <t>S00413887</t>
  </si>
  <si>
    <t>Jansen</t>
  </si>
  <si>
    <t>S00928199</t>
  </si>
  <si>
    <t>Jenks</t>
  </si>
  <si>
    <t>Viveka</t>
  </si>
  <si>
    <t>S00072685</t>
  </si>
  <si>
    <t>Tonnette</t>
  </si>
  <si>
    <t>S00470819</t>
  </si>
  <si>
    <t>Kanz</t>
  </si>
  <si>
    <t>S00343101</t>
  </si>
  <si>
    <t>Kirk-Hull</t>
  </si>
  <si>
    <t>S00183709</t>
  </si>
  <si>
    <t>Kiss</t>
  </si>
  <si>
    <t>S00166312</t>
  </si>
  <si>
    <t>Kitsis</t>
  </si>
  <si>
    <t>Elvira</t>
  </si>
  <si>
    <t>S00836194</t>
  </si>
  <si>
    <t>Klatka</t>
  </si>
  <si>
    <t>S00973585</t>
  </si>
  <si>
    <t>S00052479</t>
  </si>
  <si>
    <t>Kortyka</t>
  </si>
  <si>
    <t>Cathleen</t>
  </si>
  <si>
    <t>S00030845</t>
  </si>
  <si>
    <t>Kraig</t>
  </si>
  <si>
    <t>S01025594</t>
  </si>
  <si>
    <t>Kristosik</t>
  </si>
  <si>
    <t>S00490112</t>
  </si>
  <si>
    <t>Laird</t>
  </si>
  <si>
    <t>3W2210</t>
  </si>
  <si>
    <t>Accounting - W</t>
  </si>
  <si>
    <t>S00423829</t>
  </si>
  <si>
    <t>Larris</t>
  </si>
  <si>
    <t>S01024253</t>
  </si>
  <si>
    <t>Lau</t>
  </si>
  <si>
    <t>Roger</t>
  </si>
  <si>
    <t>S01024350</t>
  </si>
  <si>
    <t>LeBron</t>
  </si>
  <si>
    <t>S01025832</t>
  </si>
  <si>
    <t>Lenson</t>
  </si>
  <si>
    <t>S00357640</t>
  </si>
  <si>
    <t>Licursi</t>
  </si>
  <si>
    <t>S00651356</t>
  </si>
  <si>
    <t>Liedtke</t>
  </si>
  <si>
    <t>S00555362</t>
  </si>
  <si>
    <t>Littlejohn</t>
  </si>
  <si>
    <t>Amonte</t>
  </si>
  <si>
    <t>S01026004</t>
  </si>
  <si>
    <t>Madore</t>
  </si>
  <si>
    <t>Noelle</t>
  </si>
  <si>
    <t>S00034771</t>
  </si>
  <si>
    <t>Manners</t>
  </si>
  <si>
    <t>Deanna</t>
  </si>
  <si>
    <t>S01021008</t>
  </si>
  <si>
    <t>Marcus</t>
  </si>
  <si>
    <t>S00014820</t>
  </si>
  <si>
    <t>McCarty</t>
  </si>
  <si>
    <t>S00041240</t>
  </si>
  <si>
    <t>McConico</t>
  </si>
  <si>
    <t>Shalahna</t>
  </si>
  <si>
    <t>S01024612</t>
  </si>
  <si>
    <t>McCoy</t>
  </si>
  <si>
    <t>S00503576</t>
  </si>
  <si>
    <t>McMullen</t>
  </si>
  <si>
    <t>S00009755</t>
  </si>
  <si>
    <t>McNeal</t>
  </si>
  <si>
    <t>Simon</t>
  </si>
  <si>
    <t>S00627614</t>
  </si>
  <si>
    <t>Miskimen</t>
  </si>
  <si>
    <t>S00035922</t>
  </si>
  <si>
    <t>Morris</t>
  </si>
  <si>
    <t>S00644552</t>
  </si>
  <si>
    <t>S01022985</t>
  </si>
  <si>
    <t>Ordy</t>
  </si>
  <si>
    <t>Greg</t>
  </si>
  <si>
    <t>S01029352</t>
  </si>
  <si>
    <t>Oztan</t>
  </si>
  <si>
    <t>Meltem</t>
  </si>
  <si>
    <t>S01028123</t>
  </si>
  <si>
    <t>Pacheco</t>
  </si>
  <si>
    <t>Myriam</t>
  </si>
  <si>
    <t>S00055648</t>
  </si>
  <si>
    <t>Padgett</t>
  </si>
  <si>
    <t>S00251219</t>
  </si>
  <si>
    <t>Pasciak</t>
  </si>
  <si>
    <t>S00520237</t>
  </si>
  <si>
    <t>Rogene</t>
  </si>
  <si>
    <t>S00062171</t>
  </si>
  <si>
    <t>Pickett</t>
  </si>
  <si>
    <t>S00045015</t>
  </si>
  <si>
    <t>Pledger</t>
  </si>
  <si>
    <t>S01025618</t>
  </si>
  <si>
    <t>Puffenbarger</t>
  </si>
  <si>
    <t>S00526086</t>
  </si>
  <si>
    <t>Reid</t>
  </si>
  <si>
    <t>Antoinette</t>
  </si>
  <si>
    <t>S00849368</t>
  </si>
  <si>
    <t>Reinhard</t>
  </si>
  <si>
    <t>S01027134</t>
  </si>
  <si>
    <t>Risner</t>
  </si>
  <si>
    <t>S00527966</t>
  </si>
  <si>
    <t>Rittman</t>
  </si>
  <si>
    <t>S00050835</t>
  </si>
  <si>
    <t>Rolston</t>
  </si>
  <si>
    <t>S00198005</t>
  </si>
  <si>
    <t>Savas</t>
  </si>
  <si>
    <t>S01026436</t>
  </si>
  <si>
    <t>Scherbakov</t>
  </si>
  <si>
    <t>Efim</t>
  </si>
  <si>
    <t>S01025439</t>
  </si>
  <si>
    <t>S00595155</t>
  </si>
  <si>
    <t>S00010854</t>
  </si>
  <si>
    <t>Shafer</t>
  </si>
  <si>
    <t>S01014978</t>
  </si>
  <si>
    <t>Shah</t>
  </si>
  <si>
    <t>Hemal</t>
  </si>
  <si>
    <t>S00992212</t>
  </si>
  <si>
    <t>S00023339</t>
  </si>
  <si>
    <t>Squire</t>
  </si>
  <si>
    <t>S00852136</t>
  </si>
  <si>
    <t>Travis</t>
  </si>
  <si>
    <t>S00570064</t>
  </si>
  <si>
    <t>Stowe</t>
  </si>
  <si>
    <t>S00360522</t>
  </si>
  <si>
    <t>S00917507</t>
  </si>
  <si>
    <t>S00865206</t>
  </si>
  <si>
    <t>Terrano</t>
  </si>
  <si>
    <t>Orazio</t>
  </si>
  <si>
    <t>S00038577</t>
  </si>
  <si>
    <t>Tillie</t>
  </si>
  <si>
    <t>LaVada</t>
  </si>
  <si>
    <t>S00011590</t>
  </si>
  <si>
    <t>Tompkins</t>
  </si>
  <si>
    <t>Vedelia</t>
  </si>
  <si>
    <t>S01013117</t>
  </si>
  <si>
    <t>Urbanski</t>
  </si>
  <si>
    <t>S00065676</t>
  </si>
  <si>
    <t>Valentino</t>
  </si>
  <si>
    <t>Lynne</t>
  </si>
  <si>
    <t>S01023081</t>
  </si>
  <si>
    <t>Warner</t>
  </si>
  <si>
    <t>Ari</t>
  </si>
  <si>
    <t>S01024231</t>
  </si>
  <si>
    <t>Wetzel</t>
  </si>
  <si>
    <t>S00631364</t>
  </si>
  <si>
    <t>Wilhelm</t>
  </si>
  <si>
    <t>Rebekah</t>
  </si>
  <si>
    <t>S00558261</t>
  </si>
  <si>
    <t>Workman</t>
  </si>
  <si>
    <t>S00351902</t>
  </si>
  <si>
    <t>Zmija</t>
  </si>
  <si>
    <t>S00250348</t>
  </si>
  <si>
    <t>Bishop</t>
  </si>
  <si>
    <t>S00982564</t>
  </si>
  <si>
    <t>Kulik</t>
  </si>
  <si>
    <t>4W1270</t>
  </si>
  <si>
    <t>Quality Improvement</t>
  </si>
  <si>
    <t>S00605120</t>
  </si>
  <si>
    <t>S00009741</t>
  </si>
  <si>
    <t>Berger</t>
  </si>
  <si>
    <t>S00461099</t>
  </si>
  <si>
    <t>Gay</t>
  </si>
  <si>
    <t>S01026383</t>
  </si>
  <si>
    <t>Gerstenhaber</t>
  </si>
  <si>
    <t>S01002610</t>
  </si>
  <si>
    <t>Metzendorf</t>
  </si>
  <si>
    <t>S00055193</t>
  </si>
  <si>
    <t>Nemeth</t>
  </si>
  <si>
    <t>Gerard</t>
  </si>
  <si>
    <t>S00025900</t>
  </si>
  <si>
    <t>Vickie</t>
  </si>
  <si>
    <t>S00401312</t>
  </si>
  <si>
    <t>Dorsey</t>
  </si>
  <si>
    <t>S00044160</t>
  </si>
  <si>
    <t>Aikens</t>
  </si>
  <si>
    <t>S00364841</t>
  </si>
  <si>
    <t>Ezzo</t>
  </si>
  <si>
    <t>S00863996</t>
  </si>
  <si>
    <t>Parameswaran</t>
  </si>
  <si>
    <t>Vanitha</t>
  </si>
  <si>
    <t>S01023013</t>
  </si>
  <si>
    <t>Tetteh-Lartey</t>
  </si>
  <si>
    <t>S00279667</t>
  </si>
  <si>
    <t>Armagno</t>
  </si>
  <si>
    <t>S00856944</t>
  </si>
  <si>
    <t>McTear</t>
  </si>
  <si>
    <t>S00038211</t>
  </si>
  <si>
    <t>Ashyk</t>
  </si>
  <si>
    <t>S00004536</t>
  </si>
  <si>
    <t>Boerner</t>
  </si>
  <si>
    <t>S00796879</t>
  </si>
  <si>
    <t>S00672769</t>
  </si>
  <si>
    <t>Chronister</t>
  </si>
  <si>
    <t>Luke</t>
  </si>
  <si>
    <t>S00087217</t>
  </si>
  <si>
    <t>DuVall</t>
  </si>
  <si>
    <t>S00035414</t>
  </si>
  <si>
    <t>Gaw</t>
  </si>
  <si>
    <t>S00138369</t>
  </si>
  <si>
    <t>Goulandris</t>
  </si>
  <si>
    <t>S00848932</t>
  </si>
  <si>
    <t>Hewitt</t>
  </si>
  <si>
    <t>Cassie</t>
  </si>
  <si>
    <t>S00884537</t>
  </si>
  <si>
    <t>Hollowell</t>
  </si>
  <si>
    <t>Miekel</t>
  </si>
  <si>
    <t>S00550635</t>
  </si>
  <si>
    <t>Hudak</t>
  </si>
  <si>
    <t>S00133687</t>
  </si>
  <si>
    <t>Kaschube</t>
  </si>
  <si>
    <t>S00921100</t>
  </si>
  <si>
    <t>Kelley</t>
  </si>
  <si>
    <t>S01025194</t>
  </si>
  <si>
    <t>Kesling</t>
  </si>
  <si>
    <t>S01022898</t>
  </si>
  <si>
    <t>Lamp</t>
  </si>
  <si>
    <t>S00842681</t>
  </si>
  <si>
    <t>S00070828</t>
  </si>
  <si>
    <t>McCory</t>
  </si>
  <si>
    <t>S00046294</t>
  </si>
  <si>
    <t>S01016122</t>
  </si>
  <si>
    <t>S00991727</t>
  </si>
  <si>
    <t>Powers</t>
  </si>
  <si>
    <t>Trista</t>
  </si>
  <si>
    <t>S00954367</t>
  </si>
  <si>
    <t>S00920541</t>
  </si>
  <si>
    <t>Schlueter</t>
  </si>
  <si>
    <t>S00427666</t>
  </si>
  <si>
    <t>Stanaczyk</t>
  </si>
  <si>
    <t>S00882929</t>
  </si>
  <si>
    <t>Stroup</t>
  </si>
  <si>
    <t>S00991992</t>
  </si>
  <si>
    <t>S00852271</t>
  </si>
  <si>
    <t>Bosworth</t>
  </si>
  <si>
    <t>2C3700</t>
  </si>
  <si>
    <t>Plant Operations - Admin</t>
  </si>
  <si>
    <t>S00386596</t>
  </si>
  <si>
    <t>Fletcher</t>
  </si>
  <si>
    <t>S00980873</t>
  </si>
  <si>
    <t>Babyak</t>
  </si>
  <si>
    <t>S00195492</t>
  </si>
  <si>
    <t>Calhoun</t>
  </si>
  <si>
    <t>S00740410</t>
  </si>
  <si>
    <t>Cassel</t>
  </si>
  <si>
    <t>Keisha</t>
  </si>
  <si>
    <t>S01005037</t>
  </si>
  <si>
    <t>Geiger</t>
  </si>
  <si>
    <t>Kellie</t>
  </si>
  <si>
    <t>S01023012</t>
  </si>
  <si>
    <t>Morando</t>
  </si>
  <si>
    <t>S00222693</t>
  </si>
  <si>
    <t>Mrak</t>
  </si>
  <si>
    <t>2F4150</t>
  </si>
  <si>
    <t>Accounts Payable</t>
  </si>
  <si>
    <t>S00715719</t>
  </si>
  <si>
    <t>Nickens</t>
  </si>
  <si>
    <t>S00895090</t>
  </si>
  <si>
    <t>Radziewicz</t>
  </si>
  <si>
    <t>S01023655</t>
  </si>
  <si>
    <t>Scarbrough</t>
  </si>
  <si>
    <t>S00017568</t>
  </si>
  <si>
    <t>Willis</t>
  </si>
  <si>
    <t>Kendra</t>
  </si>
  <si>
    <t>3X4100</t>
  </si>
  <si>
    <t>Success and Innovations Admin</t>
  </si>
  <si>
    <t>S00214293</t>
  </si>
  <si>
    <t>Jasko</t>
  </si>
  <si>
    <t>S01020814</t>
  </si>
  <si>
    <t>Blain</t>
  </si>
  <si>
    <t>S01022816</t>
  </si>
  <si>
    <t>S00035449</t>
  </si>
  <si>
    <t>Asbury</t>
  </si>
  <si>
    <t>S01020797</t>
  </si>
  <si>
    <t>Brown-Collier</t>
  </si>
  <si>
    <t>S01020250</t>
  </si>
  <si>
    <t>2C3500</t>
  </si>
  <si>
    <t>Plant Operations - CCE</t>
  </si>
  <si>
    <t>S00939295</t>
  </si>
  <si>
    <t>Dispatcher / 1199</t>
  </si>
  <si>
    <t>S00325847</t>
  </si>
  <si>
    <t>Laisure</t>
  </si>
  <si>
    <t>S00921548</t>
  </si>
  <si>
    <t>Liddell</t>
  </si>
  <si>
    <t>S01013127</t>
  </si>
  <si>
    <t>McClish</t>
  </si>
  <si>
    <t>S00848245</t>
  </si>
  <si>
    <t>Moss</t>
  </si>
  <si>
    <t>Monika</t>
  </si>
  <si>
    <t>S01020815</t>
  </si>
  <si>
    <t>O'Connor</t>
  </si>
  <si>
    <t>S01022897</t>
  </si>
  <si>
    <t>Polena</t>
  </si>
  <si>
    <t>S00254610</t>
  </si>
  <si>
    <t>Rako</t>
  </si>
  <si>
    <t>S01023743</t>
  </si>
  <si>
    <t>Seif</t>
  </si>
  <si>
    <t>S01024255</t>
  </si>
  <si>
    <t>Stella</t>
  </si>
  <si>
    <t>S00079756</t>
  </si>
  <si>
    <t>Tuneberg</t>
  </si>
  <si>
    <t>S01016252</t>
  </si>
  <si>
    <t>Gibbon</t>
  </si>
  <si>
    <t>S00549033</t>
  </si>
  <si>
    <t>Gucik</t>
  </si>
  <si>
    <t>S00179527</t>
  </si>
  <si>
    <t>Mahoney</t>
  </si>
  <si>
    <t>Leo</t>
  </si>
  <si>
    <t>Jerome</t>
  </si>
  <si>
    <t>2C3300</t>
  </si>
  <si>
    <t>Plant Administration - E</t>
  </si>
  <si>
    <t>S01025607</t>
  </si>
  <si>
    <t>Paloney</t>
  </si>
  <si>
    <t>S01018317</t>
  </si>
  <si>
    <t>S00055710</t>
  </si>
  <si>
    <t>Paoletta</t>
  </si>
  <si>
    <t>S00948448</t>
  </si>
  <si>
    <t>Lindsay</t>
  </si>
  <si>
    <t>S00346577</t>
  </si>
  <si>
    <t>S00863905</t>
  </si>
  <si>
    <t>Dawes</t>
  </si>
  <si>
    <t>S00009013</t>
  </si>
  <si>
    <t>DiDonato</t>
  </si>
  <si>
    <t>S00066433</t>
  </si>
  <si>
    <t>Fodor</t>
  </si>
  <si>
    <t>S00877435</t>
  </si>
  <si>
    <t>Herrmann</t>
  </si>
  <si>
    <t>Joshua</t>
  </si>
  <si>
    <t>S00053676</t>
  </si>
  <si>
    <t>Melody</t>
  </si>
  <si>
    <t>S00503477</t>
  </si>
  <si>
    <t>McManamon</t>
  </si>
  <si>
    <t>S00121930</t>
  </si>
  <si>
    <t>Miluk</t>
  </si>
  <si>
    <t>Carli</t>
  </si>
  <si>
    <t>S00160112</t>
  </si>
  <si>
    <t>Plasterer</t>
  </si>
  <si>
    <t>S00343916</t>
  </si>
  <si>
    <t>Toporowych</t>
  </si>
  <si>
    <t>S01019571</t>
  </si>
  <si>
    <t>Verhoff</t>
  </si>
  <si>
    <t>S00005194</t>
  </si>
  <si>
    <t>Andres</t>
  </si>
  <si>
    <t>S00605398</t>
  </si>
  <si>
    <t>Gecik</t>
  </si>
  <si>
    <t>S00881591</t>
  </si>
  <si>
    <t>Majikas</t>
  </si>
  <si>
    <t>S00849586</t>
  </si>
  <si>
    <t>Pignatiello</t>
  </si>
  <si>
    <t>Roy</t>
  </si>
  <si>
    <t>S00584589</t>
  </si>
  <si>
    <t>Serrano</t>
  </si>
  <si>
    <t>Carrie</t>
  </si>
  <si>
    <t>S00957876</t>
  </si>
  <si>
    <t>S00741224</t>
  </si>
  <si>
    <t>Meagan</t>
  </si>
  <si>
    <t>S00452708</t>
  </si>
  <si>
    <t>Demczuk</t>
  </si>
  <si>
    <t>S00626358</t>
  </si>
  <si>
    <t>Glodowski</t>
  </si>
  <si>
    <t>S00022852</t>
  </si>
  <si>
    <t>Lois</t>
  </si>
  <si>
    <t>Martha</t>
  </si>
  <si>
    <t>S01018909</t>
  </si>
  <si>
    <t>Lucarelli</t>
  </si>
  <si>
    <t>S00033373</t>
  </si>
  <si>
    <t>Mitra</t>
  </si>
  <si>
    <t>S00290503</t>
  </si>
  <si>
    <t>Weber</t>
  </si>
  <si>
    <t>S00066761</t>
  </si>
  <si>
    <t>McMasters</t>
  </si>
  <si>
    <t>S00991499</t>
  </si>
  <si>
    <t>Sampliner</t>
  </si>
  <si>
    <t>S01017239</t>
  </si>
  <si>
    <t>Batig</t>
  </si>
  <si>
    <t>Miria</t>
  </si>
  <si>
    <t>S00994498</t>
  </si>
  <si>
    <t>S01014864</t>
  </si>
  <si>
    <t>Collura</t>
  </si>
  <si>
    <t>S00902142</t>
  </si>
  <si>
    <t>S00010241</t>
  </si>
  <si>
    <t>Dina</t>
  </si>
  <si>
    <t>S00195917</t>
  </si>
  <si>
    <t>Fink</t>
  </si>
  <si>
    <t>S00638253</t>
  </si>
  <si>
    <t>Foust</t>
  </si>
  <si>
    <t>S01013255</t>
  </si>
  <si>
    <t>S00091414</t>
  </si>
  <si>
    <t>Jazmin</t>
  </si>
  <si>
    <t>S00483101</t>
  </si>
  <si>
    <t>Keeton</t>
  </si>
  <si>
    <t>Dolores</t>
  </si>
  <si>
    <t>S00596199</t>
  </si>
  <si>
    <t>Moga</t>
  </si>
  <si>
    <t>S00944461</t>
  </si>
  <si>
    <t>Pearce</t>
  </si>
  <si>
    <t>Edgar</t>
  </si>
  <si>
    <t>S01017409</t>
  </si>
  <si>
    <t>Rothstein</t>
  </si>
  <si>
    <t>S00115156</t>
  </si>
  <si>
    <t>Doug</t>
  </si>
  <si>
    <t>S01017127</t>
  </si>
  <si>
    <t>Zilka</t>
  </si>
  <si>
    <t>S00958446</t>
  </si>
  <si>
    <t>Catullo</t>
  </si>
  <si>
    <t>Candice</t>
  </si>
  <si>
    <t>S00031781</t>
  </si>
  <si>
    <t>Hardy</t>
  </si>
  <si>
    <t>Tisha</t>
  </si>
  <si>
    <t>S00070581</t>
  </si>
  <si>
    <t>Kronenberg</t>
  </si>
  <si>
    <t>S00857382</t>
  </si>
  <si>
    <t>Blecick</t>
  </si>
  <si>
    <t>Britney</t>
  </si>
  <si>
    <t>S00533997</t>
  </si>
  <si>
    <t>Scanlon</t>
  </si>
  <si>
    <t>S00581636</t>
  </si>
  <si>
    <t>Kraft</t>
  </si>
  <si>
    <t>S00014724</t>
  </si>
  <si>
    <t>S00044661</t>
  </si>
  <si>
    <t>Bota</t>
  </si>
  <si>
    <t>Marius</t>
  </si>
  <si>
    <t>S00877388</t>
  </si>
  <si>
    <t>Fritsch</t>
  </si>
  <si>
    <t>S01015194</t>
  </si>
  <si>
    <t>Hautz</t>
  </si>
  <si>
    <t>S00495313</t>
  </si>
  <si>
    <t>LoVano</t>
  </si>
  <si>
    <t>S00602273</t>
  </si>
  <si>
    <t>Novopoltseva</t>
  </si>
  <si>
    <t>Irina</t>
  </si>
  <si>
    <t>3M2820</t>
  </si>
  <si>
    <t>Dental Assisting - M</t>
  </si>
  <si>
    <t>S00230280</t>
  </si>
  <si>
    <t>S00454659</t>
  </si>
  <si>
    <t>S01022611</t>
  </si>
  <si>
    <t>Minshall</t>
  </si>
  <si>
    <t>Kent</t>
  </si>
  <si>
    <t>S00067284</t>
  </si>
  <si>
    <t>Kijanski</t>
  </si>
  <si>
    <t>S00061403</t>
  </si>
  <si>
    <t>Martucci</t>
  </si>
  <si>
    <t>S01014740</t>
  </si>
  <si>
    <t>S00596088</t>
  </si>
  <si>
    <t>S00856645</t>
  </si>
  <si>
    <t>Bagdasaryan</t>
  </si>
  <si>
    <t>Evelina</t>
  </si>
  <si>
    <t>S00277166</t>
  </si>
  <si>
    <t>Briggs</t>
  </si>
  <si>
    <t>S00241624</t>
  </si>
  <si>
    <t>S01004241</t>
  </si>
  <si>
    <t>Krystowski</t>
  </si>
  <si>
    <t>S00590768</t>
  </si>
  <si>
    <t>Marincic</t>
  </si>
  <si>
    <t>S00917088</t>
  </si>
  <si>
    <t>Poletti</t>
  </si>
  <si>
    <t>S00404923</t>
  </si>
  <si>
    <t>Juanthalia</t>
  </si>
  <si>
    <t>S00987961</t>
  </si>
  <si>
    <t>Gunnerson</t>
  </si>
  <si>
    <t>3E2210</t>
  </si>
  <si>
    <t>Accounting - E</t>
  </si>
  <si>
    <t>S00191119</t>
  </si>
  <si>
    <t>S00066502</t>
  </si>
  <si>
    <t>S00055534</t>
  </si>
  <si>
    <t>S00837537</t>
  </si>
  <si>
    <t>Hildebrandt</t>
  </si>
  <si>
    <t>S01011278</t>
  </si>
  <si>
    <t>Blackmur</t>
  </si>
  <si>
    <t>Kian</t>
  </si>
  <si>
    <t>S00012589</t>
  </si>
  <si>
    <t>Cornelius</t>
  </si>
  <si>
    <t>S00056897</t>
  </si>
  <si>
    <t>S00055753</t>
  </si>
  <si>
    <t>S00886143</t>
  </si>
  <si>
    <t>Germaney</t>
  </si>
  <si>
    <t>S00963998</t>
  </si>
  <si>
    <t>S00543992</t>
  </si>
  <si>
    <t>St Cyr</t>
  </si>
  <si>
    <t>Nirvana</t>
  </si>
  <si>
    <t>S00985124</t>
  </si>
  <si>
    <t>Ausbrook</t>
  </si>
  <si>
    <t>Kahlil</t>
  </si>
  <si>
    <t>S00028727</t>
  </si>
  <si>
    <t>Filipow</t>
  </si>
  <si>
    <t>S01010833</t>
  </si>
  <si>
    <t>Frisina</t>
  </si>
  <si>
    <t>S01009404</t>
  </si>
  <si>
    <t>Levert</t>
  </si>
  <si>
    <t>La'Tice</t>
  </si>
  <si>
    <t>3X3280</t>
  </si>
  <si>
    <t>Tech Prep</t>
  </si>
  <si>
    <t>S00997936</t>
  </si>
  <si>
    <t>Norton</t>
  </si>
  <si>
    <t>S00713829</t>
  </si>
  <si>
    <t>Milanczuk</t>
  </si>
  <si>
    <t>Joanne</t>
  </si>
  <si>
    <t>S00541673</t>
  </si>
  <si>
    <t>Rockamore</t>
  </si>
  <si>
    <t>Marquita</t>
  </si>
  <si>
    <t>S00956620</t>
  </si>
  <si>
    <t>Trevino</t>
  </si>
  <si>
    <t>Ashlea</t>
  </si>
  <si>
    <t>3H1100</t>
  </si>
  <si>
    <t>Healthcare Education Initiatives</t>
  </si>
  <si>
    <t>S00991299</t>
  </si>
  <si>
    <t>S01010754</t>
  </si>
  <si>
    <t>Kimble</t>
  </si>
  <si>
    <t>S00403241</t>
  </si>
  <si>
    <t>Johnson Baxter</t>
  </si>
  <si>
    <t>Fannie</t>
  </si>
  <si>
    <t>S01010832</t>
  </si>
  <si>
    <t>S00709448</t>
  </si>
  <si>
    <t>Dumas</t>
  </si>
  <si>
    <t>S00864162</t>
  </si>
  <si>
    <t>Bielskis</t>
  </si>
  <si>
    <t>Alfred</t>
  </si>
  <si>
    <t>S00968728</t>
  </si>
  <si>
    <t>Brzezinski</t>
  </si>
  <si>
    <t>S00672840</t>
  </si>
  <si>
    <t>S00613815</t>
  </si>
  <si>
    <t>Feighan</t>
  </si>
  <si>
    <t>S00894427</t>
  </si>
  <si>
    <t>Gayhart</t>
  </si>
  <si>
    <t>S00051991</t>
  </si>
  <si>
    <t>Katona</t>
  </si>
  <si>
    <t>S00926697</t>
  </si>
  <si>
    <t>S01008471</t>
  </si>
  <si>
    <t>Mihalacki</t>
  </si>
  <si>
    <t>S00366076</t>
  </si>
  <si>
    <t>S00868978</t>
  </si>
  <si>
    <t>Sims</t>
  </si>
  <si>
    <t>S00923636</t>
  </si>
  <si>
    <t>Narissa</t>
  </si>
  <si>
    <t>S00010543</t>
  </si>
  <si>
    <t>S01007884</t>
  </si>
  <si>
    <t>Poskocil</t>
  </si>
  <si>
    <t>S00643280</t>
  </si>
  <si>
    <t>Haupin</t>
  </si>
  <si>
    <t>3R4450</t>
  </si>
  <si>
    <t>Interpreter-Match</t>
  </si>
  <si>
    <t>S00599706</t>
  </si>
  <si>
    <t>Matusek</t>
  </si>
  <si>
    <t>S00243221</t>
  </si>
  <si>
    <t>Canepari</t>
  </si>
  <si>
    <t>Eileen</t>
  </si>
  <si>
    <t>3E4450</t>
  </si>
  <si>
    <t>Theatre Arts - E</t>
  </si>
  <si>
    <t>S01004374</t>
  </si>
  <si>
    <t>S00305594</t>
  </si>
  <si>
    <t>Kavalecz</t>
  </si>
  <si>
    <t>S00581143</t>
  </si>
  <si>
    <t>S01006673</t>
  </si>
  <si>
    <t>Deva</t>
  </si>
  <si>
    <t>S00576357</t>
  </si>
  <si>
    <t>S00592685</t>
  </si>
  <si>
    <t>Riccardi</t>
  </si>
  <si>
    <t>S00035454</t>
  </si>
  <si>
    <t>S00008269</t>
  </si>
  <si>
    <t>Balogh-Allie</t>
  </si>
  <si>
    <t>S00548173</t>
  </si>
  <si>
    <t>Chaplin</t>
  </si>
  <si>
    <t>Mardy</t>
  </si>
  <si>
    <t>S00471322</t>
  </si>
  <si>
    <t>Hess</t>
  </si>
  <si>
    <t>S00060552</t>
  </si>
  <si>
    <t>Quint</t>
  </si>
  <si>
    <t>S01025175</t>
  </si>
  <si>
    <t>Yap</t>
  </si>
  <si>
    <t>Sergein</t>
  </si>
  <si>
    <t>S00943598</t>
  </si>
  <si>
    <t>S00109045</t>
  </si>
  <si>
    <t>S00038942</t>
  </si>
  <si>
    <t>Everett Hardy</t>
  </si>
  <si>
    <t>Lashonda</t>
  </si>
  <si>
    <t>S00964355</t>
  </si>
  <si>
    <t>Audra</t>
  </si>
  <si>
    <t>S00442965</t>
  </si>
  <si>
    <t>Kennedy</t>
  </si>
  <si>
    <t>Rosary Joyce</t>
  </si>
  <si>
    <t>S00056991</t>
  </si>
  <si>
    <t>S01004341</t>
  </si>
  <si>
    <t>Tresa</t>
  </si>
  <si>
    <t>S00574984</t>
  </si>
  <si>
    <t>Speck</t>
  </si>
  <si>
    <t>S00989514</t>
  </si>
  <si>
    <t>Kenya</t>
  </si>
  <si>
    <t>Reynal</t>
  </si>
  <si>
    <t>3W4250</t>
  </si>
  <si>
    <t>Dance - W</t>
  </si>
  <si>
    <t>S00081576</t>
  </si>
  <si>
    <t>Fixler</t>
  </si>
  <si>
    <t>S00019086</t>
  </si>
  <si>
    <t>Gabriel</t>
  </si>
  <si>
    <t>S00491286</t>
  </si>
  <si>
    <t>Lauer</t>
  </si>
  <si>
    <t>S00480646</t>
  </si>
  <si>
    <t>Leverett</t>
  </si>
  <si>
    <t>S00578642</t>
  </si>
  <si>
    <t>Peters</t>
  </si>
  <si>
    <t>S00574238</t>
  </si>
  <si>
    <t>Dejesus</t>
  </si>
  <si>
    <t>S00240549</t>
  </si>
  <si>
    <t>S01013566</t>
  </si>
  <si>
    <t>Goff</t>
  </si>
  <si>
    <t>S00304039</t>
  </si>
  <si>
    <t>Clapp</t>
  </si>
  <si>
    <t>S00995218</t>
  </si>
  <si>
    <t>Blaha</t>
  </si>
  <si>
    <t>3S2210</t>
  </si>
  <si>
    <t>Accounting -  S</t>
  </si>
  <si>
    <t>S00429901</t>
  </si>
  <si>
    <t>S01004114</t>
  </si>
  <si>
    <t>Hoy</t>
  </si>
  <si>
    <t>S00605053</t>
  </si>
  <si>
    <t>Joiner</t>
  </si>
  <si>
    <t>S01002762</t>
  </si>
  <si>
    <t>S00893108</t>
  </si>
  <si>
    <t>Prater</t>
  </si>
  <si>
    <t>S00927774</t>
  </si>
  <si>
    <t>Bobel</t>
  </si>
  <si>
    <t>Margret</t>
  </si>
  <si>
    <t>S00220502</t>
  </si>
  <si>
    <t>Flauto</t>
  </si>
  <si>
    <t>S00948909</t>
  </si>
  <si>
    <t>How</t>
  </si>
  <si>
    <t>S01002608</t>
  </si>
  <si>
    <t>Oelbracht</t>
  </si>
  <si>
    <t>S00010367</t>
  </si>
  <si>
    <t>Pawlik</t>
  </si>
  <si>
    <t>S00998556</t>
  </si>
  <si>
    <t>Triozzi</t>
  </si>
  <si>
    <t>Bobbie</t>
  </si>
  <si>
    <t>S00365552</t>
  </si>
  <si>
    <t>Vajner</t>
  </si>
  <si>
    <t>Anna</t>
  </si>
  <si>
    <t>S00997942</t>
  </si>
  <si>
    <t>Weisman</t>
  </si>
  <si>
    <t>S00452607</t>
  </si>
  <si>
    <t>Baffa</t>
  </si>
  <si>
    <t>Amelia</t>
  </si>
  <si>
    <t>S00316499</t>
  </si>
  <si>
    <t>Caston</t>
  </si>
  <si>
    <t>S00992308</t>
  </si>
  <si>
    <t>Hanna</t>
  </si>
  <si>
    <t>Jensen</t>
  </si>
  <si>
    <t>S00574965</t>
  </si>
  <si>
    <t>Jindra</t>
  </si>
  <si>
    <t>S00744800</t>
  </si>
  <si>
    <t>Meadows</t>
  </si>
  <si>
    <t>Elisa</t>
  </si>
  <si>
    <t>S00167747</t>
  </si>
  <si>
    <t>Mortland</t>
  </si>
  <si>
    <t>Gale</t>
  </si>
  <si>
    <t>S00998692</t>
  </si>
  <si>
    <t>November</t>
  </si>
  <si>
    <t>S00786108</t>
  </si>
  <si>
    <t>Kubofcik</t>
  </si>
  <si>
    <t>S01004438</t>
  </si>
  <si>
    <t>Rogers</t>
  </si>
  <si>
    <t>S00141349</t>
  </si>
  <si>
    <t>Balis</t>
  </si>
  <si>
    <t>S00115354</t>
  </si>
  <si>
    <t>S00998355</t>
  </si>
  <si>
    <t>Barcomb</t>
  </si>
  <si>
    <t>Naomi</t>
  </si>
  <si>
    <t>S00759503</t>
  </si>
  <si>
    <t>Barrett</t>
  </si>
  <si>
    <t>S00039267</t>
  </si>
  <si>
    <t>Bastock</t>
  </si>
  <si>
    <t>S00912736</t>
  </si>
  <si>
    <t>Beiter</t>
  </si>
  <si>
    <t>S00996192</t>
  </si>
  <si>
    <t>Benic</t>
  </si>
  <si>
    <t>Jagoda</t>
  </si>
  <si>
    <t>S00634362</t>
  </si>
  <si>
    <t>Bright</t>
  </si>
  <si>
    <t>S00600299</t>
  </si>
  <si>
    <t>Jamia</t>
  </si>
  <si>
    <t>S00010877</t>
  </si>
  <si>
    <t>Camarati</t>
  </si>
  <si>
    <t>S01005041</t>
  </si>
  <si>
    <t>Carrothers</t>
  </si>
  <si>
    <t>JoAnn</t>
  </si>
  <si>
    <t>S00999918</t>
  </si>
  <si>
    <t>Cartier</t>
  </si>
  <si>
    <t>S00042208</t>
  </si>
  <si>
    <t>Cesa</t>
  </si>
  <si>
    <t>S00685265</t>
  </si>
  <si>
    <t>Chatmon</t>
  </si>
  <si>
    <t>S00644815</t>
  </si>
  <si>
    <t>Cichra</t>
  </si>
  <si>
    <t>S00251793</t>
  </si>
  <si>
    <t>Cline</t>
  </si>
  <si>
    <t>S00996776</t>
  </si>
  <si>
    <t>S00079111</t>
  </si>
  <si>
    <t>Cowan</t>
  </si>
  <si>
    <t>Te'Sharra</t>
  </si>
  <si>
    <t>S00054837</t>
  </si>
  <si>
    <t>Cunningham</t>
  </si>
  <si>
    <t>Tawana</t>
  </si>
  <si>
    <t>S00011957</t>
  </si>
  <si>
    <t>Dent</t>
  </si>
  <si>
    <t>Saryna</t>
  </si>
  <si>
    <t>S00620563</t>
  </si>
  <si>
    <t>Derifaj</t>
  </si>
  <si>
    <t>S00382344</t>
  </si>
  <si>
    <t>Diaz</t>
  </si>
  <si>
    <t>S00546627</t>
  </si>
  <si>
    <t>Dobkin</t>
  </si>
  <si>
    <t>S00831048</t>
  </si>
  <si>
    <t>Donnelly</t>
  </si>
  <si>
    <t>S00043049</t>
  </si>
  <si>
    <t>Drake</t>
  </si>
  <si>
    <t>S01000518</t>
  </si>
  <si>
    <t>Farrell</t>
  </si>
  <si>
    <t>S00366912</t>
  </si>
  <si>
    <t>Fell</t>
  </si>
  <si>
    <t>S00382092</t>
  </si>
  <si>
    <t>Fraser</t>
  </si>
  <si>
    <t>S00079539</t>
  </si>
  <si>
    <t>Gustafson</t>
  </si>
  <si>
    <t>S00933585</t>
  </si>
  <si>
    <t>Herrick</t>
  </si>
  <si>
    <t>EO</t>
  </si>
  <si>
    <t>S00998687</t>
  </si>
  <si>
    <t>Hodges</t>
  </si>
  <si>
    <t>S00030450</t>
  </si>
  <si>
    <t>Hofmeister</t>
  </si>
  <si>
    <t>S00850904</t>
  </si>
  <si>
    <t>Hutson</t>
  </si>
  <si>
    <t>Lauralee</t>
  </si>
  <si>
    <t>S00791693</t>
  </si>
  <si>
    <t>Jefferson</t>
  </si>
  <si>
    <t>S00696243</t>
  </si>
  <si>
    <t>Jenkins-Showers</t>
  </si>
  <si>
    <t>Alvinetta</t>
  </si>
  <si>
    <t>S00070236</t>
  </si>
  <si>
    <t>S01003945</t>
  </si>
  <si>
    <t>S01003940</t>
  </si>
  <si>
    <t>S00403983</t>
  </si>
  <si>
    <t>S00072918</t>
  </si>
  <si>
    <t>Kasper</t>
  </si>
  <si>
    <t>S00940057</t>
  </si>
  <si>
    <t>Katz</t>
  </si>
  <si>
    <t>Nadeen</t>
  </si>
  <si>
    <t>S00997454</t>
  </si>
  <si>
    <t>Kenik</t>
  </si>
  <si>
    <t>S00704418</t>
  </si>
  <si>
    <t>Kinebrew</t>
  </si>
  <si>
    <t>Gwendolyn</t>
  </si>
  <si>
    <t>S00209225</t>
  </si>
  <si>
    <t>Koscianski</t>
  </si>
  <si>
    <t>S00369027</t>
  </si>
  <si>
    <t>Kubit</t>
  </si>
  <si>
    <t>S00165458</t>
  </si>
  <si>
    <t>Lange</t>
  </si>
  <si>
    <t>Ruth</t>
  </si>
  <si>
    <t>S00808668</t>
  </si>
  <si>
    <t>Lawson</t>
  </si>
  <si>
    <t>Katariina</t>
  </si>
  <si>
    <t>S00960275</t>
  </si>
  <si>
    <t>Lebrun</t>
  </si>
  <si>
    <t>Yannette</t>
  </si>
  <si>
    <t>S01002612</t>
  </si>
  <si>
    <t>Linden</t>
  </si>
  <si>
    <t>S00640112</t>
  </si>
  <si>
    <t>S00995556</t>
  </si>
  <si>
    <t>S00903523</t>
  </si>
  <si>
    <t>Lozynska</t>
  </si>
  <si>
    <t>Maryana</t>
  </si>
  <si>
    <t>S01000342</t>
  </si>
  <si>
    <t>MacKeigan</t>
  </si>
  <si>
    <t>S00054038</t>
  </si>
  <si>
    <t>McCon</t>
  </si>
  <si>
    <t>Patric</t>
  </si>
  <si>
    <t>S00069676</t>
  </si>
  <si>
    <t>McKinnon</t>
  </si>
  <si>
    <t>Keri</t>
  </si>
  <si>
    <t>S00599653</t>
  </si>
  <si>
    <t>Josalyn</t>
  </si>
  <si>
    <t>S00036421</t>
  </si>
  <si>
    <t>Mobydeen</t>
  </si>
  <si>
    <t>Lana</t>
  </si>
  <si>
    <t>S00054823</t>
  </si>
  <si>
    <t>S00511196</t>
  </si>
  <si>
    <t>Namaky</t>
  </si>
  <si>
    <t>Azam</t>
  </si>
  <si>
    <t>S00115622</t>
  </si>
  <si>
    <t>S00433275</t>
  </si>
  <si>
    <t>Nichols</t>
  </si>
  <si>
    <t>Marla</t>
  </si>
  <si>
    <t>S00056756</t>
  </si>
  <si>
    <t>S01003162</t>
  </si>
  <si>
    <t>Nittinger</t>
  </si>
  <si>
    <t>S00995933</t>
  </si>
  <si>
    <t>Nussbaum</t>
  </si>
  <si>
    <t>S01000112</t>
  </si>
  <si>
    <t>O'Connell</t>
  </si>
  <si>
    <t>S01002385</t>
  </si>
  <si>
    <t>Orange</t>
  </si>
  <si>
    <t>S00232508</t>
  </si>
  <si>
    <t>Pitts</t>
  </si>
  <si>
    <t>Taharia</t>
  </si>
  <si>
    <t>Glenease</t>
  </si>
  <si>
    <t>S00056291</t>
  </si>
  <si>
    <t>Polomsky</t>
  </si>
  <si>
    <t>S00363208</t>
  </si>
  <si>
    <t>Puzio</t>
  </si>
  <si>
    <t>S01002365</t>
  </si>
  <si>
    <t>Quinn</t>
  </si>
  <si>
    <t>S00243683</t>
  </si>
  <si>
    <t>Rees</t>
  </si>
  <si>
    <t>S00931518</t>
  </si>
  <si>
    <t>S01002360</t>
  </si>
  <si>
    <t>Peggie</t>
  </si>
  <si>
    <t>S00998464</t>
  </si>
  <si>
    <t>Rumenik</t>
  </si>
  <si>
    <t>3W2765</t>
  </si>
  <si>
    <t>Sociology - W</t>
  </si>
  <si>
    <t>S00605712</t>
  </si>
  <si>
    <t>Saito</t>
  </si>
  <si>
    <t>Miki</t>
  </si>
  <si>
    <t>S01002342</t>
  </si>
  <si>
    <t>Saunders</t>
  </si>
  <si>
    <t>S01002611</t>
  </si>
  <si>
    <t>Sheldon</t>
  </si>
  <si>
    <t>S00933712</t>
  </si>
  <si>
    <t>Shelton</t>
  </si>
  <si>
    <t>Jenni</t>
  </si>
  <si>
    <t>S00304876</t>
  </si>
  <si>
    <t>Snead</t>
  </si>
  <si>
    <t>S01001482</t>
  </si>
  <si>
    <t>S01001770</t>
  </si>
  <si>
    <t>Stuck Boyd</t>
  </si>
  <si>
    <t>S00282904</t>
  </si>
  <si>
    <t>Tench</t>
  </si>
  <si>
    <t>S01001473</t>
  </si>
  <si>
    <t>Volpe</t>
  </si>
  <si>
    <t>S01001861</t>
  </si>
  <si>
    <t>S00048519</t>
  </si>
  <si>
    <t>S00998698</t>
  </si>
  <si>
    <t>Weaver</t>
  </si>
  <si>
    <t>Tatiana</t>
  </si>
  <si>
    <t>S00307189</t>
  </si>
  <si>
    <t>S01002369</t>
  </si>
  <si>
    <t>Wichert</t>
  </si>
  <si>
    <t>Adri</t>
  </si>
  <si>
    <t>S00061353</t>
  </si>
  <si>
    <t>S00242220</t>
  </si>
  <si>
    <t>S00194281</t>
  </si>
  <si>
    <t>Witherspoon</t>
  </si>
  <si>
    <t>S00048286</t>
  </si>
  <si>
    <t>S00035214</t>
  </si>
  <si>
    <t>Myers</t>
  </si>
  <si>
    <t>S00070798</t>
  </si>
  <si>
    <t>Ortiz</t>
  </si>
  <si>
    <t>S00416146</t>
  </si>
  <si>
    <t>Bohnak</t>
  </si>
  <si>
    <t>S01000371</t>
  </si>
  <si>
    <t>Sheri</t>
  </si>
  <si>
    <t>S00559421</t>
  </si>
  <si>
    <t>McShane</t>
  </si>
  <si>
    <t>Nyki</t>
  </si>
  <si>
    <t>3C2100</t>
  </si>
  <si>
    <t>Assessment  - M</t>
  </si>
  <si>
    <t>S00055764</t>
  </si>
  <si>
    <t>Constance</t>
  </si>
  <si>
    <t>S00999242</t>
  </si>
  <si>
    <t>S00591001</t>
  </si>
  <si>
    <t>Rozek</t>
  </si>
  <si>
    <t>S00999890</t>
  </si>
  <si>
    <t>Tufts</t>
  </si>
  <si>
    <t>Bradford</t>
  </si>
  <si>
    <t>S00880328</t>
  </si>
  <si>
    <t>Corey</t>
  </si>
  <si>
    <t>S00997610</t>
  </si>
  <si>
    <t>Wong</t>
  </si>
  <si>
    <t>Lam</t>
  </si>
  <si>
    <t>S00829037</t>
  </si>
  <si>
    <t>Yohn</t>
  </si>
  <si>
    <t>S00004915</t>
  </si>
  <si>
    <t>Abouserhal</t>
  </si>
  <si>
    <t>Mike</t>
  </si>
  <si>
    <t>S00953422</t>
  </si>
  <si>
    <t>Chelsea</t>
  </si>
  <si>
    <t>S00963339</t>
  </si>
  <si>
    <t>DiFrancesco</t>
  </si>
  <si>
    <t>S00902235</t>
  </si>
  <si>
    <t>S01001704</t>
  </si>
  <si>
    <t>S00572859</t>
  </si>
  <si>
    <t>S00592313</t>
  </si>
  <si>
    <t>Audrey</t>
  </si>
  <si>
    <t>S00126801</t>
  </si>
  <si>
    <t>S00999933</t>
  </si>
  <si>
    <t>Aston</t>
  </si>
  <si>
    <t>S00115331</t>
  </si>
  <si>
    <t>S00966637</t>
  </si>
  <si>
    <t>Halliday</t>
  </si>
  <si>
    <t>S00355834</t>
  </si>
  <si>
    <t>S00998686</t>
  </si>
  <si>
    <t>Chai</t>
  </si>
  <si>
    <t>Yi</t>
  </si>
  <si>
    <t>S00998335</t>
  </si>
  <si>
    <t>Goldberg</t>
  </si>
  <si>
    <t>S00998684</t>
  </si>
  <si>
    <t>Gubbini</t>
  </si>
  <si>
    <t>S00194918</t>
  </si>
  <si>
    <t>Sutila</t>
  </si>
  <si>
    <t>S00998541</t>
  </si>
  <si>
    <t>Zakes</t>
  </si>
  <si>
    <t>Ashlei</t>
  </si>
  <si>
    <t>S00999047</t>
  </si>
  <si>
    <t>Knapp</t>
  </si>
  <si>
    <t>S00469274</t>
  </si>
  <si>
    <t>Harb</t>
  </si>
  <si>
    <t>S00999620</t>
  </si>
  <si>
    <t>S00511487</t>
  </si>
  <si>
    <t>2C3550</t>
  </si>
  <si>
    <t>Plant Operations - Brunswick</t>
  </si>
  <si>
    <t>S00552192</t>
  </si>
  <si>
    <t>3W2325</t>
  </si>
  <si>
    <t>Earth Science - W</t>
  </si>
  <si>
    <t>S00998071</t>
  </si>
  <si>
    <t>PAEPAF</t>
  </si>
  <si>
    <t>HR</t>
  </si>
  <si>
    <t>Admin-Post Ret</t>
  </si>
  <si>
    <t>S00078433</t>
  </si>
  <si>
    <t>Croom-Reynolds</t>
  </si>
  <si>
    <t>S00116666</t>
  </si>
  <si>
    <t>Gardner</t>
  </si>
  <si>
    <t>Jay</t>
  </si>
  <si>
    <t>S00955423</t>
  </si>
  <si>
    <t>JaNice</t>
  </si>
  <si>
    <t>S00929638</t>
  </si>
  <si>
    <t>Novosat-Gradert</t>
  </si>
  <si>
    <t>S00616820</t>
  </si>
  <si>
    <t>Broida</t>
  </si>
  <si>
    <t>S00311413</t>
  </si>
  <si>
    <t>Zachary</t>
  </si>
  <si>
    <t>Alonzo</t>
  </si>
  <si>
    <t>S00997217</t>
  </si>
  <si>
    <t>Fiala</t>
  </si>
  <si>
    <t>S00333093</t>
  </si>
  <si>
    <t>Gilder</t>
  </si>
  <si>
    <t>S00355350</t>
  </si>
  <si>
    <t>Sieradzki</t>
  </si>
  <si>
    <t>S00898828</t>
  </si>
  <si>
    <t>Mills</t>
  </si>
  <si>
    <t>S00958782</t>
  </si>
  <si>
    <t>Broze</t>
  </si>
  <si>
    <t>S00022345</t>
  </si>
  <si>
    <t>Coleman-Eads</t>
  </si>
  <si>
    <t>S00091240</t>
  </si>
  <si>
    <t>DiNunzio</t>
  </si>
  <si>
    <t>Mayra</t>
  </si>
  <si>
    <t>S00407233</t>
  </si>
  <si>
    <t>Gates</t>
  </si>
  <si>
    <t>Wardsey</t>
  </si>
  <si>
    <t>S00081800</t>
  </si>
  <si>
    <t>Jacko</t>
  </si>
  <si>
    <t>S00579575</t>
  </si>
  <si>
    <t>Nash-Yore</t>
  </si>
  <si>
    <t>S00996214</t>
  </si>
  <si>
    <t>Maryanique</t>
  </si>
  <si>
    <t>S00995104</t>
  </si>
  <si>
    <t>S00315471</t>
  </si>
  <si>
    <t>Zmijewski</t>
  </si>
  <si>
    <t>S00997445</t>
  </si>
  <si>
    <t>Agbemabiese</t>
  </si>
  <si>
    <t>Karen Yawa</t>
  </si>
  <si>
    <t>3M2775</t>
  </si>
  <si>
    <t>Womens Studies - M</t>
  </si>
  <si>
    <t>S00519361</t>
  </si>
  <si>
    <t>Toohig</t>
  </si>
  <si>
    <t>3M2715</t>
  </si>
  <si>
    <t>Education - M</t>
  </si>
  <si>
    <t>S00185601</t>
  </si>
  <si>
    <t>Haverly</t>
  </si>
  <si>
    <t>S00559994</t>
  </si>
  <si>
    <t>Moher</t>
  </si>
  <si>
    <t>S00993421</t>
  </si>
  <si>
    <t>Board</t>
  </si>
  <si>
    <t>Cristine</t>
  </si>
  <si>
    <t>S00993423</t>
  </si>
  <si>
    <t>Marcos</t>
  </si>
  <si>
    <t>S00631827</t>
  </si>
  <si>
    <t>Smalley</t>
  </si>
  <si>
    <t>3M4600</t>
  </si>
  <si>
    <t>Media &amp; Communications - M</t>
  </si>
  <si>
    <t>S00707095</t>
  </si>
  <si>
    <t>Feier</t>
  </si>
  <si>
    <t>Ioan</t>
  </si>
  <si>
    <t>S00702818</t>
  </si>
  <si>
    <t>Gage</t>
  </si>
  <si>
    <t>S00182360</t>
  </si>
  <si>
    <t>Troxell</t>
  </si>
  <si>
    <t>S00211461</t>
  </si>
  <si>
    <t>Cesarespada</t>
  </si>
  <si>
    <t>S00993425</t>
  </si>
  <si>
    <t>S00496994</t>
  </si>
  <si>
    <t>Madisen</t>
  </si>
  <si>
    <t>S00965687</t>
  </si>
  <si>
    <t>Regrut</t>
  </si>
  <si>
    <t>S01003155</t>
  </si>
  <si>
    <t>Hennessy</t>
  </si>
  <si>
    <t>S00565632</t>
  </si>
  <si>
    <t>Marsico</t>
  </si>
  <si>
    <t>S00072611</t>
  </si>
  <si>
    <t>Zura</t>
  </si>
  <si>
    <t>S00048154</t>
  </si>
  <si>
    <t>Sonal</t>
  </si>
  <si>
    <t>Rani</t>
  </si>
  <si>
    <t>S00586663</t>
  </si>
  <si>
    <t>Newman</t>
  </si>
  <si>
    <t>2T2400</t>
  </si>
  <si>
    <t>ERP Management</t>
  </si>
  <si>
    <t>S00519977</t>
  </si>
  <si>
    <t>Pettry</t>
  </si>
  <si>
    <t>S00908057</t>
  </si>
  <si>
    <t>Sohlberg</t>
  </si>
  <si>
    <t>S00897352</t>
  </si>
  <si>
    <t>Landini</t>
  </si>
  <si>
    <t>S00911594</t>
  </si>
  <si>
    <t>Rohm</t>
  </si>
  <si>
    <t>S00893064</t>
  </si>
  <si>
    <t>Sanders</t>
  </si>
  <si>
    <t>Dexter</t>
  </si>
  <si>
    <t>S00357236</t>
  </si>
  <si>
    <t>Watson-Bolden</t>
  </si>
  <si>
    <t>S00947940</t>
  </si>
  <si>
    <t>Wojanowski</t>
  </si>
  <si>
    <t>S00965884</t>
  </si>
  <si>
    <t>Echeverria</t>
  </si>
  <si>
    <t>Gissed</t>
  </si>
  <si>
    <t>S00030240</t>
  </si>
  <si>
    <t>Kroupa</t>
  </si>
  <si>
    <t>S00231968</t>
  </si>
  <si>
    <t>Benton</t>
  </si>
  <si>
    <t>S00116158</t>
  </si>
  <si>
    <t>Cartledge</t>
  </si>
  <si>
    <t>L.</t>
  </si>
  <si>
    <t>S00992588</t>
  </si>
  <si>
    <t>Cole</t>
  </si>
  <si>
    <t>S00010050</t>
  </si>
  <si>
    <t>Erzen</t>
  </si>
  <si>
    <t>S00461272</t>
  </si>
  <si>
    <t>Geither</t>
  </si>
  <si>
    <t>Elise</t>
  </si>
  <si>
    <t>S00990601</t>
  </si>
  <si>
    <t>Gorecki</t>
  </si>
  <si>
    <t>S00066625</t>
  </si>
  <si>
    <t>Halsall</t>
  </si>
  <si>
    <t>S00914993</t>
  </si>
  <si>
    <t>Hrovat</t>
  </si>
  <si>
    <t>S00494927</t>
  </si>
  <si>
    <t>S00958171</t>
  </si>
  <si>
    <t>Mannix</t>
  </si>
  <si>
    <t>S00632968</t>
  </si>
  <si>
    <t>McDannel</t>
  </si>
  <si>
    <t>S00992200</t>
  </si>
  <si>
    <t>Reinhardt</t>
  </si>
  <si>
    <t>S00639662</t>
  </si>
  <si>
    <t>Rivers</t>
  </si>
  <si>
    <t>S00424126</t>
  </si>
  <si>
    <t>Saunt</t>
  </si>
  <si>
    <t>Zoli</t>
  </si>
  <si>
    <t>S00259918</t>
  </si>
  <si>
    <t>Suarez</t>
  </si>
  <si>
    <t>S00991294</t>
  </si>
  <si>
    <t>Vivolo</t>
  </si>
  <si>
    <t>S00991756</t>
  </si>
  <si>
    <t>Xiaoming</t>
  </si>
  <si>
    <t>S00993632</t>
  </si>
  <si>
    <t>Gunaratne</t>
  </si>
  <si>
    <t>Nishana</t>
  </si>
  <si>
    <t>S00395255</t>
  </si>
  <si>
    <t>Boyd-Burgess</t>
  </si>
  <si>
    <t>Augusta</t>
  </si>
  <si>
    <t>Chyrese</t>
  </si>
  <si>
    <t>S00992350</t>
  </si>
  <si>
    <t>Heil</t>
  </si>
  <si>
    <t>S00991791</t>
  </si>
  <si>
    <t>Kumari</t>
  </si>
  <si>
    <t>Santi</t>
  </si>
  <si>
    <t>S00992100</t>
  </si>
  <si>
    <t>Swanson</t>
  </si>
  <si>
    <t>S00041871</t>
  </si>
  <si>
    <t>Alaina</t>
  </si>
  <si>
    <t>S00272911</t>
  </si>
  <si>
    <t>Arjune</t>
  </si>
  <si>
    <t>Fitz</t>
  </si>
  <si>
    <t>S00015190</t>
  </si>
  <si>
    <t>Owens</t>
  </si>
  <si>
    <t>S00057325</t>
  </si>
  <si>
    <t>Rozell</t>
  </si>
  <si>
    <t>S00526777</t>
  </si>
  <si>
    <t>S00473054</t>
  </si>
  <si>
    <t>Holleran</t>
  </si>
  <si>
    <t>Evangeline</t>
  </si>
  <si>
    <t>S00484034</t>
  </si>
  <si>
    <t>M Bridget</t>
  </si>
  <si>
    <t>S00904809</t>
  </si>
  <si>
    <t>S00991249</t>
  </si>
  <si>
    <t>Padmore</t>
  </si>
  <si>
    <t>S00989155</t>
  </si>
  <si>
    <t>Amir</t>
  </si>
  <si>
    <t>Lena</t>
  </si>
  <si>
    <t>S00876891</t>
  </si>
  <si>
    <t>Auchus-McGill</t>
  </si>
  <si>
    <t>Loreen</t>
  </si>
  <si>
    <t>S00982168</t>
  </si>
  <si>
    <t>Randi</t>
  </si>
  <si>
    <t>S00990591</t>
  </si>
  <si>
    <t>Beach</t>
  </si>
  <si>
    <t>S00982559</t>
  </si>
  <si>
    <t>Bellini</t>
  </si>
  <si>
    <t>S00990734</t>
  </si>
  <si>
    <t>Bosela</t>
  </si>
  <si>
    <t>S00225762</t>
  </si>
  <si>
    <t>S00614086</t>
  </si>
  <si>
    <t>S00885648</t>
  </si>
  <si>
    <t>Burkhart</t>
  </si>
  <si>
    <t>S00363090</t>
  </si>
  <si>
    <t>Chislton</t>
  </si>
  <si>
    <t>Quedra</t>
  </si>
  <si>
    <t>S00835099</t>
  </si>
  <si>
    <t>Ciliberto</t>
  </si>
  <si>
    <t>Scaife</t>
  </si>
  <si>
    <t>S00991580</t>
  </si>
  <si>
    <t>Collette</t>
  </si>
  <si>
    <t>S00622086</t>
  </si>
  <si>
    <t>Colo</t>
  </si>
  <si>
    <t>Lucy</t>
  </si>
  <si>
    <t>S00030068</t>
  </si>
  <si>
    <t>Eva</t>
  </si>
  <si>
    <t>3M2345</t>
  </si>
  <si>
    <t>Health Technology - M</t>
  </si>
  <si>
    <t>S00991945</t>
  </si>
  <si>
    <t>De La Ree</t>
  </si>
  <si>
    <t>S00889104</t>
  </si>
  <si>
    <t>DeSantis</t>
  </si>
  <si>
    <t>S00115283</t>
  </si>
  <si>
    <t>Dengler</t>
  </si>
  <si>
    <t>S00990603</t>
  </si>
  <si>
    <t>Dhaher</t>
  </si>
  <si>
    <t>Yaser</t>
  </si>
  <si>
    <t>S00627146</t>
  </si>
  <si>
    <t>Disterhof</t>
  </si>
  <si>
    <t>S00991806</t>
  </si>
  <si>
    <t>Du</t>
  </si>
  <si>
    <t>Shining</t>
  </si>
  <si>
    <t>S00989261</t>
  </si>
  <si>
    <t>Duffy</t>
  </si>
  <si>
    <t>S00989230</t>
  </si>
  <si>
    <t>Elam</t>
  </si>
  <si>
    <t>Chanda</t>
  </si>
  <si>
    <t>S00609806</t>
  </si>
  <si>
    <t>Fehrmann</t>
  </si>
  <si>
    <t>S00300831</t>
  </si>
  <si>
    <t>S00994090</t>
  </si>
  <si>
    <t>Fribley</t>
  </si>
  <si>
    <t>3M2740</t>
  </si>
  <si>
    <t>Philosophy - M</t>
  </si>
  <si>
    <t>S00397284</t>
  </si>
  <si>
    <t>Galizio</t>
  </si>
  <si>
    <t>S00049491</t>
  </si>
  <si>
    <t>Garrett</t>
  </si>
  <si>
    <t>Karmen</t>
  </si>
  <si>
    <t>S00354763</t>
  </si>
  <si>
    <t>Gatta</t>
  </si>
  <si>
    <t>S00986445</t>
  </si>
  <si>
    <t>Gorski</t>
  </si>
  <si>
    <t>S00862897</t>
  </si>
  <si>
    <t>Greer</t>
  </si>
  <si>
    <t>S00989374</t>
  </si>
  <si>
    <t>Haque</t>
  </si>
  <si>
    <t>Saikh</t>
  </si>
  <si>
    <t>S00990659</t>
  </si>
  <si>
    <t>S00989263</t>
  </si>
  <si>
    <t>Hoegler</t>
  </si>
  <si>
    <t>S00991995</t>
  </si>
  <si>
    <t>Hosseini</t>
  </si>
  <si>
    <t>Maryam</t>
  </si>
  <si>
    <t>S00474676</t>
  </si>
  <si>
    <t>S00987332</t>
  </si>
  <si>
    <t>Kadilak</t>
  </si>
  <si>
    <t>S00991481</t>
  </si>
  <si>
    <t>Kane</t>
  </si>
  <si>
    <t>S00989659</t>
  </si>
  <si>
    <t>Keegan</t>
  </si>
  <si>
    <t>S00990619</t>
  </si>
  <si>
    <t>Keskin Zeren</t>
  </si>
  <si>
    <t>Aysegul</t>
  </si>
  <si>
    <t>S00432379</t>
  </si>
  <si>
    <t>Kijinski</t>
  </si>
  <si>
    <t>S00989355</t>
  </si>
  <si>
    <t>Kinsella</t>
  </si>
  <si>
    <t>3E2730</t>
  </si>
  <si>
    <t>History - E</t>
  </si>
  <si>
    <t>S00991465</t>
  </si>
  <si>
    <t>Klein</t>
  </si>
  <si>
    <t>S00009998</t>
  </si>
  <si>
    <t>Koehler</t>
  </si>
  <si>
    <t>S00046955</t>
  </si>
  <si>
    <t>Kopec</t>
  </si>
  <si>
    <t>S00990614</t>
  </si>
  <si>
    <t>Kratky</t>
  </si>
  <si>
    <t>S00991490</t>
  </si>
  <si>
    <t>Kreiger</t>
  </si>
  <si>
    <t>Kris</t>
  </si>
  <si>
    <t>S00116229</t>
  </si>
  <si>
    <t>Krzywicki-Marek</t>
  </si>
  <si>
    <t>S00990654</t>
  </si>
  <si>
    <t>S00990700</t>
  </si>
  <si>
    <t>S00992270</t>
  </si>
  <si>
    <t>Linnert</t>
  </si>
  <si>
    <t>S00990302</t>
  </si>
  <si>
    <t>Little</t>
  </si>
  <si>
    <t>S00722484</t>
  </si>
  <si>
    <t>Madden Bonillas</t>
  </si>
  <si>
    <t>S00324953</t>
  </si>
  <si>
    <t>Mahone</t>
  </si>
  <si>
    <t>Ernestine</t>
  </si>
  <si>
    <t>S00362654</t>
  </si>
  <si>
    <t>Mancini</t>
  </si>
  <si>
    <t>S00989373</t>
  </si>
  <si>
    <t>Marcoguiseppe</t>
  </si>
  <si>
    <t>S00988956</t>
  </si>
  <si>
    <t>S00010576</t>
  </si>
  <si>
    <t>Mason</t>
  </si>
  <si>
    <t>Laverne</t>
  </si>
  <si>
    <t>S00989240</t>
  </si>
  <si>
    <t>Mbimba</t>
  </si>
  <si>
    <t>S00315614</t>
  </si>
  <si>
    <t>McCluskey</t>
  </si>
  <si>
    <t>S00440880</t>
  </si>
  <si>
    <t>Mendoza</t>
  </si>
  <si>
    <t>Sheila</t>
  </si>
  <si>
    <t>S00624003</t>
  </si>
  <si>
    <t>Menolasino</t>
  </si>
  <si>
    <t>S00505985</t>
  </si>
  <si>
    <t>Deidra</t>
  </si>
  <si>
    <t>Lynettee</t>
  </si>
  <si>
    <t>S00989347</t>
  </si>
  <si>
    <t>Monczewski</t>
  </si>
  <si>
    <t>S00236174</t>
  </si>
  <si>
    <t>Martina</t>
  </si>
  <si>
    <t>S00991480</t>
  </si>
  <si>
    <t>S00953568</t>
  </si>
  <si>
    <t>Niesel</t>
  </si>
  <si>
    <t>S00522087</t>
  </si>
  <si>
    <t>Palaparty</t>
  </si>
  <si>
    <t>Satya</t>
  </si>
  <si>
    <t>S00387346</t>
  </si>
  <si>
    <t>Papes</t>
  </si>
  <si>
    <t>S00986066</t>
  </si>
  <si>
    <t>Perozeni</t>
  </si>
  <si>
    <t>S00591828</t>
  </si>
  <si>
    <t>Petrus-Rivera</t>
  </si>
  <si>
    <t>S00989844</t>
  </si>
  <si>
    <t>Piatek</t>
  </si>
  <si>
    <t>S00933941</t>
  </si>
  <si>
    <t>Popescu</t>
  </si>
  <si>
    <t>Daniela</t>
  </si>
  <si>
    <t>S00991463</t>
  </si>
  <si>
    <t>Ramasamy</t>
  </si>
  <si>
    <t>Somasundaram</t>
  </si>
  <si>
    <t>S00814615</t>
  </si>
  <si>
    <t>Rieker</t>
  </si>
  <si>
    <t>Max</t>
  </si>
  <si>
    <t>S00880403</t>
  </si>
  <si>
    <t>Robinette</t>
  </si>
  <si>
    <t>S00991729</t>
  </si>
  <si>
    <t>S00989372</t>
  </si>
  <si>
    <t>Sah</t>
  </si>
  <si>
    <t>S00990041</t>
  </si>
  <si>
    <t>Sekaran</t>
  </si>
  <si>
    <t>Tamilselvi</t>
  </si>
  <si>
    <t>S00582425</t>
  </si>
  <si>
    <t>Shergill</t>
  </si>
  <si>
    <t>Parminder</t>
  </si>
  <si>
    <t>3W2615</t>
  </si>
  <si>
    <t>Electrical-Electronic Eng - W</t>
  </si>
  <si>
    <t>S00637638</t>
  </si>
  <si>
    <t>Sisson</t>
  </si>
  <si>
    <t>S00853328</t>
  </si>
  <si>
    <t>Skitzki</t>
  </si>
  <si>
    <t>S00991319</t>
  </si>
  <si>
    <t>Snyder</t>
  </si>
  <si>
    <t>Shana</t>
  </si>
  <si>
    <t>3W2425</t>
  </si>
  <si>
    <t>French - W</t>
  </si>
  <si>
    <t>S00432157</t>
  </si>
  <si>
    <t>Soeder</t>
  </si>
  <si>
    <t>S00114971</t>
  </si>
  <si>
    <t>Stansfield</t>
  </si>
  <si>
    <t>S00904818</t>
  </si>
  <si>
    <t>Stekelenburg</t>
  </si>
  <si>
    <t>S00991458</t>
  </si>
  <si>
    <t>Sterne</t>
  </si>
  <si>
    <t>3E4250</t>
  </si>
  <si>
    <t>Dance - E</t>
  </si>
  <si>
    <t>S00988582</t>
  </si>
  <si>
    <t>Stone-Friedman</t>
  </si>
  <si>
    <t>S00709868</t>
  </si>
  <si>
    <t>S00552383</t>
  </si>
  <si>
    <t>Vadasz</t>
  </si>
  <si>
    <t>S00989977</t>
  </si>
  <si>
    <t>Vidahl</t>
  </si>
  <si>
    <t>3E2440</t>
  </si>
  <si>
    <t>Japanese - E</t>
  </si>
  <si>
    <t>S00364161</t>
  </si>
  <si>
    <t>Vondrak</t>
  </si>
  <si>
    <t>S00265988</t>
  </si>
  <si>
    <t>Weisend</t>
  </si>
  <si>
    <t>S00885050</t>
  </si>
  <si>
    <t>Wideman</t>
  </si>
  <si>
    <t>S00989265</t>
  </si>
  <si>
    <t>Wilmot</t>
  </si>
  <si>
    <t>S00364859</t>
  </si>
  <si>
    <t>Yaros</t>
  </si>
  <si>
    <t>S00991588</t>
  </si>
  <si>
    <t>Zalar</t>
  </si>
  <si>
    <t>S00609412</t>
  </si>
  <si>
    <t>Zawicki</t>
  </si>
  <si>
    <t>S00060169</t>
  </si>
  <si>
    <t>Zydiak</t>
  </si>
  <si>
    <t>Sonia</t>
  </si>
  <si>
    <t>S00068664</t>
  </si>
  <si>
    <t>S00572766</t>
  </si>
  <si>
    <t>Haag</t>
  </si>
  <si>
    <t>S00988068</t>
  </si>
  <si>
    <t>Pepke</t>
  </si>
  <si>
    <t>Connie</t>
  </si>
  <si>
    <t>S00970303</t>
  </si>
  <si>
    <t>Webb</t>
  </si>
  <si>
    <t>S01002878</t>
  </si>
  <si>
    <t>Chermonte</t>
  </si>
  <si>
    <t>S00986040</t>
  </si>
  <si>
    <t>Dingle</t>
  </si>
  <si>
    <t>S00986044</t>
  </si>
  <si>
    <t>Fedan</t>
  </si>
  <si>
    <t>S00478270</t>
  </si>
  <si>
    <t>Jelinek</t>
  </si>
  <si>
    <t>S00016249</t>
  </si>
  <si>
    <t>Marsh</t>
  </si>
  <si>
    <t>Cordelia</t>
  </si>
  <si>
    <t>S00969377</t>
  </si>
  <si>
    <t>Qua</t>
  </si>
  <si>
    <t>S00136890</t>
  </si>
  <si>
    <t>Speaks</t>
  </si>
  <si>
    <t>Edith</t>
  </si>
  <si>
    <t>S00957528</t>
  </si>
  <si>
    <t>S00881413</t>
  </si>
  <si>
    <t>S00009676</t>
  </si>
  <si>
    <t>Gram</t>
  </si>
  <si>
    <t>Fredrick</t>
  </si>
  <si>
    <t>S00993282</t>
  </si>
  <si>
    <t>Juliet</t>
  </si>
  <si>
    <t>4W2600</t>
  </si>
  <si>
    <t>MAT</t>
  </si>
  <si>
    <t>S00115929</t>
  </si>
  <si>
    <t>Kwon</t>
  </si>
  <si>
    <t>Mi</t>
  </si>
  <si>
    <t>S00292428</t>
  </si>
  <si>
    <t>Ledinsky</t>
  </si>
  <si>
    <t>S00067681</t>
  </si>
  <si>
    <t>S00016875</t>
  </si>
  <si>
    <t>Soledad</t>
  </si>
  <si>
    <t>S00057246</t>
  </si>
  <si>
    <t>S00391238</t>
  </si>
  <si>
    <t>Swedyk</t>
  </si>
  <si>
    <t>S00639513</t>
  </si>
  <si>
    <t>Woody</t>
  </si>
  <si>
    <t>Jimmie</t>
  </si>
  <si>
    <t>S00990590</t>
  </si>
  <si>
    <t>Capka</t>
  </si>
  <si>
    <t>S00990660</t>
  </si>
  <si>
    <t>Rossman</t>
  </si>
  <si>
    <t>S00990894</t>
  </si>
  <si>
    <t>S00400842</t>
  </si>
  <si>
    <t>Mac Laren</t>
  </si>
  <si>
    <t>S00990120</t>
  </si>
  <si>
    <t>2C3210</t>
  </si>
  <si>
    <t>Building Maintenance - W</t>
  </si>
  <si>
    <t>S00839410</t>
  </si>
  <si>
    <t>Farinacci</t>
  </si>
  <si>
    <t>Hospitality Mgt Ctr</t>
  </si>
  <si>
    <t>S00828457</t>
  </si>
  <si>
    <t>Gygli</t>
  </si>
  <si>
    <t>S01000452</t>
  </si>
  <si>
    <t>Keenan</t>
  </si>
  <si>
    <t>S00724263</t>
  </si>
  <si>
    <t>Berg</t>
  </si>
  <si>
    <t>S00318081</t>
  </si>
  <si>
    <t>Conaway Mavroidis</t>
  </si>
  <si>
    <t>S00035540</t>
  </si>
  <si>
    <t>Drummer</t>
  </si>
  <si>
    <t>S00164811</t>
  </si>
  <si>
    <t>S00494655</t>
  </si>
  <si>
    <t>Loew</t>
  </si>
  <si>
    <t>S00724155</t>
  </si>
  <si>
    <t>Manno</t>
  </si>
  <si>
    <t>S00989066</t>
  </si>
  <si>
    <t>Mensah</t>
  </si>
  <si>
    <t>S00530863</t>
  </si>
  <si>
    <t>Coleen</t>
  </si>
  <si>
    <t>S00251880</t>
  </si>
  <si>
    <t>Lemuel</t>
  </si>
  <si>
    <t>S00411049</t>
  </si>
  <si>
    <t>Tischler</t>
  </si>
  <si>
    <t>S00592785</t>
  </si>
  <si>
    <t>Torgov</t>
  </si>
  <si>
    <t>S00989010</t>
  </si>
  <si>
    <t>Danita</t>
  </si>
  <si>
    <t>S00116017</t>
  </si>
  <si>
    <t>S00885359</t>
  </si>
  <si>
    <t>Ky-wai</t>
  </si>
  <si>
    <t>S00964157</t>
  </si>
  <si>
    <t>Zatko</t>
  </si>
  <si>
    <t>S00989262</t>
  </si>
  <si>
    <t>S00137320</t>
  </si>
  <si>
    <t>Mihocik</t>
  </si>
  <si>
    <t>S00988817</t>
  </si>
  <si>
    <t>Weagraff</t>
  </si>
  <si>
    <t>S01000453</t>
  </si>
  <si>
    <t>Rik</t>
  </si>
  <si>
    <t>S00989264</t>
  </si>
  <si>
    <t>Pavalko</t>
  </si>
  <si>
    <t>S00989260</t>
  </si>
  <si>
    <t>S00033273</t>
  </si>
  <si>
    <t>S00052142</t>
  </si>
  <si>
    <t>Ketterick</t>
  </si>
  <si>
    <t>S00610729</t>
  </si>
  <si>
    <t>Szekely</t>
  </si>
  <si>
    <t>S00583759</t>
  </si>
  <si>
    <t>Winston</t>
  </si>
  <si>
    <t>S00889127</t>
  </si>
  <si>
    <t>Leidich</t>
  </si>
  <si>
    <t>Dana</t>
  </si>
  <si>
    <t>S00022633</t>
  </si>
  <si>
    <t>Nypaver</t>
  </si>
  <si>
    <t>S00937594</t>
  </si>
  <si>
    <t>Schuerger</t>
  </si>
  <si>
    <t>S00807547</t>
  </si>
  <si>
    <t>Loughren</t>
  </si>
  <si>
    <t>S00614989</t>
  </si>
  <si>
    <t>Aidara</t>
  </si>
  <si>
    <t>Idrissa</t>
  </si>
  <si>
    <t>S00029461</t>
  </si>
  <si>
    <t>Czekaj</t>
  </si>
  <si>
    <t>A.</t>
  </si>
  <si>
    <t>3M2210</t>
  </si>
  <si>
    <t>Accounting - M</t>
  </si>
  <si>
    <t>S00838894</t>
  </si>
  <si>
    <t>Emhonta</t>
  </si>
  <si>
    <t>S00502364</t>
  </si>
  <si>
    <t>McDuffie</t>
  </si>
  <si>
    <t>S00312085</t>
  </si>
  <si>
    <t>Goldie</t>
  </si>
  <si>
    <t>S00010725</t>
  </si>
  <si>
    <t>Trinette</t>
  </si>
  <si>
    <t>S00115380</t>
  </si>
  <si>
    <t>Windahl</t>
  </si>
  <si>
    <t>S00988056</t>
  </si>
  <si>
    <t>Roskowski</t>
  </si>
  <si>
    <t>S00992072</t>
  </si>
  <si>
    <t>Gdovin</t>
  </si>
  <si>
    <t>S00985427</t>
  </si>
  <si>
    <t>Pasaron</t>
  </si>
  <si>
    <t>Chona</t>
  </si>
  <si>
    <t>Taghoy</t>
  </si>
  <si>
    <t>S00988079</t>
  </si>
  <si>
    <t>Truhan</t>
  </si>
  <si>
    <t>S00275784</t>
  </si>
  <si>
    <t>Wolfe</t>
  </si>
  <si>
    <t>S00986214</t>
  </si>
  <si>
    <t>Athey</t>
  </si>
  <si>
    <t>S00117425</t>
  </si>
  <si>
    <t>Barnett</t>
  </si>
  <si>
    <t>S00905513</t>
  </si>
  <si>
    <t>Dar-Issa</t>
  </si>
  <si>
    <t>Domonique</t>
  </si>
  <si>
    <t>S00242861</t>
  </si>
  <si>
    <t>Eakins</t>
  </si>
  <si>
    <t>S00628352</t>
  </si>
  <si>
    <t>Kathy</t>
  </si>
  <si>
    <t>S00012607</t>
  </si>
  <si>
    <t>Walter</t>
  </si>
  <si>
    <t>S00568828</t>
  </si>
  <si>
    <t>Stidham</t>
  </si>
  <si>
    <t>S00985794</t>
  </si>
  <si>
    <t>Hyams</t>
  </si>
  <si>
    <t>Dave</t>
  </si>
  <si>
    <t>S00032481</t>
  </si>
  <si>
    <t>Pitrone</t>
  </si>
  <si>
    <t>S00986211</t>
  </si>
  <si>
    <t>Selos</t>
  </si>
  <si>
    <t>S00865972</t>
  </si>
  <si>
    <t>Kate</t>
  </si>
  <si>
    <t>S00571028</t>
  </si>
  <si>
    <t>Jeanette</t>
  </si>
  <si>
    <t>S00300737</t>
  </si>
  <si>
    <t>Brass</t>
  </si>
  <si>
    <t>S00259572</t>
  </si>
  <si>
    <t>Brathwaite</t>
  </si>
  <si>
    <t>S00038201</t>
  </si>
  <si>
    <t>Daly</t>
  </si>
  <si>
    <t>S00409753</t>
  </si>
  <si>
    <t>S00488835</t>
  </si>
  <si>
    <t>Krupa</t>
  </si>
  <si>
    <t>S00847227</t>
  </si>
  <si>
    <t>S00421148</t>
  </si>
  <si>
    <t>Melnykowski</t>
  </si>
  <si>
    <t>Shawna</t>
  </si>
  <si>
    <t>S00343612</t>
  </si>
  <si>
    <t>Pauley</t>
  </si>
  <si>
    <t>S00056240</t>
  </si>
  <si>
    <t>S00115458</t>
  </si>
  <si>
    <t>Rubin</t>
  </si>
  <si>
    <t>S00814798</t>
  </si>
  <si>
    <t>Seguine</t>
  </si>
  <si>
    <t>S00017195</t>
  </si>
  <si>
    <t>Silver</t>
  </si>
  <si>
    <t>S00065376</t>
  </si>
  <si>
    <t>Tepley</t>
  </si>
  <si>
    <t>Allan</t>
  </si>
  <si>
    <t>S00398966</t>
  </si>
  <si>
    <t>S00055194</t>
  </si>
  <si>
    <t>Yeigh</t>
  </si>
  <si>
    <t>S00947910</t>
  </si>
  <si>
    <t>Zontini</t>
  </si>
  <si>
    <t>S00958059</t>
  </si>
  <si>
    <t>S00985285</t>
  </si>
  <si>
    <t>Goel</t>
  </si>
  <si>
    <t>Monu</t>
  </si>
  <si>
    <t>S00062116</t>
  </si>
  <si>
    <t>Iris</t>
  </si>
  <si>
    <t>S00345503</t>
  </si>
  <si>
    <t>Austin</t>
  </si>
  <si>
    <t>S00401787</t>
  </si>
  <si>
    <t>Frontczak</t>
  </si>
  <si>
    <t>S00984786</t>
  </si>
  <si>
    <t>S00308337</t>
  </si>
  <si>
    <t>Kyanko</t>
  </si>
  <si>
    <t>Joellen</t>
  </si>
  <si>
    <t>S00437084</t>
  </si>
  <si>
    <t>Motiu</t>
  </si>
  <si>
    <t>Claudia</t>
  </si>
  <si>
    <t>S00938707</t>
  </si>
  <si>
    <t>Neuffer</t>
  </si>
  <si>
    <t>S00070403</t>
  </si>
  <si>
    <t>Bridgette</t>
  </si>
  <si>
    <t>S00020429</t>
  </si>
  <si>
    <t>Woodard</t>
  </si>
  <si>
    <t>S00455315</t>
  </si>
  <si>
    <t>Elish</t>
  </si>
  <si>
    <t>S00286844</t>
  </si>
  <si>
    <t>Pitschmann</t>
  </si>
  <si>
    <t>S00152442</t>
  </si>
  <si>
    <t>S00849162</t>
  </si>
  <si>
    <t>Altman</t>
  </si>
  <si>
    <t>S00087942</t>
  </si>
  <si>
    <t>Brinker</t>
  </si>
  <si>
    <t>S00883402</t>
  </si>
  <si>
    <t>3S3100</t>
  </si>
  <si>
    <t>Dean Student Affairs - S</t>
  </si>
  <si>
    <t>S00034444</t>
  </si>
  <si>
    <t>Czaplenski</t>
  </si>
  <si>
    <t>S00983987</t>
  </si>
  <si>
    <t>Mott</t>
  </si>
  <si>
    <t>S00557267</t>
  </si>
  <si>
    <t>Tso</t>
  </si>
  <si>
    <t>S00985284</t>
  </si>
  <si>
    <t>Werner</t>
  </si>
  <si>
    <t>S00466738</t>
  </si>
  <si>
    <t>Webster</t>
  </si>
  <si>
    <t>Garry</t>
  </si>
  <si>
    <t>S00344970</t>
  </si>
  <si>
    <t>Connolly</t>
  </si>
  <si>
    <t>4W4425</t>
  </si>
  <si>
    <t>Environ Sciences &amp; Atl Energy</t>
  </si>
  <si>
    <t>S00212880</t>
  </si>
  <si>
    <t>Dimbo</t>
  </si>
  <si>
    <t>S00010238</t>
  </si>
  <si>
    <t>Reyes</t>
  </si>
  <si>
    <t>S00817190</t>
  </si>
  <si>
    <t>Bazil</t>
  </si>
  <si>
    <t>S00894582</t>
  </si>
  <si>
    <t>S00341059</t>
  </si>
  <si>
    <t>S00927619</t>
  </si>
  <si>
    <t>Anekwe</t>
  </si>
  <si>
    <t>S00381885</t>
  </si>
  <si>
    <t>Babinec</t>
  </si>
  <si>
    <t>S00975688</t>
  </si>
  <si>
    <t>Chavez</t>
  </si>
  <si>
    <t>S00016816</t>
  </si>
  <si>
    <t>S00975901</t>
  </si>
  <si>
    <t>Eder</t>
  </si>
  <si>
    <t>3E2750</t>
  </si>
  <si>
    <t>Psychology - E</t>
  </si>
  <si>
    <t>S00444131</t>
  </si>
  <si>
    <t>Gilchrist</t>
  </si>
  <si>
    <t>Lanese</t>
  </si>
  <si>
    <t>S00696268</t>
  </si>
  <si>
    <t>S00845916</t>
  </si>
  <si>
    <t>Moukrad</t>
  </si>
  <si>
    <t>Souad</t>
  </si>
  <si>
    <t>S00976840</t>
  </si>
  <si>
    <t>Persons</t>
  </si>
  <si>
    <t>S00982778</t>
  </si>
  <si>
    <t>Swafford</t>
  </si>
  <si>
    <t>S00752990</t>
  </si>
  <si>
    <t>Turabi</t>
  </si>
  <si>
    <t>Ahmed</t>
  </si>
  <si>
    <t>S00595357</t>
  </si>
  <si>
    <t>Cataldo</t>
  </si>
  <si>
    <t>S00594971</t>
  </si>
  <si>
    <t>Hackett</t>
  </si>
  <si>
    <t>S00012885</t>
  </si>
  <si>
    <t>Dunphy</t>
  </si>
  <si>
    <t>S00980738</t>
  </si>
  <si>
    <t>Hormann</t>
  </si>
  <si>
    <t>Randall</t>
  </si>
  <si>
    <t>S00979850</t>
  </si>
  <si>
    <t>Sofer</t>
  </si>
  <si>
    <t>S00479195</t>
  </si>
  <si>
    <t>Jr</t>
  </si>
  <si>
    <t>S00324247</t>
  </si>
  <si>
    <t>Hank</t>
  </si>
  <si>
    <t>S00923796</t>
  </si>
  <si>
    <t>S00734151</t>
  </si>
  <si>
    <t>Doyle</t>
  </si>
  <si>
    <t>S00828531</t>
  </si>
  <si>
    <t>Grosser</t>
  </si>
  <si>
    <t>S00862853</t>
  </si>
  <si>
    <t>Guerra</t>
  </si>
  <si>
    <t>3W4500</t>
  </si>
  <si>
    <t>Theatre Management - W</t>
  </si>
  <si>
    <t>S00309176</t>
  </si>
  <si>
    <t>O'Donnell</t>
  </si>
  <si>
    <t>S00977846</t>
  </si>
  <si>
    <t>Prusha</t>
  </si>
  <si>
    <t>S00643247</t>
  </si>
  <si>
    <t>Stitt</t>
  </si>
  <si>
    <t>Narayan</t>
  </si>
  <si>
    <t>S00596533</t>
  </si>
  <si>
    <t>Skinner</t>
  </si>
  <si>
    <t>S00602569</t>
  </si>
  <si>
    <t>Murugappan</t>
  </si>
  <si>
    <t>S00976934</t>
  </si>
  <si>
    <t>Viskocil</t>
  </si>
  <si>
    <t>S00504720</t>
  </si>
  <si>
    <t>Merendino</t>
  </si>
  <si>
    <t>Maryann</t>
  </si>
  <si>
    <t>S00154130</t>
  </si>
  <si>
    <t>Gurtsak</t>
  </si>
  <si>
    <t>Maridi</t>
  </si>
  <si>
    <t>S00010036</t>
  </si>
  <si>
    <t>Jayne</t>
  </si>
  <si>
    <t>S00596387</t>
  </si>
  <si>
    <t>Sturman</t>
  </si>
  <si>
    <t>S00966051</t>
  </si>
  <si>
    <t>1H4200</t>
  </si>
  <si>
    <t>Recruitment</t>
  </si>
  <si>
    <t>S00370028</t>
  </si>
  <si>
    <t>Byrns</t>
  </si>
  <si>
    <t>S00553585</t>
  </si>
  <si>
    <t>Chang</t>
  </si>
  <si>
    <t>S00838235</t>
  </si>
  <si>
    <t>Hanzel</t>
  </si>
  <si>
    <t>S00118074</t>
  </si>
  <si>
    <t>Kashi</t>
  </si>
  <si>
    <t>S00025196</t>
  </si>
  <si>
    <t>S00930226</t>
  </si>
  <si>
    <t>Laferty</t>
  </si>
  <si>
    <t>S00966521</t>
  </si>
  <si>
    <t>Plocher</t>
  </si>
  <si>
    <t>S00972433</t>
  </si>
  <si>
    <t>Risaliti</t>
  </si>
  <si>
    <t>S00976275</t>
  </si>
  <si>
    <t>Zart</t>
  </si>
  <si>
    <t>S00448013</t>
  </si>
  <si>
    <t>Pierson</t>
  </si>
  <si>
    <t>Earl</t>
  </si>
  <si>
    <t>S00129776</t>
  </si>
  <si>
    <t>Arnosk</t>
  </si>
  <si>
    <t>S00614106</t>
  </si>
  <si>
    <t>Rocco</t>
  </si>
  <si>
    <t>S00975761</t>
  </si>
  <si>
    <t>Solomon</t>
  </si>
  <si>
    <t>S00114961</t>
  </si>
  <si>
    <t>Agardy</t>
  </si>
  <si>
    <t>S00711115</t>
  </si>
  <si>
    <t>Arroyo</t>
  </si>
  <si>
    <t>S00587347</t>
  </si>
  <si>
    <t>S00294167</t>
  </si>
  <si>
    <t>Carney</t>
  </si>
  <si>
    <t>S00011232</t>
  </si>
  <si>
    <t>Manley</t>
  </si>
  <si>
    <t>S00524191</t>
  </si>
  <si>
    <t>Quinnie</t>
  </si>
  <si>
    <t>S00393201</t>
  </si>
  <si>
    <t>Jayson</t>
  </si>
  <si>
    <t>Renard</t>
  </si>
  <si>
    <t>S00885623</t>
  </si>
  <si>
    <t>Khaner</t>
  </si>
  <si>
    <t>S00114300</t>
  </si>
  <si>
    <t>Kuby</t>
  </si>
  <si>
    <t>S00015933</t>
  </si>
  <si>
    <t>Pritchett</t>
  </si>
  <si>
    <t>S00896333</t>
  </si>
  <si>
    <t>S00890274</t>
  </si>
  <si>
    <t>S00072258</t>
  </si>
  <si>
    <t>Blackwell</t>
  </si>
  <si>
    <t>S00084840</t>
  </si>
  <si>
    <t>Clague</t>
  </si>
  <si>
    <t>S00063841</t>
  </si>
  <si>
    <t>Fekete</t>
  </si>
  <si>
    <t>Sorina</t>
  </si>
  <si>
    <t>S00358031</t>
  </si>
  <si>
    <t>Gildone</t>
  </si>
  <si>
    <t>S00024748</t>
  </si>
  <si>
    <t>S00016972</t>
  </si>
  <si>
    <t>Love</t>
  </si>
  <si>
    <t>Shanta</t>
  </si>
  <si>
    <t>Levet</t>
  </si>
  <si>
    <t>S00970451</t>
  </si>
  <si>
    <t>McLelland</t>
  </si>
  <si>
    <t>S00970291</t>
  </si>
  <si>
    <t>Posey</t>
  </si>
  <si>
    <t>S00710033</t>
  </si>
  <si>
    <t>Tirpak</t>
  </si>
  <si>
    <t>S00045071</t>
  </si>
  <si>
    <t>Wyatt</t>
  </si>
  <si>
    <t>S00028593</t>
  </si>
  <si>
    <t>Bottone</t>
  </si>
  <si>
    <t>S00926660</t>
  </si>
  <si>
    <t>Haney</t>
  </si>
  <si>
    <t>S00926662</t>
  </si>
  <si>
    <t>Scicchitano</t>
  </si>
  <si>
    <t>S00926658</t>
  </si>
  <si>
    <t>Sholtis</t>
  </si>
  <si>
    <t>S00372896</t>
  </si>
  <si>
    <t>Hill-Talley</t>
  </si>
  <si>
    <t>S00975094</t>
  </si>
  <si>
    <t>Petrides</t>
  </si>
  <si>
    <t>S00126116</t>
  </si>
  <si>
    <t>Bacho</t>
  </si>
  <si>
    <t>3S2350</t>
  </si>
  <si>
    <t>Medical Assisting - S</t>
  </si>
  <si>
    <t>S00969414</t>
  </si>
  <si>
    <t>Bitterman</t>
  </si>
  <si>
    <t>Mary Kay</t>
  </si>
  <si>
    <t>S00181450</t>
  </si>
  <si>
    <t>Chew</t>
  </si>
  <si>
    <t>S00599651</t>
  </si>
  <si>
    <t>Gould</t>
  </si>
  <si>
    <t>Desiree</t>
  </si>
  <si>
    <t>S00306853</t>
  </si>
  <si>
    <t>S00387823</t>
  </si>
  <si>
    <t>Krupka</t>
  </si>
  <si>
    <t>S00080685</t>
  </si>
  <si>
    <t>Trenayce</t>
  </si>
  <si>
    <t>S00711071</t>
  </si>
  <si>
    <t>Noland</t>
  </si>
  <si>
    <t>S00585869</t>
  </si>
  <si>
    <t>Rushton</t>
  </si>
  <si>
    <t>S00537972</t>
  </si>
  <si>
    <t>Shenett</t>
  </si>
  <si>
    <t>S00330441</t>
  </si>
  <si>
    <t>Winlock</t>
  </si>
  <si>
    <t>Bernice</t>
  </si>
  <si>
    <t>S00014362</t>
  </si>
  <si>
    <t>Fiorilli</t>
  </si>
  <si>
    <t>S00284207</t>
  </si>
  <si>
    <t>Growley</t>
  </si>
  <si>
    <t>S00786525</t>
  </si>
  <si>
    <t>Laughlin</t>
  </si>
  <si>
    <t>S00035169</t>
  </si>
  <si>
    <t>Sherrill</t>
  </si>
  <si>
    <t>S00930396</t>
  </si>
  <si>
    <t>Hildegarde</t>
  </si>
  <si>
    <t>S00049000</t>
  </si>
  <si>
    <t>Evanoff</t>
  </si>
  <si>
    <t>S00474553</t>
  </si>
  <si>
    <t>Hoyt</t>
  </si>
  <si>
    <t>S00971278</t>
  </si>
  <si>
    <t>Witkowski</t>
  </si>
  <si>
    <t>Jarod</t>
  </si>
  <si>
    <t>S00010611</t>
  </si>
  <si>
    <t>Sabat</t>
  </si>
  <si>
    <t>Lynda</t>
  </si>
  <si>
    <t>S00115744</t>
  </si>
  <si>
    <t>Marrero</t>
  </si>
  <si>
    <t>Matias</t>
  </si>
  <si>
    <t>S00030558</t>
  </si>
  <si>
    <t>Randall-Alexander</t>
  </si>
  <si>
    <t>S00116293</t>
  </si>
  <si>
    <t>Bak</t>
  </si>
  <si>
    <t>S00042729</t>
  </si>
  <si>
    <t>Ciocca</t>
  </si>
  <si>
    <t>S00968376</t>
  </si>
  <si>
    <t>S00965157</t>
  </si>
  <si>
    <t>Delisio</t>
  </si>
  <si>
    <t>S00518061</t>
  </si>
  <si>
    <t>Galla</t>
  </si>
  <si>
    <t>Melinda</t>
  </si>
  <si>
    <t>S00968379</t>
  </si>
  <si>
    <t>S00013583</t>
  </si>
  <si>
    <t>Kirby</t>
  </si>
  <si>
    <t>S00248688</t>
  </si>
  <si>
    <t>S00707209</t>
  </si>
  <si>
    <t>Lambert</t>
  </si>
  <si>
    <t>S00969489</t>
  </si>
  <si>
    <t>Peppers</t>
  </si>
  <si>
    <t>Rodney</t>
  </si>
  <si>
    <t>S00505153</t>
  </si>
  <si>
    <t>Starin</t>
  </si>
  <si>
    <t>S00676592</t>
  </si>
  <si>
    <t>Svendsen</t>
  </si>
  <si>
    <t>S00493101</t>
  </si>
  <si>
    <t>Albershtat</t>
  </si>
  <si>
    <t>S00327269</t>
  </si>
  <si>
    <t>Althouse</t>
  </si>
  <si>
    <t>3E2280</t>
  </si>
  <si>
    <t>Paralegal Studies - E</t>
  </si>
  <si>
    <t>S00964156</t>
  </si>
  <si>
    <t>Amodio</t>
  </si>
  <si>
    <t>Bonnie</t>
  </si>
  <si>
    <t>S00921260</t>
  </si>
  <si>
    <t>Amolsch</t>
  </si>
  <si>
    <t>S00965183</t>
  </si>
  <si>
    <t>S00297712</t>
  </si>
  <si>
    <t>S00413170</t>
  </si>
  <si>
    <t>3M2370</t>
  </si>
  <si>
    <t>Physical Science - M</t>
  </si>
  <si>
    <t>S00401686</t>
  </si>
  <si>
    <t>S00083210</t>
  </si>
  <si>
    <t>Erick</t>
  </si>
  <si>
    <t>S00071935</t>
  </si>
  <si>
    <t>Brack</t>
  </si>
  <si>
    <t>S00967237</t>
  </si>
  <si>
    <t>Brant</t>
  </si>
  <si>
    <t>S00963771</t>
  </si>
  <si>
    <t>S00208216</t>
  </si>
  <si>
    <t>S00966445</t>
  </si>
  <si>
    <t>Bynum</t>
  </si>
  <si>
    <t>S00181025</t>
  </si>
  <si>
    <t>Carey</t>
  </si>
  <si>
    <t>S00967152</t>
  </si>
  <si>
    <t>Chila</t>
  </si>
  <si>
    <t>S00967630</t>
  </si>
  <si>
    <t>Cleary</t>
  </si>
  <si>
    <t>S00967642</t>
  </si>
  <si>
    <t>S00321195</t>
  </si>
  <si>
    <t>Coleman</t>
  </si>
  <si>
    <t>S00028894</t>
  </si>
  <si>
    <t>Cornelison</t>
  </si>
  <si>
    <t>S00276864</t>
  </si>
  <si>
    <t>2C3400</t>
  </si>
  <si>
    <t>Plant Operations - S</t>
  </si>
  <si>
    <t>S00181118</t>
  </si>
  <si>
    <t>Crish</t>
  </si>
  <si>
    <t>S00967797</t>
  </si>
  <si>
    <t>Crown</t>
  </si>
  <si>
    <t>3E2350</t>
  </si>
  <si>
    <t>Medical Assisting - E</t>
  </si>
  <si>
    <t>S00052715</t>
  </si>
  <si>
    <t>Dangerfield</t>
  </si>
  <si>
    <t>S00639681</t>
  </si>
  <si>
    <t>Danko</t>
  </si>
  <si>
    <t>S00452074</t>
  </si>
  <si>
    <t>Dasilva</t>
  </si>
  <si>
    <t>Fitzroy</t>
  </si>
  <si>
    <t>S00439002</t>
  </si>
  <si>
    <t>S00587748</t>
  </si>
  <si>
    <t>S00961305</t>
  </si>
  <si>
    <t>DeMarco</t>
  </si>
  <si>
    <t>S00127019</t>
  </si>
  <si>
    <t>Deighan</t>
  </si>
  <si>
    <t>S00614330</t>
  </si>
  <si>
    <t>Dichiro</t>
  </si>
  <si>
    <t>Antonietta</t>
  </si>
  <si>
    <t>S00967225</t>
  </si>
  <si>
    <t>Dobrowolski</t>
  </si>
  <si>
    <t>S00379074</t>
  </si>
  <si>
    <t>Dwyer</t>
  </si>
  <si>
    <t>S00959704</t>
  </si>
  <si>
    <t>Economos</t>
  </si>
  <si>
    <t>Emmanuel</t>
  </si>
  <si>
    <t>S00068602</t>
  </si>
  <si>
    <t>S00969187</t>
  </si>
  <si>
    <t>Ramona</t>
  </si>
  <si>
    <t>S00964841</t>
  </si>
  <si>
    <t>Ekpe</t>
  </si>
  <si>
    <t>Enefiok</t>
  </si>
  <si>
    <t>S00009919</t>
  </si>
  <si>
    <t>Famiano</t>
  </si>
  <si>
    <t>S00589637</t>
  </si>
  <si>
    <t>Gifford</t>
  </si>
  <si>
    <t>S00021346</t>
  </si>
  <si>
    <t>Gress</t>
  </si>
  <si>
    <t>S00974071</t>
  </si>
  <si>
    <t>Hockenberry</t>
  </si>
  <si>
    <t>S00862241</t>
  </si>
  <si>
    <t>S00066515</t>
  </si>
  <si>
    <t>S00202889</t>
  </si>
  <si>
    <t>Huffman</t>
  </si>
  <si>
    <t>S00431062</t>
  </si>
  <si>
    <t>S00965988</t>
  </si>
  <si>
    <t>S00477268</t>
  </si>
  <si>
    <t>Jacobs</t>
  </si>
  <si>
    <t>S00478233</t>
  </si>
  <si>
    <t>Jeffreys</t>
  </si>
  <si>
    <t>S00966298</t>
  </si>
  <si>
    <t>Jenniges</t>
  </si>
  <si>
    <t>S00587456</t>
  </si>
  <si>
    <t>S00571763</t>
  </si>
  <si>
    <t>Kasik</t>
  </si>
  <si>
    <t>S00967921</t>
  </si>
  <si>
    <t>S00967794</t>
  </si>
  <si>
    <t>Kuhar</t>
  </si>
  <si>
    <t>S00963463</t>
  </si>
  <si>
    <t>Larsen</t>
  </si>
  <si>
    <t>S00053094</t>
  </si>
  <si>
    <t>Lewine</t>
  </si>
  <si>
    <t>3M2705</t>
  </si>
  <si>
    <t>Anthropology - M</t>
  </si>
  <si>
    <t>S00608925</t>
  </si>
  <si>
    <t>Link</t>
  </si>
  <si>
    <t>S00573890</t>
  </si>
  <si>
    <t>Liotta</t>
  </si>
  <si>
    <t>Donnette</t>
  </si>
  <si>
    <t>S00494480</t>
  </si>
  <si>
    <t>Lobue</t>
  </si>
  <si>
    <t>Wayne</t>
  </si>
  <si>
    <t>3E2740</t>
  </si>
  <si>
    <t>Philosophy - E</t>
  </si>
  <si>
    <t>S00237890</t>
  </si>
  <si>
    <t>Losneck</t>
  </si>
  <si>
    <t>S00967500</t>
  </si>
  <si>
    <t>Maggart</t>
  </si>
  <si>
    <t>S00053535</t>
  </si>
  <si>
    <t>Makarski</t>
  </si>
  <si>
    <t>S00966685</t>
  </si>
  <si>
    <t>McClure</t>
  </si>
  <si>
    <t>S00494671</t>
  </si>
  <si>
    <t>Migyanko</t>
  </si>
  <si>
    <t>S00553115</t>
  </si>
  <si>
    <t>Millsape</t>
  </si>
  <si>
    <t>S00964544</t>
  </si>
  <si>
    <t>Nevits</t>
  </si>
  <si>
    <t>S00959910</t>
  </si>
  <si>
    <t>Oxley</t>
  </si>
  <si>
    <t>S00023495</t>
  </si>
  <si>
    <t>Palmer</t>
  </si>
  <si>
    <t>S00912835</t>
  </si>
  <si>
    <t>Panagopoulos</t>
  </si>
  <si>
    <t>S00258236</t>
  </si>
  <si>
    <t>Parish</t>
  </si>
  <si>
    <t>S00035151</t>
  </si>
  <si>
    <t>Vanee'</t>
  </si>
  <si>
    <t>S00520398</t>
  </si>
  <si>
    <t>Pietrzak</t>
  </si>
  <si>
    <t>S00042411</t>
  </si>
  <si>
    <t>Plesca</t>
  </si>
  <si>
    <t>3W2455</t>
  </si>
  <si>
    <t>Spanish - W</t>
  </si>
  <si>
    <t>S00886833</t>
  </si>
  <si>
    <t>Pugel</t>
  </si>
  <si>
    <t>S00076738</t>
  </si>
  <si>
    <t>Qirjazi</t>
  </si>
  <si>
    <t>S00679987</t>
  </si>
  <si>
    <t>S00963560</t>
  </si>
  <si>
    <t>Reilly</t>
  </si>
  <si>
    <t>3W2340</t>
  </si>
  <si>
    <t>Health - W</t>
  </si>
  <si>
    <t>S00147833</t>
  </si>
  <si>
    <t>S00968719</t>
  </si>
  <si>
    <t>Salem</t>
  </si>
  <si>
    <t>S00351195</t>
  </si>
  <si>
    <t>Migdalia</t>
  </si>
  <si>
    <t>S00436768</t>
  </si>
  <si>
    <t>S00964450</t>
  </si>
  <si>
    <t>S00959339</t>
  </si>
  <si>
    <t>Trickel</t>
  </si>
  <si>
    <t>S00966035</t>
  </si>
  <si>
    <t>Vidalis</t>
  </si>
  <si>
    <t>S00028866</t>
  </si>
  <si>
    <t>Denny</t>
  </si>
  <si>
    <t>S00964745</t>
  </si>
  <si>
    <t>Warmbrodt</t>
  </si>
  <si>
    <t>Frederick</t>
  </si>
  <si>
    <t>S00966016</t>
  </si>
  <si>
    <t>Watt</t>
  </si>
  <si>
    <t>Tricia</t>
  </si>
  <si>
    <t>S00967599</t>
  </si>
  <si>
    <t>S00962363</t>
  </si>
  <si>
    <t>Whitbred</t>
  </si>
  <si>
    <t>S00966112</t>
  </si>
  <si>
    <t>S00969743</t>
  </si>
  <si>
    <t>S00274359</t>
  </si>
  <si>
    <t>Worthy</t>
  </si>
  <si>
    <t>Toimeicka</t>
  </si>
  <si>
    <t>S00963409</t>
  </si>
  <si>
    <t>Yannarell</t>
  </si>
  <si>
    <t>S00965313</t>
  </si>
  <si>
    <t>Zabka</t>
  </si>
  <si>
    <t>S00712847</t>
  </si>
  <si>
    <t>Hoag</t>
  </si>
  <si>
    <t>S00967292</t>
  </si>
  <si>
    <t>Standish</t>
  </si>
  <si>
    <t>S00918586</t>
  </si>
  <si>
    <t>Distler</t>
  </si>
  <si>
    <t>S00960680</t>
  </si>
  <si>
    <t>Guentner</t>
  </si>
  <si>
    <t>S00470320</t>
  </si>
  <si>
    <t>Heinlen</t>
  </si>
  <si>
    <t>S00526347</t>
  </si>
  <si>
    <t>Relyea</t>
  </si>
  <si>
    <t>S00602800</t>
  </si>
  <si>
    <t>Cloonan</t>
  </si>
  <si>
    <t>S00546543</t>
  </si>
  <si>
    <t>Latimer</t>
  </si>
  <si>
    <t>S00958872</t>
  </si>
  <si>
    <t>Chipps</t>
  </si>
  <si>
    <t>S00726712</t>
  </si>
  <si>
    <t>Slager</t>
  </si>
  <si>
    <t>Judit</t>
  </si>
  <si>
    <t>S00803810</t>
  </si>
  <si>
    <t>S00841379</t>
  </si>
  <si>
    <t>Chao</t>
  </si>
  <si>
    <t>Gun</t>
  </si>
  <si>
    <t>S00173761</t>
  </si>
  <si>
    <t>S00629748</t>
  </si>
  <si>
    <t>DeLisio</t>
  </si>
  <si>
    <t>S00081621</t>
  </si>
  <si>
    <t>Dufala</t>
  </si>
  <si>
    <t>S00262248</t>
  </si>
  <si>
    <t>2S1100</t>
  </si>
  <si>
    <t>Campus Police Administration</t>
  </si>
  <si>
    <t>S00064201</t>
  </si>
  <si>
    <t>Lad</t>
  </si>
  <si>
    <t>S00969279</t>
  </si>
  <si>
    <t>Loizos</t>
  </si>
  <si>
    <t>S00513336</t>
  </si>
  <si>
    <t>Nottoli</t>
  </si>
  <si>
    <t>Mary Jane</t>
  </si>
  <si>
    <t>S00068196</t>
  </si>
  <si>
    <t>S00944414</t>
  </si>
  <si>
    <t>Sparks</t>
  </si>
  <si>
    <t>S00123140</t>
  </si>
  <si>
    <t>Stacie</t>
  </si>
  <si>
    <t>S00965950</t>
  </si>
  <si>
    <t>Walz</t>
  </si>
  <si>
    <t>Moky</t>
  </si>
  <si>
    <t>S00965902</t>
  </si>
  <si>
    <t>S00127333</t>
  </si>
  <si>
    <t>Croft-Thompkins</t>
  </si>
  <si>
    <t>Veora</t>
  </si>
  <si>
    <t>Lavern</t>
  </si>
  <si>
    <t>S00198009</t>
  </si>
  <si>
    <t>Leff</t>
  </si>
  <si>
    <t>S00018681</t>
  </si>
  <si>
    <t>Rosemary</t>
  </si>
  <si>
    <t>S00966305</t>
  </si>
  <si>
    <t>S00041428</t>
  </si>
  <si>
    <t>Gayle</t>
  </si>
  <si>
    <t>S00575815</t>
  </si>
  <si>
    <t>Gibson</t>
  </si>
  <si>
    <t>S00383640</t>
  </si>
  <si>
    <t>Hein</t>
  </si>
  <si>
    <t>S00956334</t>
  </si>
  <si>
    <t>Kamel</t>
  </si>
  <si>
    <t>Haidy</t>
  </si>
  <si>
    <t>S00010548</t>
  </si>
  <si>
    <t>Lukco</t>
  </si>
  <si>
    <t>S00690912</t>
  </si>
  <si>
    <t>Thomson</t>
  </si>
  <si>
    <t>J Michael</t>
  </si>
  <si>
    <t>S00372671</t>
  </si>
  <si>
    <t>Wilce</t>
  </si>
  <si>
    <t>S00582176</t>
  </si>
  <si>
    <t>Terlep</t>
  </si>
  <si>
    <t>S00168420</t>
  </si>
  <si>
    <t>Tomba</t>
  </si>
  <si>
    <t>S00052693</t>
  </si>
  <si>
    <t>Kukwa</t>
  </si>
  <si>
    <t>S00964449</t>
  </si>
  <si>
    <t>Scully</t>
  </si>
  <si>
    <t>S00965718</t>
  </si>
  <si>
    <t>S00213860</t>
  </si>
  <si>
    <t>Beacham</t>
  </si>
  <si>
    <t>S00848871</t>
  </si>
  <si>
    <t>Birch</t>
  </si>
  <si>
    <t>S00238265</t>
  </si>
  <si>
    <t>S00050347</t>
  </si>
  <si>
    <t>Marliece</t>
  </si>
  <si>
    <t>S00259891</t>
  </si>
  <si>
    <t>S00505479</t>
  </si>
  <si>
    <t>Rosanna</t>
  </si>
  <si>
    <t>S00906218</t>
  </si>
  <si>
    <t>S00060099</t>
  </si>
  <si>
    <t>Piotrowski</t>
  </si>
  <si>
    <t>S00885894</t>
  </si>
  <si>
    <t>S00661556</t>
  </si>
  <si>
    <t>Pongracz</t>
  </si>
  <si>
    <t>S00196057</t>
  </si>
  <si>
    <t>S00036856</t>
  </si>
  <si>
    <t>Roxane</t>
  </si>
  <si>
    <t>S00924537</t>
  </si>
  <si>
    <t>Kebbel</t>
  </si>
  <si>
    <t>Darrin</t>
  </si>
  <si>
    <t>S00040791</t>
  </si>
  <si>
    <t>Leaks</t>
  </si>
  <si>
    <t>Latasha</t>
  </si>
  <si>
    <t>2F4410</t>
  </si>
  <si>
    <t>Mailroom - M</t>
  </si>
  <si>
    <t>S00580950</t>
  </si>
  <si>
    <t>S00640857</t>
  </si>
  <si>
    <t>Wiant</t>
  </si>
  <si>
    <t>Lilah</t>
  </si>
  <si>
    <t>S00108864</t>
  </si>
  <si>
    <t>Delio</t>
  </si>
  <si>
    <t>S00735687</t>
  </si>
  <si>
    <t>S00409231</t>
  </si>
  <si>
    <t>Battle</t>
  </si>
  <si>
    <t>S00010495</t>
  </si>
  <si>
    <t>S00191916</t>
  </si>
  <si>
    <t>S00050283</t>
  </si>
  <si>
    <t>Hardwick-Lett</t>
  </si>
  <si>
    <t>S00501527</t>
  </si>
  <si>
    <t>McCauley</t>
  </si>
  <si>
    <t>S00056484</t>
  </si>
  <si>
    <t>Proudfit</t>
  </si>
  <si>
    <t>S00166903</t>
  </si>
  <si>
    <t>Searson</t>
  </si>
  <si>
    <t>S00186718</t>
  </si>
  <si>
    <t>Vazquez</t>
  </si>
  <si>
    <t>Danny</t>
  </si>
  <si>
    <t>S00961105</t>
  </si>
  <si>
    <t>Chichernea</t>
  </si>
  <si>
    <t>S00142585</t>
  </si>
  <si>
    <t>Lake</t>
  </si>
  <si>
    <t>Franklyn</t>
  </si>
  <si>
    <t>Landis</t>
  </si>
  <si>
    <t>S00862434</t>
  </si>
  <si>
    <t>Gee</t>
  </si>
  <si>
    <t>C Lynette</t>
  </si>
  <si>
    <t>S00961681</t>
  </si>
  <si>
    <t>Tony</t>
  </si>
  <si>
    <t>S00960953</t>
  </si>
  <si>
    <t>Bowser</t>
  </si>
  <si>
    <t>S00960119</t>
  </si>
  <si>
    <t>Lenette</t>
  </si>
  <si>
    <t>S00635598</t>
  </si>
  <si>
    <t>Betts</t>
  </si>
  <si>
    <t>S00010460</t>
  </si>
  <si>
    <t>Carmichael</t>
  </si>
  <si>
    <t>S00418248</t>
  </si>
  <si>
    <t>Cash</t>
  </si>
  <si>
    <t>S00679622</t>
  </si>
  <si>
    <t>Cuccia</t>
  </si>
  <si>
    <t>S00960445</t>
  </si>
  <si>
    <t>Marr</t>
  </si>
  <si>
    <t>S00894252</t>
  </si>
  <si>
    <t>S00920152</t>
  </si>
  <si>
    <t>Tidball</t>
  </si>
  <si>
    <t>S00127954</t>
  </si>
  <si>
    <t>Kappel</t>
  </si>
  <si>
    <t>S00185648</t>
  </si>
  <si>
    <t>Goldstein</t>
  </si>
  <si>
    <t>S00549867</t>
  </si>
  <si>
    <t>Hradek</t>
  </si>
  <si>
    <t>Therese</t>
  </si>
  <si>
    <t>S00892684</t>
  </si>
  <si>
    <t>Hoenich</t>
  </si>
  <si>
    <t>S00959306</t>
  </si>
  <si>
    <t>Barkoukis</t>
  </si>
  <si>
    <t>Athan</t>
  </si>
  <si>
    <t>S00947297</t>
  </si>
  <si>
    <t>Cleveland</t>
  </si>
  <si>
    <t>Ethel</t>
  </si>
  <si>
    <t>S00929524</t>
  </si>
  <si>
    <t>Ruoff</t>
  </si>
  <si>
    <t>S00959326</t>
  </si>
  <si>
    <t>Berkowitz</t>
  </si>
  <si>
    <t>S00960241</t>
  </si>
  <si>
    <t>S00026551</t>
  </si>
  <si>
    <t>Kattas</t>
  </si>
  <si>
    <t>S00035434</t>
  </si>
  <si>
    <t>Kopp</t>
  </si>
  <si>
    <t>S00496013</t>
  </si>
  <si>
    <t>Tye</t>
  </si>
  <si>
    <t>Ileen</t>
  </si>
  <si>
    <t>S00030249</t>
  </si>
  <si>
    <t>S00575405</t>
  </si>
  <si>
    <t>S00959280</t>
  </si>
  <si>
    <t>Yarosh</t>
  </si>
  <si>
    <t>S00278344</t>
  </si>
  <si>
    <t>Bauckman</t>
  </si>
  <si>
    <t>S00584780</t>
  </si>
  <si>
    <t>Repicky</t>
  </si>
  <si>
    <t>S00960316</t>
  </si>
  <si>
    <t>Kundtz</t>
  </si>
  <si>
    <t>S00424297</t>
  </si>
  <si>
    <t>Lockshaw</t>
  </si>
  <si>
    <t>E.</t>
  </si>
  <si>
    <t>S00959296</t>
  </si>
  <si>
    <t>Ricksecker</t>
  </si>
  <si>
    <t>Bethany</t>
  </si>
  <si>
    <t>S00064414</t>
  </si>
  <si>
    <t>Simonian</t>
  </si>
  <si>
    <t>S00920907</t>
  </si>
  <si>
    <t>Bergman</t>
  </si>
  <si>
    <t>S00215379</t>
  </si>
  <si>
    <t>Disanto</t>
  </si>
  <si>
    <t>2F6300</t>
  </si>
  <si>
    <t>Environmental Services</t>
  </si>
  <si>
    <t>S00956341</t>
  </si>
  <si>
    <t>S00028750</t>
  </si>
  <si>
    <t>Scruggs</t>
  </si>
  <si>
    <t>Afi-Odelia</t>
  </si>
  <si>
    <t>S00010476</t>
  </si>
  <si>
    <t>S00811449</t>
  </si>
  <si>
    <t>Bach</t>
  </si>
  <si>
    <t>S00622786</t>
  </si>
  <si>
    <t>Berko</t>
  </si>
  <si>
    <t>S00117804</t>
  </si>
  <si>
    <t>S00010653</t>
  </si>
  <si>
    <t>Berry-Romano</t>
  </si>
  <si>
    <t>S00723970</t>
  </si>
  <si>
    <t>Black</t>
  </si>
  <si>
    <t>S00811477</t>
  </si>
  <si>
    <t>S00432524</t>
  </si>
  <si>
    <t>Blauner</t>
  </si>
  <si>
    <t>S00610672</t>
  </si>
  <si>
    <t>Bodzin</t>
  </si>
  <si>
    <t>Bayre</t>
  </si>
  <si>
    <t>S00864940</t>
  </si>
  <si>
    <t>Bognar</t>
  </si>
  <si>
    <t>Arline</t>
  </si>
  <si>
    <t>S00545990</t>
  </si>
  <si>
    <t>Cambria</t>
  </si>
  <si>
    <t>Rosario</t>
  </si>
  <si>
    <t>S00191024</t>
  </si>
  <si>
    <t>S00172294</t>
  </si>
  <si>
    <t>S00229176</t>
  </si>
  <si>
    <t>Cunningham-Hutson</t>
  </si>
  <si>
    <t>S00010873</t>
  </si>
  <si>
    <t>Sondra</t>
  </si>
  <si>
    <t>B.</t>
  </si>
  <si>
    <t>S00204878</t>
  </si>
  <si>
    <t>De Acosta</t>
  </si>
  <si>
    <t>S00930404</t>
  </si>
  <si>
    <t>Glazer</t>
  </si>
  <si>
    <t>Walt</t>
  </si>
  <si>
    <t>S00260130</t>
  </si>
  <si>
    <t>Glende</t>
  </si>
  <si>
    <t>S00355205</t>
  </si>
  <si>
    <t>S00306735</t>
  </si>
  <si>
    <t>Higgins</t>
  </si>
  <si>
    <t>Bette Lou</t>
  </si>
  <si>
    <t>S00712093</t>
  </si>
  <si>
    <t>Jakobsons</t>
  </si>
  <si>
    <t>S00010505</t>
  </si>
  <si>
    <t>Jecmen</t>
  </si>
  <si>
    <t>S00887749</t>
  </si>
  <si>
    <t>Kistner</t>
  </si>
  <si>
    <t>S00153032</t>
  </si>
  <si>
    <t>Kocurko</t>
  </si>
  <si>
    <t>S00162067</t>
  </si>
  <si>
    <t>Kosek</t>
  </si>
  <si>
    <t>S00053929</t>
  </si>
  <si>
    <t>Mayer</t>
  </si>
  <si>
    <t>Jacquelyn</t>
  </si>
  <si>
    <t>Adele</t>
  </si>
  <si>
    <t>S00418075</t>
  </si>
  <si>
    <t>Poti</t>
  </si>
  <si>
    <t>S00888404</t>
  </si>
  <si>
    <t>S00937488</t>
  </si>
  <si>
    <t>Seifullah</t>
  </si>
  <si>
    <t>S00115673</t>
  </si>
  <si>
    <t>St. John</t>
  </si>
  <si>
    <t>S00110574</t>
  </si>
  <si>
    <t>Thayer</t>
  </si>
  <si>
    <t>S00115173</t>
  </si>
  <si>
    <t>Harlan</t>
  </si>
  <si>
    <t>S00221388</t>
  </si>
  <si>
    <t>Uhlir</t>
  </si>
  <si>
    <t>S00853247</t>
  </si>
  <si>
    <t>Brooksieker</t>
  </si>
  <si>
    <t>S00930408</t>
  </si>
  <si>
    <t>Head</t>
  </si>
  <si>
    <t>S00027220</t>
  </si>
  <si>
    <t>Leathers</t>
  </si>
  <si>
    <t>Hutman</t>
  </si>
  <si>
    <t>S00634563</t>
  </si>
  <si>
    <t>Pagsuyoin</t>
  </si>
  <si>
    <t>S00345417</t>
  </si>
  <si>
    <t>Rusnak</t>
  </si>
  <si>
    <t>S00812345</t>
  </si>
  <si>
    <t>S00642234</t>
  </si>
  <si>
    <t>Caves</t>
  </si>
  <si>
    <t>Kermit</t>
  </si>
  <si>
    <t>S00883374</t>
  </si>
  <si>
    <t>Gmetro</t>
  </si>
  <si>
    <t>S00914907</t>
  </si>
  <si>
    <t>S00958030</t>
  </si>
  <si>
    <t>Handel</t>
  </si>
  <si>
    <t>S00424963</t>
  </si>
  <si>
    <t>Benita</t>
  </si>
  <si>
    <t>S00958106</t>
  </si>
  <si>
    <t>S00957398</t>
  </si>
  <si>
    <t>S00461426</t>
  </si>
  <si>
    <t>George-Smith</t>
  </si>
  <si>
    <t>S00120651</t>
  </si>
  <si>
    <t>S00336326</t>
  </si>
  <si>
    <t>S00462738</t>
  </si>
  <si>
    <t>Globokar</t>
  </si>
  <si>
    <t>S00915027</t>
  </si>
  <si>
    <t>DeRocher</t>
  </si>
  <si>
    <t>S00930934</t>
  </si>
  <si>
    <t>Gatlin</t>
  </si>
  <si>
    <t>Lonny</t>
  </si>
  <si>
    <t>S00292187</t>
  </si>
  <si>
    <t>S00440228</t>
  </si>
  <si>
    <t>S00619019</t>
  </si>
  <si>
    <t>Savchuk</t>
  </si>
  <si>
    <t>Rehina</t>
  </si>
  <si>
    <t>S00372181</t>
  </si>
  <si>
    <t>Dill</t>
  </si>
  <si>
    <t>S00954054</t>
  </si>
  <si>
    <t>Abu-Saleh</t>
  </si>
  <si>
    <t>Refaat</t>
  </si>
  <si>
    <t>S00034971</t>
  </si>
  <si>
    <t>Zenobein</t>
  </si>
  <si>
    <t>S00020681</t>
  </si>
  <si>
    <t>Almashni</t>
  </si>
  <si>
    <t>Alia</t>
  </si>
  <si>
    <t>S00851244</t>
  </si>
  <si>
    <t>Attar</t>
  </si>
  <si>
    <t>Santosh</t>
  </si>
  <si>
    <t>S00953447</t>
  </si>
  <si>
    <t>S00390238</t>
  </si>
  <si>
    <t>Bates</t>
  </si>
  <si>
    <t>S00919272</t>
  </si>
  <si>
    <t>Blackledge</t>
  </si>
  <si>
    <t>S00629993</t>
  </si>
  <si>
    <t>S00639505</t>
  </si>
  <si>
    <t>Clough</t>
  </si>
  <si>
    <t>S00707043</t>
  </si>
  <si>
    <t>S00264812</t>
  </si>
  <si>
    <t>S00552521</t>
  </si>
  <si>
    <t>Dwana</t>
  </si>
  <si>
    <t>S00012852</t>
  </si>
  <si>
    <t>Curley</t>
  </si>
  <si>
    <t>S00762039</t>
  </si>
  <si>
    <t>Drosdick</t>
  </si>
  <si>
    <t>Chris</t>
  </si>
  <si>
    <t>S00955553</t>
  </si>
  <si>
    <t>Dunstan</t>
  </si>
  <si>
    <t>Amie</t>
  </si>
  <si>
    <t>S00956284</t>
  </si>
  <si>
    <t>Eccher</t>
  </si>
  <si>
    <t>S00173308</t>
  </si>
  <si>
    <t>Flauhaus</t>
  </si>
  <si>
    <t>S00237236</t>
  </si>
  <si>
    <t>Frygier</t>
  </si>
  <si>
    <t>3E2240</t>
  </si>
  <si>
    <t>Hospitality Management - E</t>
  </si>
  <si>
    <t>S00956952</t>
  </si>
  <si>
    <t>Gallagher</t>
  </si>
  <si>
    <t>S00197186</t>
  </si>
  <si>
    <t>Gann</t>
  </si>
  <si>
    <t>S00221344</t>
  </si>
  <si>
    <t>Glauser</t>
  </si>
  <si>
    <t>S00951913</t>
  </si>
  <si>
    <t>Goldman</t>
  </si>
  <si>
    <t>Miriam</t>
  </si>
  <si>
    <t>S00463172</t>
  </si>
  <si>
    <t>Goll</t>
  </si>
  <si>
    <t>S00010045</t>
  </si>
  <si>
    <t>Greathouse</t>
  </si>
  <si>
    <t>S00955657</t>
  </si>
  <si>
    <t>Halloran</t>
  </si>
  <si>
    <t>S00042616</t>
  </si>
  <si>
    <t>Hampton</t>
  </si>
  <si>
    <t>Hoke</t>
  </si>
  <si>
    <t>S00030939</t>
  </si>
  <si>
    <t>Lashawn</t>
  </si>
  <si>
    <t>S00477131</t>
  </si>
  <si>
    <t>Kessandra</t>
  </si>
  <si>
    <t>S00860574</t>
  </si>
  <si>
    <t>Juniper</t>
  </si>
  <si>
    <t>S00886161</t>
  </si>
  <si>
    <t>Kareem</t>
  </si>
  <si>
    <t>S00871694</t>
  </si>
  <si>
    <t>Kates Florence</t>
  </si>
  <si>
    <t>Tonia</t>
  </si>
  <si>
    <t>S00955100</t>
  </si>
  <si>
    <t>Keener</t>
  </si>
  <si>
    <t>Candis</t>
  </si>
  <si>
    <t>S00956727</t>
  </si>
  <si>
    <t>S00485247</t>
  </si>
  <si>
    <t>Kirksey</t>
  </si>
  <si>
    <t>S00115862</t>
  </si>
  <si>
    <t>Kisner</t>
  </si>
  <si>
    <t>3M2745</t>
  </si>
  <si>
    <t>Political Science - M</t>
  </si>
  <si>
    <t>S00955787</t>
  </si>
  <si>
    <t>Kuntz</t>
  </si>
  <si>
    <t>Quentin</t>
  </si>
  <si>
    <t>S00063512</t>
  </si>
  <si>
    <t>Kusterbeck</t>
  </si>
  <si>
    <t>S00271554</t>
  </si>
  <si>
    <t>S00953739</t>
  </si>
  <si>
    <t>Grace</t>
  </si>
  <si>
    <t>S00575567</t>
  </si>
  <si>
    <t>Maciak</t>
  </si>
  <si>
    <t>Karoline</t>
  </si>
  <si>
    <t>S00010100</t>
  </si>
  <si>
    <t>Mackenzie</t>
  </si>
  <si>
    <t>S00955728</t>
  </si>
  <si>
    <t>S00930151</t>
  </si>
  <si>
    <t>Maric</t>
  </si>
  <si>
    <t>S00298691</t>
  </si>
  <si>
    <t>McDonald-Miranda</t>
  </si>
  <si>
    <t>S00957012</t>
  </si>
  <si>
    <t>McGlone</t>
  </si>
  <si>
    <t>S00952531</t>
  </si>
  <si>
    <t>Marybeth</t>
  </si>
  <si>
    <t>S00644596</t>
  </si>
  <si>
    <t>Mzik</t>
  </si>
  <si>
    <t>S00374100</t>
  </si>
  <si>
    <t>Nattey</t>
  </si>
  <si>
    <t>S00954819</t>
  </si>
  <si>
    <t>Norton-Krane</t>
  </si>
  <si>
    <t>Abby</t>
  </si>
  <si>
    <t>S00887532</t>
  </si>
  <si>
    <t>Novak</t>
  </si>
  <si>
    <t>3M2730</t>
  </si>
  <si>
    <t>History - M</t>
  </si>
  <si>
    <t>S00419867</t>
  </si>
  <si>
    <t>Pentz</t>
  </si>
  <si>
    <t>S00037270</t>
  </si>
  <si>
    <t>Rathjens</t>
  </si>
  <si>
    <t>S00957323</t>
  </si>
  <si>
    <t>Reuben</t>
  </si>
  <si>
    <t>S00075688</t>
  </si>
  <si>
    <t>Saggio</t>
  </si>
  <si>
    <t>Jaclyn</t>
  </si>
  <si>
    <t>S00955248</t>
  </si>
  <si>
    <t>Schultz</t>
  </si>
  <si>
    <t>S00203115</t>
  </si>
  <si>
    <t>Schweter</t>
  </si>
  <si>
    <t>S00950303</t>
  </si>
  <si>
    <t>Schwieterman</t>
  </si>
  <si>
    <t>S00536798</t>
  </si>
  <si>
    <t>Semler</t>
  </si>
  <si>
    <t>S00951015</t>
  </si>
  <si>
    <t>Senter</t>
  </si>
  <si>
    <t>S00931406</t>
  </si>
  <si>
    <t>Silverberg</t>
  </si>
  <si>
    <t>Rowan</t>
  </si>
  <si>
    <t>S00065095</t>
  </si>
  <si>
    <t>Tampson</t>
  </si>
  <si>
    <t>S00418000</t>
  </si>
  <si>
    <t>S00353219</t>
  </si>
  <si>
    <t>S00952692</t>
  </si>
  <si>
    <t>Vickery</t>
  </si>
  <si>
    <t>S00571310</t>
  </si>
  <si>
    <t>Nekita</t>
  </si>
  <si>
    <t>S00857088</t>
  </si>
  <si>
    <t>Wichtendahl</t>
  </si>
  <si>
    <t>S00028243</t>
  </si>
  <si>
    <t>Willey</t>
  </si>
  <si>
    <t>S00908711</t>
  </si>
  <si>
    <t>Dan</t>
  </si>
  <si>
    <t>S00949872</t>
  </si>
  <si>
    <t>Zeit</t>
  </si>
  <si>
    <t>Krystina</t>
  </si>
  <si>
    <t>S00863042</t>
  </si>
  <si>
    <t>Zuccola</t>
  </si>
  <si>
    <t>S00033900</t>
  </si>
  <si>
    <t>2L2200</t>
  </si>
  <si>
    <t>Records Management</t>
  </si>
  <si>
    <t>S00620883</t>
  </si>
  <si>
    <t>Singh</t>
  </si>
  <si>
    <t>Suraj</t>
  </si>
  <si>
    <t>S00864613</t>
  </si>
  <si>
    <t>Boyesen</t>
  </si>
  <si>
    <t>S00949504</t>
  </si>
  <si>
    <t>Hartshorne</t>
  </si>
  <si>
    <t>S00220454</t>
  </si>
  <si>
    <t>Mittleman</t>
  </si>
  <si>
    <t>Illeen</t>
  </si>
  <si>
    <t>S00949503</t>
  </si>
  <si>
    <t>S00526991</t>
  </si>
  <si>
    <t>Creola</t>
  </si>
  <si>
    <t>S00222771</t>
  </si>
  <si>
    <t>Antoine</t>
  </si>
  <si>
    <t>S00251744</t>
  </si>
  <si>
    <t>Audrick</t>
  </si>
  <si>
    <t>Ricki</t>
  </si>
  <si>
    <t>S00010343</t>
  </si>
  <si>
    <t>S00644219</t>
  </si>
  <si>
    <t>S00948907</t>
  </si>
  <si>
    <t>Brauning</t>
  </si>
  <si>
    <t>S00898910</t>
  </si>
  <si>
    <t>Ellifritt</t>
  </si>
  <si>
    <t>S00449126</t>
  </si>
  <si>
    <t>Brooker</t>
  </si>
  <si>
    <t>Wendell</t>
  </si>
  <si>
    <t>3S2740</t>
  </si>
  <si>
    <t>Philosophy - S</t>
  </si>
  <si>
    <t>S00050770</t>
  </si>
  <si>
    <t>Hitt</t>
  </si>
  <si>
    <t>3W2625</t>
  </si>
  <si>
    <t>Fire Technology - W</t>
  </si>
  <si>
    <t>S00856972</t>
  </si>
  <si>
    <t>Hourigan</t>
  </si>
  <si>
    <t>S00956559</t>
  </si>
  <si>
    <t>Muff</t>
  </si>
  <si>
    <t>S00593473</t>
  </si>
  <si>
    <t>Kasuboski</t>
  </si>
  <si>
    <t>S00040042</t>
  </si>
  <si>
    <t>S00953455</t>
  </si>
  <si>
    <t>Leasure</t>
  </si>
  <si>
    <t>S00923186</t>
  </si>
  <si>
    <t>Lowell</t>
  </si>
  <si>
    <t>S00921702</t>
  </si>
  <si>
    <t>S00412457</t>
  </si>
  <si>
    <t>Meimaris</t>
  </si>
  <si>
    <t>S00946093</t>
  </si>
  <si>
    <t>Rhoten</t>
  </si>
  <si>
    <t>Eulace</t>
  </si>
  <si>
    <t>S00070059</t>
  </si>
  <si>
    <t>S00330118</t>
  </si>
  <si>
    <t>Stotesbery</t>
  </si>
  <si>
    <t>S00886046</t>
  </si>
  <si>
    <t>Teichman</t>
  </si>
  <si>
    <t>S00444270</t>
  </si>
  <si>
    <t>Waugh</t>
  </si>
  <si>
    <t>Donya</t>
  </si>
  <si>
    <t>Lamil</t>
  </si>
  <si>
    <t>S00957664</t>
  </si>
  <si>
    <t>Wickley</t>
  </si>
  <si>
    <t>S00603913</t>
  </si>
  <si>
    <t>Wolken</t>
  </si>
  <si>
    <t>S00959619</t>
  </si>
  <si>
    <t>Terance</t>
  </si>
  <si>
    <t>S00322674</t>
  </si>
  <si>
    <t>Ella</t>
  </si>
  <si>
    <t>S00954902</t>
  </si>
  <si>
    <t>Belcher-Nelson</t>
  </si>
  <si>
    <t>S00953799</t>
  </si>
  <si>
    <t>Caprette</t>
  </si>
  <si>
    <t>S00015531</t>
  </si>
  <si>
    <t>Neeta</t>
  </si>
  <si>
    <t>Mathur</t>
  </si>
  <si>
    <t>S00258540</t>
  </si>
  <si>
    <t>S00317904</t>
  </si>
  <si>
    <t>Dzurilla</t>
  </si>
  <si>
    <t>S00136622</t>
  </si>
  <si>
    <t>Fegan</t>
  </si>
  <si>
    <t>S00921753</t>
  </si>
  <si>
    <t>Funai</t>
  </si>
  <si>
    <t>S00953513</t>
  </si>
  <si>
    <t>S00657432</t>
  </si>
  <si>
    <t>Glasener</t>
  </si>
  <si>
    <t>S00010336</t>
  </si>
  <si>
    <t>S00010429</t>
  </si>
  <si>
    <t>Slifka</t>
  </si>
  <si>
    <t>S00543196</t>
  </si>
  <si>
    <t>Spanakis</t>
  </si>
  <si>
    <t>S00378079</t>
  </si>
  <si>
    <t>2F4420</t>
  </si>
  <si>
    <t>Mailroom - W</t>
  </si>
  <si>
    <t>S00803532</t>
  </si>
  <si>
    <t>Kilmer</t>
  </si>
  <si>
    <t>Genevieve</t>
  </si>
  <si>
    <t>S00273537</t>
  </si>
  <si>
    <t>Lemons</t>
  </si>
  <si>
    <t>Johnnie</t>
  </si>
  <si>
    <t>S00009809</t>
  </si>
  <si>
    <t>Balford</t>
  </si>
  <si>
    <t>S00952408</t>
  </si>
  <si>
    <t>Estes</t>
  </si>
  <si>
    <t>Meghan</t>
  </si>
  <si>
    <t>S00010845</t>
  </si>
  <si>
    <t>Flury</t>
  </si>
  <si>
    <t>S00474999</t>
  </si>
  <si>
    <t>Huebler</t>
  </si>
  <si>
    <t>S00026521</t>
  </si>
  <si>
    <t>Laurenty</t>
  </si>
  <si>
    <t>S00010844</t>
  </si>
  <si>
    <t>Slovick</t>
  </si>
  <si>
    <t>S00953083</t>
  </si>
  <si>
    <t>Wachala</t>
  </si>
  <si>
    <t>S00543036</t>
  </si>
  <si>
    <t>Soto</t>
  </si>
  <si>
    <t>S00955453</t>
  </si>
  <si>
    <t>Tolmacheva</t>
  </si>
  <si>
    <t>Tatyana</t>
  </si>
  <si>
    <t>S00053354</t>
  </si>
  <si>
    <t>S00951879</t>
  </si>
  <si>
    <t>Joanie</t>
  </si>
  <si>
    <t>S00009711</t>
  </si>
  <si>
    <t>3W2575</t>
  </si>
  <si>
    <t>Crile Archives - W</t>
  </si>
  <si>
    <t>S00139906</t>
  </si>
  <si>
    <t>Boddy</t>
  </si>
  <si>
    <t>Doi</t>
  </si>
  <si>
    <t>S00022640</t>
  </si>
  <si>
    <t>S00311352</t>
  </si>
  <si>
    <t>Colovas</t>
  </si>
  <si>
    <t>S00250649</t>
  </si>
  <si>
    <t>Dembroski</t>
  </si>
  <si>
    <t>S00269394</t>
  </si>
  <si>
    <t>Dernar</t>
  </si>
  <si>
    <t>S00931264</t>
  </si>
  <si>
    <t>Djordjevich</t>
  </si>
  <si>
    <t>Nada</t>
  </si>
  <si>
    <t>S00617749</t>
  </si>
  <si>
    <t>Grospitch</t>
  </si>
  <si>
    <t>S00012000</t>
  </si>
  <si>
    <t>Hays</t>
  </si>
  <si>
    <t>S00010283</t>
  </si>
  <si>
    <t>S00031948</t>
  </si>
  <si>
    <t>S00889742</t>
  </si>
  <si>
    <t>Kanner</t>
  </si>
  <si>
    <t>S00088902</t>
  </si>
  <si>
    <t>Krupla</t>
  </si>
  <si>
    <t>S00053335</t>
  </si>
  <si>
    <t>Lowney</t>
  </si>
  <si>
    <t>Alberta</t>
  </si>
  <si>
    <t>S00435069</t>
  </si>
  <si>
    <t>Manocchio</t>
  </si>
  <si>
    <t>S00134202</t>
  </si>
  <si>
    <t>Merrifield</t>
  </si>
  <si>
    <t>S00514102</t>
  </si>
  <si>
    <t>Oatman</t>
  </si>
  <si>
    <t>S00033025</t>
  </si>
  <si>
    <t>Pendleton</t>
  </si>
  <si>
    <t>Febra</t>
  </si>
  <si>
    <t>S00063945</t>
  </si>
  <si>
    <t>Pflaum</t>
  </si>
  <si>
    <t>S00306178</t>
  </si>
  <si>
    <t>Pollard</t>
  </si>
  <si>
    <t>S00899539</t>
  </si>
  <si>
    <t>Rembert</t>
  </si>
  <si>
    <t>Delbert</t>
  </si>
  <si>
    <t>S00034072</t>
  </si>
  <si>
    <t>S00947953</t>
  </si>
  <si>
    <t>S00057661</t>
  </si>
  <si>
    <t>Sawyer</t>
  </si>
  <si>
    <t>S00013590</t>
  </si>
  <si>
    <t>S00919234</t>
  </si>
  <si>
    <t>Simna</t>
  </si>
  <si>
    <t>S00633200</t>
  </si>
  <si>
    <t>Simons</t>
  </si>
  <si>
    <t>Jeffery</t>
  </si>
  <si>
    <t>S00297461</t>
  </si>
  <si>
    <t>Dyonne</t>
  </si>
  <si>
    <t>S00137023</t>
  </si>
  <si>
    <t>Springer</t>
  </si>
  <si>
    <t>S00010772</t>
  </si>
  <si>
    <t>Burnley</t>
  </si>
  <si>
    <t>S00950202</t>
  </si>
  <si>
    <t>Franz</t>
  </si>
  <si>
    <t>1G1100</t>
  </si>
  <si>
    <t>Governmental Affrs &amp; Comm Outreach</t>
  </si>
  <si>
    <t>S00016128</t>
  </si>
  <si>
    <t>S00950977</t>
  </si>
  <si>
    <t>Stepanski</t>
  </si>
  <si>
    <t>S00951223</t>
  </si>
  <si>
    <t>S00038612</t>
  </si>
  <si>
    <t>S00023290</t>
  </si>
  <si>
    <t>Merrell</t>
  </si>
  <si>
    <t>S00589711</t>
  </si>
  <si>
    <t>Sterner</t>
  </si>
  <si>
    <t>S00428436</t>
  </si>
  <si>
    <t>Lanstrum</t>
  </si>
  <si>
    <t>S00061708</t>
  </si>
  <si>
    <t>S00054418</t>
  </si>
  <si>
    <t>Mezini</t>
  </si>
  <si>
    <t>Drini</t>
  </si>
  <si>
    <t>S00421056</t>
  </si>
  <si>
    <t>S00115583</t>
  </si>
  <si>
    <t>Kozak</t>
  </si>
  <si>
    <t>S00592532</t>
  </si>
  <si>
    <t>Poindexter</t>
  </si>
  <si>
    <t>S00928602</t>
  </si>
  <si>
    <t>Morganti</t>
  </si>
  <si>
    <t>S00685098</t>
  </si>
  <si>
    <t>S00022298</t>
  </si>
  <si>
    <t>Ellison</t>
  </si>
  <si>
    <t>S00661488</t>
  </si>
  <si>
    <t>Hine</t>
  </si>
  <si>
    <t>S00116850</t>
  </si>
  <si>
    <t>Kost</t>
  </si>
  <si>
    <t>S00948301</t>
  </si>
  <si>
    <t>Leitson</t>
  </si>
  <si>
    <t>S00926578</t>
  </si>
  <si>
    <t>S00887104</t>
  </si>
  <si>
    <t>Rezash</t>
  </si>
  <si>
    <t>S00307036</t>
  </si>
  <si>
    <t>Rozic</t>
  </si>
  <si>
    <t>S00080329</t>
  </si>
  <si>
    <t>Schafer</t>
  </si>
  <si>
    <t>S00357938</t>
  </si>
  <si>
    <t>Spatz</t>
  </si>
  <si>
    <t>S00946865</t>
  </si>
  <si>
    <t>S00729993</t>
  </si>
  <si>
    <t>Winters</t>
  </si>
  <si>
    <t>S00035425</t>
  </si>
  <si>
    <t>Beswick</t>
  </si>
  <si>
    <t>S00638664</t>
  </si>
  <si>
    <t>Buchter</t>
  </si>
  <si>
    <t>S00035181</t>
  </si>
  <si>
    <t>S00009913</t>
  </si>
  <si>
    <t>S00030015</t>
  </si>
  <si>
    <t>Shaun</t>
  </si>
  <si>
    <t>S00448314</t>
  </si>
  <si>
    <t>Farnsworth</t>
  </si>
  <si>
    <t>Afton</t>
  </si>
  <si>
    <t>S00434636</t>
  </si>
  <si>
    <t>Reinholz</t>
  </si>
  <si>
    <t>S00881247</t>
  </si>
  <si>
    <t>S00152072</t>
  </si>
  <si>
    <t>S00010813</t>
  </si>
  <si>
    <t>Goga</t>
  </si>
  <si>
    <t>S00643296</t>
  </si>
  <si>
    <t>Panza</t>
  </si>
  <si>
    <t>S00321989</t>
  </si>
  <si>
    <t>S00010406</t>
  </si>
  <si>
    <t>Hood</t>
  </si>
  <si>
    <t>Ruby</t>
  </si>
  <si>
    <t>S00195296</t>
  </si>
  <si>
    <t>S00045476</t>
  </si>
  <si>
    <t>S00945092</t>
  </si>
  <si>
    <t>Giju</t>
  </si>
  <si>
    <t>Ritika</t>
  </si>
  <si>
    <t>S00946220</t>
  </si>
  <si>
    <t>Wolferd</t>
  </si>
  <si>
    <t>S00204503</t>
  </si>
  <si>
    <t>Dodson</t>
  </si>
  <si>
    <t>Lamont</t>
  </si>
  <si>
    <t>S00246802</t>
  </si>
  <si>
    <t>Fenske</t>
  </si>
  <si>
    <t>S00200838</t>
  </si>
  <si>
    <t>Pietraroia</t>
  </si>
  <si>
    <t>S00474574</t>
  </si>
  <si>
    <t>Hradisky</t>
  </si>
  <si>
    <t>S00010303</t>
  </si>
  <si>
    <t>Kancler</t>
  </si>
  <si>
    <t>S00502242</t>
  </si>
  <si>
    <t>S00010099</t>
  </si>
  <si>
    <t>Stuart</t>
  </si>
  <si>
    <t>Glen</t>
  </si>
  <si>
    <t>S00935112</t>
  </si>
  <si>
    <t>Torres</t>
  </si>
  <si>
    <t>S00399641</t>
  </si>
  <si>
    <t>Zubek</t>
  </si>
  <si>
    <t>S00977869</t>
  </si>
  <si>
    <t>Wargo</t>
  </si>
  <si>
    <t>S00589519</t>
  </si>
  <si>
    <t>S00492995</t>
  </si>
  <si>
    <t>Lettus</t>
  </si>
  <si>
    <t>Dorothy</t>
  </si>
  <si>
    <t>S00685021</t>
  </si>
  <si>
    <t>Jerold</t>
  </si>
  <si>
    <t>S00713782</t>
  </si>
  <si>
    <t>Amato</t>
  </si>
  <si>
    <t>S00083622</t>
  </si>
  <si>
    <t>Caraballo</t>
  </si>
  <si>
    <t>Aris</t>
  </si>
  <si>
    <t>S00114906</t>
  </si>
  <si>
    <t>Remmie</t>
  </si>
  <si>
    <t>S00609002</t>
  </si>
  <si>
    <t>3E4500</t>
  </si>
  <si>
    <t>Theatre Management - E</t>
  </si>
  <si>
    <t>S00459809</t>
  </si>
  <si>
    <t>Funk</t>
  </si>
  <si>
    <t>S00028948</t>
  </si>
  <si>
    <t>Gloor</t>
  </si>
  <si>
    <t>Fred</t>
  </si>
  <si>
    <t>S00078799</t>
  </si>
  <si>
    <t>Jeffries</t>
  </si>
  <si>
    <t>S00547859</t>
  </si>
  <si>
    <t>S00370731</t>
  </si>
  <si>
    <t>Mokris</t>
  </si>
  <si>
    <t>S00435363</t>
  </si>
  <si>
    <t>Kyra</t>
  </si>
  <si>
    <t>S00929030</t>
  </si>
  <si>
    <t>Redrick</t>
  </si>
  <si>
    <t>Veda</t>
  </si>
  <si>
    <t>S00326722</t>
  </si>
  <si>
    <t>S00572688</t>
  </si>
  <si>
    <t>Blocker</t>
  </si>
  <si>
    <t>S00938748</t>
  </si>
  <si>
    <t>S00026579</t>
  </si>
  <si>
    <t>Berry Penny</t>
  </si>
  <si>
    <t>S00546225</t>
  </si>
  <si>
    <t>S00862096</t>
  </si>
  <si>
    <t>Peecook</t>
  </si>
  <si>
    <t>Kaytlynn</t>
  </si>
  <si>
    <t>S00142130</t>
  </si>
  <si>
    <t>Sirl</t>
  </si>
  <si>
    <t>S00854932</t>
  </si>
  <si>
    <t>Bunn</t>
  </si>
  <si>
    <t>S00035346</t>
  </si>
  <si>
    <t>Dorazio</t>
  </si>
  <si>
    <t>S00009743</t>
  </si>
  <si>
    <t>S00034575</t>
  </si>
  <si>
    <t>S00010262</t>
  </si>
  <si>
    <t>Shearer</t>
  </si>
  <si>
    <t>S00493321</t>
  </si>
  <si>
    <t>S00012732</t>
  </si>
  <si>
    <t>McKnight</t>
  </si>
  <si>
    <t>S00870647</t>
  </si>
  <si>
    <t>Nolte</t>
  </si>
  <si>
    <t>S00010360</t>
  </si>
  <si>
    <t>S00045372</t>
  </si>
  <si>
    <t>S00332905</t>
  </si>
  <si>
    <t>S00192922</t>
  </si>
  <si>
    <t>S00072133</t>
  </si>
  <si>
    <t>Kessler</t>
  </si>
  <si>
    <t>S00293355</t>
  </si>
  <si>
    <t>S00151659</t>
  </si>
  <si>
    <t>Cade</t>
  </si>
  <si>
    <t>S00935743</t>
  </si>
  <si>
    <t>Borders</t>
  </si>
  <si>
    <t>S00905191</t>
  </si>
  <si>
    <t>Paglin</t>
  </si>
  <si>
    <t>S00704355</t>
  </si>
  <si>
    <t>Briscoe</t>
  </si>
  <si>
    <t>S00241385</t>
  </si>
  <si>
    <t>Burden</t>
  </si>
  <si>
    <t>4W2520</t>
  </si>
  <si>
    <t>IMT/IST N/C</t>
  </si>
  <si>
    <t>S00933479</t>
  </si>
  <si>
    <t>S00732155</t>
  </si>
  <si>
    <t>Arelia</t>
  </si>
  <si>
    <t>S00482029</t>
  </si>
  <si>
    <t>S00045640</t>
  </si>
  <si>
    <t>Kasza</t>
  </si>
  <si>
    <t>3W2335</t>
  </si>
  <si>
    <t>Emergency Medical Technology - W</t>
  </si>
  <si>
    <t>S00054816</t>
  </si>
  <si>
    <t>Moreland</t>
  </si>
  <si>
    <t>Alliston</t>
  </si>
  <si>
    <t>S00010921</t>
  </si>
  <si>
    <t>Wynne</t>
  </si>
  <si>
    <t>S00933904</t>
  </si>
  <si>
    <t>Nardecchia</t>
  </si>
  <si>
    <t>S00014581</t>
  </si>
  <si>
    <t>Beargie</t>
  </si>
  <si>
    <t>S00933537</t>
  </si>
  <si>
    <t>S00342793</t>
  </si>
  <si>
    <t>Coyne</t>
  </si>
  <si>
    <t>S00643391</t>
  </si>
  <si>
    <t>Senyitko</t>
  </si>
  <si>
    <t>S00023784</t>
  </si>
  <si>
    <t>S00223387</t>
  </si>
  <si>
    <t>Bammerlin</t>
  </si>
  <si>
    <t>S00115927</t>
  </si>
  <si>
    <t>Bass</t>
  </si>
  <si>
    <t>S00587433</t>
  </si>
  <si>
    <t>S00890555</t>
  </si>
  <si>
    <t>S00441878</t>
  </si>
  <si>
    <t>Cellars</t>
  </si>
  <si>
    <t>S00243434</t>
  </si>
  <si>
    <t>Cocchiarale</t>
  </si>
  <si>
    <t>Guy</t>
  </si>
  <si>
    <t>S00451575</t>
  </si>
  <si>
    <t>Csicsila</t>
  </si>
  <si>
    <t>Mell</t>
  </si>
  <si>
    <t>S00620195</t>
  </si>
  <si>
    <t>Ditlevson</t>
  </si>
  <si>
    <t>S00231119</t>
  </si>
  <si>
    <t>S00553042</t>
  </si>
  <si>
    <t>S00463605</t>
  </si>
  <si>
    <t>N.</t>
  </si>
  <si>
    <t>S00426611</t>
  </si>
  <si>
    <t>Hageman</t>
  </si>
  <si>
    <t>S00044248</t>
  </si>
  <si>
    <t>Harting</t>
  </si>
  <si>
    <t>S00473520</t>
  </si>
  <si>
    <t>Homolya</t>
  </si>
  <si>
    <t>S00115055</t>
  </si>
  <si>
    <t>Huston</t>
  </si>
  <si>
    <t>S00114849</t>
  </si>
  <si>
    <t>Kearney</t>
  </si>
  <si>
    <t>S00133214</t>
  </si>
  <si>
    <t>Kelberg</t>
  </si>
  <si>
    <t>Andre</t>
  </si>
  <si>
    <t>S00485540</t>
  </si>
  <si>
    <t>S00116052</t>
  </si>
  <si>
    <t>Krivda</t>
  </si>
  <si>
    <t>Ernie</t>
  </si>
  <si>
    <t>S00933125</t>
  </si>
  <si>
    <t>S00270299</t>
  </si>
  <si>
    <t>S00745990</t>
  </si>
  <si>
    <t>May</t>
  </si>
  <si>
    <t>S00032377</t>
  </si>
  <si>
    <t>S00412249</t>
  </si>
  <si>
    <t>Szabo</t>
  </si>
  <si>
    <t>S00010515</t>
  </si>
  <si>
    <t>Hussey</t>
  </si>
  <si>
    <t>Yannoula</t>
  </si>
  <si>
    <t>S00696198</t>
  </si>
  <si>
    <t>S00245886</t>
  </si>
  <si>
    <t>Tyrone</t>
  </si>
  <si>
    <t>S00436417</t>
  </si>
  <si>
    <t>Beddard</t>
  </si>
  <si>
    <t>Kianna</t>
  </si>
  <si>
    <t>Mone'</t>
  </si>
  <si>
    <t>S00009637</t>
  </si>
  <si>
    <t>Bingham</t>
  </si>
  <si>
    <t>S00912048</t>
  </si>
  <si>
    <t>Musselman</t>
  </si>
  <si>
    <t>S00905197</t>
  </si>
  <si>
    <t>Agarwal</t>
  </si>
  <si>
    <t>Anju</t>
  </si>
  <si>
    <t>S00854790</t>
  </si>
  <si>
    <t>S00931546</t>
  </si>
  <si>
    <t>Aseelah</t>
  </si>
  <si>
    <t>S00401432</t>
  </si>
  <si>
    <t>S00615699</t>
  </si>
  <si>
    <t>Balawender</t>
  </si>
  <si>
    <t>S00862049</t>
  </si>
  <si>
    <t>Bandyopadhyay</t>
  </si>
  <si>
    <t>Smarajit</t>
  </si>
  <si>
    <t>S00927460</t>
  </si>
  <si>
    <t>Barno</t>
  </si>
  <si>
    <t>S00117493</t>
  </si>
  <si>
    <t>S00930047</t>
  </si>
  <si>
    <t>Bly</t>
  </si>
  <si>
    <t>S00078198</t>
  </si>
  <si>
    <t>Bullock</t>
  </si>
  <si>
    <t>S00931555</t>
  </si>
  <si>
    <t>Devon</t>
  </si>
  <si>
    <t>S00340971</t>
  </si>
  <si>
    <t>Crayton</t>
  </si>
  <si>
    <t>Jermaine</t>
  </si>
  <si>
    <t>S00573368</t>
  </si>
  <si>
    <t>Di Pietro</t>
  </si>
  <si>
    <t>S00554943</t>
  </si>
  <si>
    <t>Flagg</t>
  </si>
  <si>
    <t>Gregg</t>
  </si>
  <si>
    <t>S00228203</t>
  </si>
  <si>
    <t>Fondran</t>
  </si>
  <si>
    <t>S00850244</t>
  </si>
  <si>
    <t>Friel</t>
  </si>
  <si>
    <t>S00199902</t>
  </si>
  <si>
    <t>Garner</t>
  </si>
  <si>
    <t>Gladys</t>
  </si>
  <si>
    <t>S00018353</t>
  </si>
  <si>
    <t>Hancock</t>
  </si>
  <si>
    <t>S00749259</t>
  </si>
  <si>
    <t>Shafron</t>
  </si>
  <si>
    <t>S00433330</t>
  </si>
  <si>
    <t>Howard</t>
  </si>
  <si>
    <t>Dierdra</t>
  </si>
  <si>
    <t>S00427058</t>
  </si>
  <si>
    <t>Kaffen</t>
  </si>
  <si>
    <t>S00485892</t>
  </si>
  <si>
    <t>Kliszczuk-Smolilo</t>
  </si>
  <si>
    <t>Natalia</t>
  </si>
  <si>
    <t>S00929091</t>
  </si>
  <si>
    <t>Kuri</t>
  </si>
  <si>
    <t>S00723908</t>
  </si>
  <si>
    <t>Lamb</t>
  </si>
  <si>
    <t>S00497563</t>
  </si>
  <si>
    <t>Maldonado</t>
  </si>
  <si>
    <t>S00078547</t>
  </si>
  <si>
    <t>Matis</t>
  </si>
  <si>
    <t>S00404466</t>
  </si>
  <si>
    <t>Miltner</t>
  </si>
  <si>
    <t>S00930548</t>
  </si>
  <si>
    <t>Alla</t>
  </si>
  <si>
    <t>U</t>
  </si>
  <si>
    <t>S00509586</t>
  </si>
  <si>
    <t>S00114763</t>
  </si>
  <si>
    <t>Navran</t>
  </si>
  <si>
    <t>Alireza</t>
  </si>
  <si>
    <t>S00930341</t>
  </si>
  <si>
    <t>Newton</t>
  </si>
  <si>
    <t>Arden</t>
  </si>
  <si>
    <t>S00927662</t>
  </si>
  <si>
    <t>Oleskiewicz</t>
  </si>
  <si>
    <t>S00005964</t>
  </si>
  <si>
    <t>S00221626</t>
  </si>
  <si>
    <t>Paschal</t>
  </si>
  <si>
    <t>S00572523</t>
  </si>
  <si>
    <t>Rackl-Pierce</t>
  </si>
  <si>
    <t>S00837936</t>
  </si>
  <si>
    <t>Resnick</t>
  </si>
  <si>
    <t>S00927617</t>
  </si>
  <si>
    <t>Roumani</t>
  </si>
  <si>
    <t>Yaman</t>
  </si>
  <si>
    <t>S00009783</t>
  </si>
  <si>
    <t>Sasala</t>
  </si>
  <si>
    <t>3S2460</t>
  </si>
  <si>
    <t>Speech Communications - S</t>
  </si>
  <si>
    <t>S00010577</t>
  </si>
  <si>
    <t>Slobin</t>
  </si>
  <si>
    <t>Neil</t>
  </si>
  <si>
    <t>S.</t>
  </si>
  <si>
    <t>S00034693</t>
  </si>
  <si>
    <t>Steeber</t>
  </si>
  <si>
    <t>Dawson</t>
  </si>
  <si>
    <t>S00929714</t>
  </si>
  <si>
    <t>S00334596</t>
  </si>
  <si>
    <t>Vanco</t>
  </si>
  <si>
    <t>S00219423</t>
  </si>
  <si>
    <t>Wanyerka</t>
  </si>
  <si>
    <t>S00931841</t>
  </si>
  <si>
    <t>Weeks</t>
  </si>
  <si>
    <t>Kyla</t>
  </si>
  <si>
    <t>S00035907</t>
  </si>
  <si>
    <t>S00930762</t>
  </si>
  <si>
    <t>S00569350</t>
  </si>
  <si>
    <t>Wood</t>
  </si>
  <si>
    <t>Bertrice</t>
  </si>
  <si>
    <t>S00067622</t>
  </si>
  <si>
    <t>S00020692</t>
  </si>
  <si>
    <t>Zambetti</t>
  </si>
  <si>
    <t>S00138713</t>
  </si>
  <si>
    <t>Scarfo</t>
  </si>
  <si>
    <t>S00467319</t>
  </si>
  <si>
    <t>Hamm</t>
  </si>
  <si>
    <t>Johnny</t>
  </si>
  <si>
    <t>S00302198</t>
  </si>
  <si>
    <t>Bredenbeck</t>
  </si>
  <si>
    <t>S00930455</t>
  </si>
  <si>
    <t>Culley</t>
  </si>
  <si>
    <t>Sage</t>
  </si>
  <si>
    <t>S00868175</t>
  </si>
  <si>
    <t>Meaker</t>
  </si>
  <si>
    <t>MaryAnn</t>
  </si>
  <si>
    <t>S00532740</t>
  </si>
  <si>
    <t>S00077510</t>
  </si>
  <si>
    <t>S00268795</t>
  </si>
  <si>
    <t>Grafton</t>
  </si>
  <si>
    <t>S00928335</t>
  </si>
  <si>
    <t>Manella</t>
  </si>
  <si>
    <t>S00024251</t>
  </si>
  <si>
    <t>Matlock</t>
  </si>
  <si>
    <t>S00397650</t>
  </si>
  <si>
    <t>Neylon</t>
  </si>
  <si>
    <t>S00855534</t>
  </si>
  <si>
    <t>Tuljak</t>
  </si>
  <si>
    <t>Marijan</t>
  </si>
  <si>
    <t>S00927456</t>
  </si>
  <si>
    <t>Boshela</t>
  </si>
  <si>
    <t>S00329034</t>
  </si>
  <si>
    <t>S00928960</t>
  </si>
  <si>
    <t>Gierlach</t>
  </si>
  <si>
    <t>S00015981</t>
  </si>
  <si>
    <t>Mary Ann</t>
  </si>
  <si>
    <t>S00485636</t>
  </si>
  <si>
    <t>S00284501</t>
  </si>
  <si>
    <t>McGee</t>
  </si>
  <si>
    <t>S00583275</t>
  </si>
  <si>
    <t>Shenise</t>
  </si>
  <si>
    <t>S00862527</t>
  </si>
  <si>
    <t>S00926626</t>
  </si>
  <si>
    <t>Doryon</t>
  </si>
  <si>
    <t>S00027789</t>
  </si>
  <si>
    <t>S00924802</t>
  </si>
  <si>
    <t>3W4350</t>
  </si>
  <si>
    <t>Media Arts Study - W</t>
  </si>
  <si>
    <t>S00925640</t>
  </si>
  <si>
    <t>Kinn</t>
  </si>
  <si>
    <t>S00009782</t>
  </si>
  <si>
    <t>Dodds</t>
  </si>
  <si>
    <t>S00023855</t>
  </si>
  <si>
    <t>4C2160</t>
  </si>
  <si>
    <t>Green Acad Ctr for Sustainability</t>
  </si>
  <si>
    <t>S00429911</t>
  </si>
  <si>
    <t>Kemer</t>
  </si>
  <si>
    <t>S00644479</t>
  </si>
  <si>
    <t>S00475475</t>
  </si>
  <si>
    <t>S00188038</t>
  </si>
  <si>
    <t>S00372214</t>
  </si>
  <si>
    <t>S00679910</t>
  </si>
  <si>
    <t>Bomani</t>
  </si>
  <si>
    <t>Bilal</t>
  </si>
  <si>
    <t>Mark McDowell</t>
  </si>
  <si>
    <t>S00010453</t>
  </si>
  <si>
    <t>Borovicka</t>
  </si>
  <si>
    <t>S00443962</t>
  </si>
  <si>
    <t>Figueroa</t>
  </si>
  <si>
    <t>Maribel</t>
  </si>
  <si>
    <t>S00243942</t>
  </si>
  <si>
    <t>S00877827</t>
  </si>
  <si>
    <t>Haenisch</t>
  </si>
  <si>
    <t>S00479194</t>
  </si>
  <si>
    <t>Ellanoise</t>
  </si>
  <si>
    <t>S00419169</t>
  </si>
  <si>
    <t>Jolly</t>
  </si>
  <si>
    <t>S00082699</t>
  </si>
  <si>
    <t>Krenzel</t>
  </si>
  <si>
    <t>S00923749</t>
  </si>
  <si>
    <t>Mlaiki</t>
  </si>
  <si>
    <t>Nabil</t>
  </si>
  <si>
    <t>S00383853</t>
  </si>
  <si>
    <t>Youngeberg-Fox</t>
  </si>
  <si>
    <t>S00836865</t>
  </si>
  <si>
    <t>Rashid</t>
  </si>
  <si>
    <t>S00935797</t>
  </si>
  <si>
    <t>Coppenhaver</t>
  </si>
  <si>
    <t>4C2170</t>
  </si>
  <si>
    <t>Key Entrepreneur</t>
  </si>
  <si>
    <t>S00923772</t>
  </si>
  <si>
    <t>Downs</t>
  </si>
  <si>
    <t>Bianca</t>
  </si>
  <si>
    <t>S00150766</t>
  </si>
  <si>
    <t>Huff</t>
  </si>
  <si>
    <t>Elliott</t>
  </si>
  <si>
    <t>Monroe</t>
  </si>
  <si>
    <t>S00438321</t>
  </si>
  <si>
    <t>Levell</t>
  </si>
  <si>
    <t>Tomika</t>
  </si>
  <si>
    <t>S00878189</t>
  </si>
  <si>
    <t>Pyles-Hearst</t>
  </si>
  <si>
    <t>S00910827</t>
  </si>
  <si>
    <t>Adams-Case</t>
  </si>
  <si>
    <t>S00115092</t>
  </si>
  <si>
    <t>Fitzmaurice</t>
  </si>
  <si>
    <t>S00823750</t>
  </si>
  <si>
    <t>Petschek</t>
  </si>
  <si>
    <t>S00013909</t>
  </si>
  <si>
    <t>Stoudenmire</t>
  </si>
  <si>
    <t>Lance</t>
  </si>
  <si>
    <t>S00185285</t>
  </si>
  <si>
    <t>Aytay</t>
  </si>
  <si>
    <t>S00453120</t>
  </si>
  <si>
    <t>Diederich</t>
  </si>
  <si>
    <t>S00288843</t>
  </si>
  <si>
    <t>Dorin</t>
  </si>
  <si>
    <t>S00162784</t>
  </si>
  <si>
    <t>Dorr-Guiser</t>
  </si>
  <si>
    <t>Brigitte</t>
  </si>
  <si>
    <t>S00730067</t>
  </si>
  <si>
    <t>Evers</t>
  </si>
  <si>
    <t>S00313306</t>
  </si>
  <si>
    <t>Hinkle</t>
  </si>
  <si>
    <t>S00564416</t>
  </si>
  <si>
    <t>Krejci</t>
  </si>
  <si>
    <t>S00056787</t>
  </si>
  <si>
    <t>Reichheld</t>
  </si>
  <si>
    <t>S00531744</t>
  </si>
  <si>
    <t>Rutherford</t>
  </si>
  <si>
    <t>S00353732</t>
  </si>
  <si>
    <t>Chrisopulos</t>
  </si>
  <si>
    <t>S00305706</t>
  </si>
  <si>
    <t>Corrigan</t>
  </si>
  <si>
    <t>S00174919</t>
  </si>
  <si>
    <t>S00326380</t>
  </si>
  <si>
    <t>Dockery</t>
  </si>
  <si>
    <t>S00454823</t>
  </si>
  <si>
    <t>Eberhardt</t>
  </si>
  <si>
    <t>Erwin</t>
  </si>
  <si>
    <t>S00787075</t>
  </si>
  <si>
    <t>S00477649</t>
  </si>
  <si>
    <t>S00018927</t>
  </si>
  <si>
    <t>Johnson-Whitt</t>
  </si>
  <si>
    <t>Eugenia</t>
  </si>
  <si>
    <t>S00483916</t>
  </si>
  <si>
    <t>Kepler</t>
  </si>
  <si>
    <t>S00208342</t>
  </si>
  <si>
    <t>Kortan</t>
  </si>
  <si>
    <t>S00027555</t>
  </si>
  <si>
    <t>Kubincanek</t>
  </si>
  <si>
    <t>S00061439</t>
  </si>
  <si>
    <t>S00327577</t>
  </si>
  <si>
    <t>Kwan</t>
  </si>
  <si>
    <t>S00922935</t>
  </si>
  <si>
    <t>S00429333</t>
  </si>
  <si>
    <t>McGill</t>
  </si>
  <si>
    <t>S00021878</t>
  </si>
  <si>
    <t>Watts</t>
  </si>
  <si>
    <t>S00099429</t>
  </si>
  <si>
    <t>Sahley</t>
  </si>
  <si>
    <t>S00544112</t>
  </si>
  <si>
    <t>Stadul</t>
  </si>
  <si>
    <t>S00922341</t>
  </si>
  <si>
    <t>S00028264</t>
  </si>
  <si>
    <t>Su-Jane</t>
  </si>
  <si>
    <t>S00922338</t>
  </si>
  <si>
    <t>Draper</t>
  </si>
  <si>
    <t>S00105312</t>
  </si>
  <si>
    <t>McCullough</t>
  </si>
  <si>
    <t>Henrietta</t>
  </si>
  <si>
    <t>S00237284</t>
  </si>
  <si>
    <t>S00749146</t>
  </si>
  <si>
    <t>Vitko</t>
  </si>
  <si>
    <t>S00115510</t>
  </si>
  <si>
    <t>Brayer</t>
  </si>
  <si>
    <t>S00109149</t>
  </si>
  <si>
    <t>Taunya</t>
  </si>
  <si>
    <t>S00704957</t>
  </si>
  <si>
    <t>Camilo</t>
  </si>
  <si>
    <t>S00561021</t>
  </si>
  <si>
    <t>Kamps</t>
  </si>
  <si>
    <t>S00688181</t>
  </si>
  <si>
    <t>LaRiccia-Grant</t>
  </si>
  <si>
    <t>S00093024</t>
  </si>
  <si>
    <t>Solotko</t>
  </si>
  <si>
    <t>S00871754</t>
  </si>
  <si>
    <t>Voronyuk</t>
  </si>
  <si>
    <t>Yevhen</t>
  </si>
  <si>
    <t>S00621849</t>
  </si>
  <si>
    <t>S00922852</t>
  </si>
  <si>
    <t>Bartel</t>
  </si>
  <si>
    <t>S00036465</t>
  </si>
  <si>
    <t>Bess</t>
  </si>
  <si>
    <t>Nakia</t>
  </si>
  <si>
    <t>S00921537</t>
  </si>
  <si>
    <t>Brokaw</t>
  </si>
  <si>
    <t>S00702506</t>
  </si>
  <si>
    <t>Capitanova</t>
  </si>
  <si>
    <t>Marina</t>
  </si>
  <si>
    <t>S00921251</t>
  </si>
  <si>
    <t>Caramela-Miller</t>
  </si>
  <si>
    <t>S00310421</t>
  </si>
  <si>
    <t>Comodeca</t>
  </si>
  <si>
    <t>S00927584</t>
  </si>
  <si>
    <t>Corteville</t>
  </si>
  <si>
    <t>S00920904</t>
  </si>
  <si>
    <t>S00498016</t>
  </si>
  <si>
    <t>Erossy</t>
  </si>
  <si>
    <t>S00567906</t>
  </si>
  <si>
    <t>Ferguson-Pryor</t>
  </si>
  <si>
    <t>Angelina</t>
  </si>
  <si>
    <t>S00924375</t>
  </si>
  <si>
    <t>Goduni</t>
  </si>
  <si>
    <t>Artur</t>
  </si>
  <si>
    <t>S00031739</t>
  </si>
  <si>
    <t>S00599407</t>
  </si>
  <si>
    <t>Grinshpun</t>
  </si>
  <si>
    <t>S00922851</t>
  </si>
  <si>
    <t>Guglielmino</t>
  </si>
  <si>
    <t>S00921390</t>
  </si>
  <si>
    <t>Hastings</t>
  </si>
  <si>
    <t>S00922160</t>
  </si>
  <si>
    <t>S00917707</t>
  </si>
  <si>
    <t>S00472190</t>
  </si>
  <si>
    <t>S00919983</t>
  </si>
  <si>
    <t>Hochberg</t>
  </si>
  <si>
    <t>S00050925</t>
  </si>
  <si>
    <t>Hopkins</t>
  </si>
  <si>
    <t>Mareesa</t>
  </si>
  <si>
    <t>Tenise</t>
  </si>
  <si>
    <t>S00377174</t>
  </si>
  <si>
    <t>Horschke</t>
  </si>
  <si>
    <t>Arnoul</t>
  </si>
  <si>
    <t>S00707794</t>
  </si>
  <si>
    <t>Fatimah</t>
  </si>
  <si>
    <t>S00076509</t>
  </si>
  <si>
    <t>Jakovlic</t>
  </si>
  <si>
    <t>S00062489</t>
  </si>
  <si>
    <t>Janecek</t>
  </si>
  <si>
    <t>Jitka</t>
  </si>
  <si>
    <t>S00922154</t>
  </si>
  <si>
    <t>S00726266</t>
  </si>
  <si>
    <t>Krueger</t>
  </si>
  <si>
    <t>S00374482</t>
  </si>
  <si>
    <t>Kunzler</t>
  </si>
  <si>
    <t>S00492692</t>
  </si>
  <si>
    <t>S00923819</t>
  </si>
  <si>
    <t>Leska</t>
  </si>
  <si>
    <t>S00920353</t>
  </si>
  <si>
    <t>Lubbers</t>
  </si>
  <si>
    <t>S00497502</t>
  </si>
  <si>
    <t>Makuszewski</t>
  </si>
  <si>
    <t>Boguslawa</t>
  </si>
  <si>
    <t>S00786293</t>
  </si>
  <si>
    <t>Manos</t>
  </si>
  <si>
    <t>S00855606</t>
  </si>
  <si>
    <t>Ivona</t>
  </si>
  <si>
    <t>S00920562</t>
  </si>
  <si>
    <t>S00589697</t>
  </si>
  <si>
    <t>Meacher</t>
  </si>
  <si>
    <t>S00921294</t>
  </si>
  <si>
    <t>Meister</t>
  </si>
  <si>
    <t>S00920661</t>
  </si>
  <si>
    <t>Mesfin</t>
  </si>
  <si>
    <t>Melaku</t>
  </si>
  <si>
    <t>S00920969</t>
  </si>
  <si>
    <t>Morrow</t>
  </si>
  <si>
    <t>Roxana</t>
  </si>
  <si>
    <t>S00414792</t>
  </si>
  <si>
    <t>Stefan</t>
  </si>
  <si>
    <t>S00638549</t>
  </si>
  <si>
    <t>Muc</t>
  </si>
  <si>
    <t>S00921769</t>
  </si>
  <si>
    <t>Nickoson</t>
  </si>
  <si>
    <t>S00055463</t>
  </si>
  <si>
    <t>Offenberger</t>
  </si>
  <si>
    <t>S00922853</t>
  </si>
  <si>
    <t>Pehmoeller</t>
  </si>
  <si>
    <t>S00019918</t>
  </si>
  <si>
    <t>Pichkar</t>
  </si>
  <si>
    <t>Zina</t>
  </si>
  <si>
    <t>S00009990</t>
  </si>
  <si>
    <t>Presley</t>
  </si>
  <si>
    <t>S00923222</t>
  </si>
  <si>
    <t>S00439013</t>
  </si>
  <si>
    <t>S00920136</t>
  </si>
  <si>
    <t>Romano</t>
  </si>
  <si>
    <t>S00619999</t>
  </si>
  <si>
    <t>S00639460</t>
  </si>
  <si>
    <t>S00922854</t>
  </si>
  <si>
    <t>Sivagurunathan</t>
  </si>
  <si>
    <t>S00923615</t>
  </si>
  <si>
    <t>S00165782</t>
  </si>
  <si>
    <t>Solarz</t>
  </si>
  <si>
    <t>S00922593</t>
  </si>
  <si>
    <t>Sroub</t>
  </si>
  <si>
    <t>S00921409</t>
  </si>
  <si>
    <t>Stoffer</t>
  </si>
  <si>
    <t>S00930157</t>
  </si>
  <si>
    <t>Toner</t>
  </si>
  <si>
    <t>S00920974</t>
  </si>
  <si>
    <t>Triplett</t>
  </si>
  <si>
    <t>3M2230</t>
  </si>
  <si>
    <t>Economics - M</t>
  </si>
  <si>
    <t>S00117048</t>
  </si>
  <si>
    <t>Ubaldi</t>
  </si>
  <si>
    <t>Augustine</t>
  </si>
  <si>
    <t>S00009831</t>
  </si>
  <si>
    <t>Venesile</t>
  </si>
  <si>
    <t>S00715577</t>
  </si>
  <si>
    <t>Vernier</t>
  </si>
  <si>
    <t>S00856676</t>
  </si>
  <si>
    <t>Noah</t>
  </si>
  <si>
    <t>S00921437</t>
  </si>
  <si>
    <t>Yanof</t>
  </si>
  <si>
    <t>S00264760</t>
  </si>
  <si>
    <t>Georgette</t>
  </si>
  <si>
    <t>S00921572</t>
  </si>
  <si>
    <t>Maisto</t>
  </si>
  <si>
    <t>S00889544</t>
  </si>
  <si>
    <t>Dice</t>
  </si>
  <si>
    <t>Kathie</t>
  </si>
  <si>
    <t>S00921496</t>
  </si>
  <si>
    <t>Ladner-Mathis</t>
  </si>
  <si>
    <t>Jocelyn</t>
  </si>
  <si>
    <t>S00127999</t>
  </si>
  <si>
    <t>S00141274</t>
  </si>
  <si>
    <t>Zeman</t>
  </si>
  <si>
    <t>S00921030</t>
  </si>
  <si>
    <t>Dull</t>
  </si>
  <si>
    <t>S00056804</t>
  </si>
  <si>
    <t>Klar</t>
  </si>
  <si>
    <t>S00920873</t>
  </si>
  <si>
    <t>Bonsignore</t>
  </si>
  <si>
    <t>S00914060</t>
  </si>
  <si>
    <t>Ezerskis</t>
  </si>
  <si>
    <t>S00034779</t>
  </si>
  <si>
    <t>Janke</t>
  </si>
  <si>
    <t>S00914710</t>
  </si>
  <si>
    <t>Lonjak</t>
  </si>
  <si>
    <t>S00920588</t>
  </si>
  <si>
    <t>Mukhopadhyay</t>
  </si>
  <si>
    <t>Durba</t>
  </si>
  <si>
    <t>S00825150</t>
  </si>
  <si>
    <t>Ongchangco</t>
  </si>
  <si>
    <t>S00908000</t>
  </si>
  <si>
    <t>Popovich</t>
  </si>
  <si>
    <t>S00351618</t>
  </si>
  <si>
    <t>S00429906</t>
  </si>
  <si>
    <t>S00753975</t>
  </si>
  <si>
    <t>Knazek</t>
  </si>
  <si>
    <t>S00411790</t>
  </si>
  <si>
    <t>Paalman</t>
  </si>
  <si>
    <t>S00537224</t>
  </si>
  <si>
    <t>Shade</t>
  </si>
  <si>
    <t>S00371544</t>
  </si>
  <si>
    <t>S00062874</t>
  </si>
  <si>
    <t>S00035312</t>
  </si>
  <si>
    <t>Belcher</t>
  </si>
  <si>
    <t>Jeron</t>
  </si>
  <si>
    <t>S00623274</t>
  </si>
  <si>
    <t>S00351422</t>
  </si>
  <si>
    <t>S00048920</t>
  </si>
  <si>
    <t>Eisenhardt</t>
  </si>
  <si>
    <t>Brand</t>
  </si>
  <si>
    <t>S00430949</t>
  </si>
  <si>
    <t>S00115329</t>
  </si>
  <si>
    <t>G.</t>
  </si>
  <si>
    <t>S00433937</t>
  </si>
  <si>
    <t>Gamiere</t>
  </si>
  <si>
    <t>S00406734</t>
  </si>
  <si>
    <t>Heffner</t>
  </si>
  <si>
    <t>M.</t>
  </si>
  <si>
    <t>S00359416</t>
  </si>
  <si>
    <t>Higginbotham</t>
  </si>
  <si>
    <t>S00619429</t>
  </si>
  <si>
    <t>S00446574</t>
  </si>
  <si>
    <t>Komara</t>
  </si>
  <si>
    <t>S00711091</t>
  </si>
  <si>
    <t>S00702821</t>
  </si>
  <si>
    <t>Mericsko</t>
  </si>
  <si>
    <t>S00300918</t>
  </si>
  <si>
    <t>Michalak</t>
  </si>
  <si>
    <t>John Paul</t>
  </si>
  <si>
    <t>S00116153</t>
  </si>
  <si>
    <t>S00913344</t>
  </si>
  <si>
    <t>Monath</t>
  </si>
  <si>
    <t>S00015017</t>
  </si>
  <si>
    <t>Muren</t>
  </si>
  <si>
    <t>S00115505</t>
  </si>
  <si>
    <t>S00115038</t>
  </si>
  <si>
    <t>S00057264</t>
  </si>
  <si>
    <t>Rosewicz</t>
  </si>
  <si>
    <t>S00864586</t>
  </si>
  <si>
    <t>S00800493</t>
  </si>
  <si>
    <t>Siler</t>
  </si>
  <si>
    <t>S00058371</t>
  </si>
  <si>
    <t>Skowronski</t>
  </si>
  <si>
    <t>S00114769</t>
  </si>
  <si>
    <t>Stoner-Richardson</t>
  </si>
  <si>
    <t>S00333919</t>
  </si>
  <si>
    <t>Taras</t>
  </si>
  <si>
    <t>S00921212</t>
  </si>
  <si>
    <t>Tatalovic</t>
  </si>
  <si>
    <t>Branislav</t>
  </si>
  <si>
    <t>S00152493</t>
  </si>
  <si>
    <t>Weisblatt</t>
  </si>
  <si>
    <t>S00830929</t>
  </si>
  <si>
    <t>Yunker</t>
  </si>
  <si>
    <t>Anne Marie</t>
  </si>
  <si>
    <t>S00676553</t>
  </si>
  <si>
    <t>Betz</t>
  </si>
  <si>
    <t>S00676550</t>
  </si>
  <si>
    <t>Alisa</t>
  </si>
  <si>
    <t>S00909073</t>
  </si>
  <si>
    <t>Emmett</t>
  </si>
  <si>
    <t>S00887146</t>
  </si>
  <si>
    <t>Stypinski</t>
  </si>
  <si>
    <t>S00032287</t>
  </si>
  <si>
    <t>Chance</t>
  </si>
  <si>
    <t>S00913278</t>
  </si>
  <si>
    <t>Hiley</t>
  </si>
  <si>
    <t>S00738381</t>
  </si>
  <si>
    <t>Jahami</t>
  </si>
  <si>
    <t>Yasser</t>
  </si>
  <si>
    <t>S00920277</t>
  </si>
  <si>
    <t>Perkins</t>
  </si>
  <si>
    <t>S00012704</t>
  </si>
  <si>
    <t>Vild</t>
  </si>
  <si>
    <t>S00124008</t>
  </si>
  <si>
    <t>Weisfeld</t>
  </si>
  <si>
    <t>S00803730</t>
  </si>
  <si>
    <t>S00918352</t>
  </si>
  <si>
    <t>Pelhan</t>
  </si>
  <si>
    <t>S00107848</t>
  </si>
  <si>
    <t>S00468053</t>
  </si>
  <si>
    <t>Hare</t>
  </si>
  <si>
    <t>S00917061</t>
  </si>
  <si>
    <t>Hoenig</t>
  </si>
  <si>
    <t>S00479970</t>
  </si>
  <si>
    <t>S00543940</t>
  </si>
  <si>
    <t>Sray</t>
  </si>
  <si>
    <t>Jewel</t>
  </si>
  <si>
    <t>S00914850</t>
  </si>
  <si>
    <t>Vander Weerdt</t>
  </si>
  <si>
    <t>S00499107</t>
  </si>
  <si>
    <t>Mohline</t>
  </si>
  <si>
    <t>S00010079</t>
  </si>
  <si>
    <t>S00896334</t>
  </si>
  <si>
    <t>Bucey</t>
  </si>
  <si>
    <t>S00040222</t>
  </si>
  <si>
    <t>Chaye</t>
  </si>
  <si>
    <t>S00024611</t>
  </si>
  <si>
    <t>Carmellia</t>
  </si>
  <si>
    <t>S00084244</t>
  </si>
  <si>
    <t>3M3915</t>
  </si>
  <si>
    <t>Basketball - M</t>
  </si>
  <si>
    <t>S00115823</t>
  </si>
  <si>
    <t>Garrity</t>
  </si>
  <si>
    <t>S00083872</t>
  </si>
  <si>
    <t>Kruth</t>
  </si>
  <si>
    <t>PT Non Union Eligible</t>
  </si>
  <si>
    <t>S00188031</t>
  </si>
  <si>
    <t>Loretz</t>
  </si>
  <si>
    <t>S00640519</t>
  </si>
  <si>
    <t>S00347969</t>
  </si>
  <si>
    <t>O'Farrell</t>
  </si>
  <si>
    <t>S00645366</t>
  </si>
  <si>
    <t>Paskert</t>
  </si>
  <si>
    <t>S00605462</t>
  </si>
  <si>
    <t>Petruzzi</t>
  </si>
  <si>
    <t>S00752270</t>
  </si>
  <si>
    <t>Price-Harris</t>
  </si>
  <si>
    <t>S00530495</t>
  </si>
  <si>
    <t>S00019714</t>
  </si>
  <si>
    <t>Tartal</t>
  </si>
  <si>
    <t>S00637085</t>
  </si>
  <si>
    <t>Waddy</t>
  </si>
  <si>
    <t>S00114889</t>
  </si>
  <si>
    <t>S00524953</t>
  </si>
  <si>
    <t>Husamadeen</t>
  </si>
  <si>
    <t>S00491218</t>
  </si>
  <si>
    <t>Latterner</t>
  </si>
  <si>
    <t>S00031086</t>
  </si>
  <si>
    <t>Israel</t>
  </si>
  <si>
    <t>S00885328</t>
  </si>
  <si>
    <t>Garr</t>
  </si>
  <si>
    <t>Johanna</t>
  </si>
  <si>
    <t>S00051283</t>
  </si>
  <si>
    <t>S00825908</t>
  </si>
  <si>
    <t>Kocab</t>
  </si>
  <si>
    <t>S00221561</t>
  </si>
  <si>
    <t>S00912265</t>
  </si>
  <si>
    <t>2T2300</t>
  </si>
  <si>
    <t>Data Center Operations</t>
  </si>
  <si>
    <t>S00087619</t>
  </si>
  <si>
    <t>S00909394</t>
  </si>
  <si>
    <t>Daroczy</t>
  </si>
  <si>
    <t>Zsuzsa</t>
  </si>
  <si>
    <t>S00909393</t>
  </si>
  <si>
    <t>Epperson</t>
  </si>
  <si>
    <t>S00444266</t>
  </si>
  <si>
    <t>Giesler</t>
  </si>
  <si>
    <t>Les</t>
  </si>
  <si>
    <t>S00824261</t>
  </si>
  <si>
    <t>Grigoryan</t>
  </si>
  <si>
    <t>S00602629</t>
  </si>
  <si>
    <t>Guthrie</t>
  </si>
  <si>
    <t>S00915461</t>
  </si>
  <si>
    <t>Janco-Gidley</t>
  </si>
  <si>
    <t>S00914447</t>
  </si>
  <si>
    <t>Krishnan</t>
  </si>
  <si>
    <t>S00588184</t>
  </si>
  <si>
    <t>Maldonado Flores</t>
  </si>
  <si>
    <t>Ipce</t>
  </si>
  <si>
    <t>S00115686</t>
  </si>
  <si>
    <t>Matos</t>
  </si>
  <si>
    <t>Beatriz</t>
  </si>
  <si>
    <t>S00493029</t>
  </si>
  <si>
    <t>Meola</t>
  </si>
  <si>
    <t>S00912956</t>
  </si>
  <si>
    <t>Timta</t>
  </si>
  <si>
    <t>S00878097</t>
  </si>
  <si>
    <t>S00030618</t>
  </si>
  <si>
    <t>Zimcosky</t>
  </si>
  <si>
    <t>S00887029</t>
  </si>
  <si>
    <t>Schade</t>
  </si>
  <si>
    <t>S00819225</t>
  </si>
  <si>
    <t>Bilardo</t>
  </si>
  <si>
    <t>S00352323</t>
  </si>
  <si>
    <t>S00711825</t>
  </si>
  <si>
    <t>Frazee</t>
  </si>
  <si>
    <t>S00010875</t>
  </si>
  <si>
    <t>S00054469</t>
  </si>
  <si>
    <t>Milia</t>
  </si>
  <si>
    <t>S00010883</t>
  </si>
  <si>
    <t>Wylie</t>
  </si>
  <si>
    <t>S00133897</t>
  </si>
  <si>
    <t>S00070964</t>
  </si>
  <si>
    <t>S00905106</t>
  </si>
  <si>
    <t>Georgia</t>
  </si>
  <si>
    <t>S00843382</t>
  </si>
  <si>
    <t>S00025511</t>
  </si>
  <si>
    <t>Hom</t>
  </si>
  <si>
    <t>Suiping</t>
  </si>
  <si>
    <t>S00240330</t>
  </si>
  <si>
    <t>McKee</t>
  </si>
  <si>
    <t>S00906264</t>
  </si>
  <si>
    <t>Stolzman</t>
  </si>
  <si>
    <t>S00269218</t>
  </si>
  <si>
    <t>Parsons</t>
  </si>
  <si>
    <t>Kimberley</t>
  </si>
  <si>
    <t>S00115507</t>
  </si>
  <si>
    <t>Farone</t>
  </si>
  <si>
    <t>S00345086</t>
  </si>
  <si>
    <t>Sharmayne</t>
  </si>
  <si>
    <t>S00449211</t>
  </si>
  <si>
    <t>Grayson</t>
  </si>
  <si>
    <t>S00016782</t>
  </si>
  <si>
    <t>S00010743</t>
  </si>
  <si>
    <t>Metzger</t>
  </si>
  <si>
    <t>S00114934</t>
  </si>
  <si>
    <t>S00418558</t>
  </si>
  <si>
    <t>Zver</t>
  </si>
  <si>
    <t>S00020384</t>
  </si>
  <si>
    <t>Buggs</t>
  </si>
  <si>
    <t>S00402166</t>
  </si>
  <si>
    <t>Lally</t>
  </si>
  <si>
    <t>S00616993</t>
  </si>
  <si>
    <t>Sharita</t>
  </si>
  <si>
    <t>S00589532</t>
  </si>
  <si>
    <t>S00240814</t>
  </si>
  <si>
    <t>S00084935</t>
  </si>
  <si>
    <t>Obers</t>
  </si>
  <si>
    <t>Lezlie</t>
  </si>
  <si>
    <t>3R1200</t>
  </si>
  <si>
    <t>Articulation &amp; Transfer</t>
  </si>
  <si>
    <t>S00010267</t>
  </si>
  <si>
    <t>S00263183</t>
  </si>
  <si>
    <t>S00845728</t>
  </si>
  <si>
    <t>Beard</t>
  </si>
  <si>
    <t>S00023084</t>
  </si>
  <si>
    <t>Isler</t>
  </si>
  <si>
    <t>S00605532</t>
  </si>
  <si>
    <t>Vellala</t>
  </si>
  <si>
    <t>PhaniBhushan</t>
  </si>
  <si>
    <t>S00896326</t>
  </si>
  <si>
    <t>Verosko</t>
  </si>
  <si>
    <t>S00023126</t>
  </si>
  <si>
    <t>Schroeter</t>
  </si>
  <si>
    <t>Nora</t>
  </si>
  <si>
    <t>S00898906</t>
  </si>
  <si>
    <t>Ceci</t>
  </si>
  <si>
    <t>S00831051</t>
  </si>
  <si>
    <t>Cubranich</t>
  </si>
  <si>
    <t>S00898434</t>
  </si>
  <si>
    <t>Palka</t>
  </si>
  <si>
    <t>S00896972</t>
  </si>
  <si>
    <t>Dittrich</t>
  </si>
  <si>
    <t>Mary Frances</t>
  </si>
  <si>
    <t>S00586274</t>
  </si>
  <si>
    <t>Conroy</t>
  </si>
  <si>
    <t>S00053606</t>
  </si>
  <si>
    <t>Mamich</t>
  </si>
  <si>
    <t>S00482332</t>
  </si>
  <si>
    <t>O'Grady</t>
  </si>
  <si>
    <t>S00895840</t>
  </si>
  <si>
    <t>Stecky</t>
  </si>
  <si>
    <t>S00915625</t>
  </si>
  <si>
    <t>S00889542</t>
  </si>
  <si>
    <t>S00151719</t>
  </si>
  <si>
    <t>S00893698</t>
  </si>
  <si>
    <t>Bowen</t>
  </si>
  <si>
    <t>Marcia</t>
  </si>
  <si>
    <t>S00232073</t>
  </si>
  <si>
    <t>Davic</t>
  </si>
  <si>
    <t>S00893758</t>
  </si>
  <si>
    <t>S00277064</t>
  </si>
  <si>
    <t>Hardman</t>
  </si>
  <si>
    <t>Shelley</t>
  </si>
  <si>
    <t>S00592898</t>
  </si>
  <si>
    <t>Krzysztof</t>
  </si>
  <si>
    <t>S00061200</t>
  </si>
  <si>
    <t>S00894022</t>
  </si>
  <si>
    <t>S00859298</t>
  </si>
  <si>
    <t>Sherrie</t>
  </si>
  <si>
    <t>S00892514</t>
  </si>
  <si>
    <t>S00009728</t>
  </si>
  <si>
    <t>Simpson</t>
  </si>
  <si>
    <t>S00892632</t>
  </si>
  <si>
    <t>Soper</t>
  </si>
  <si>
    <t>S00892630</t>
  </si>
  <si>
    <t>Szell</t>
  </si>
  <si>
    <t>S00447125</t>
  </si>
  <si>
    <t>Tokarcik</t>
  </si>
  <si>
    <t>3M2605</t>
  </si>
  <si>
    <t>Arch &amp; Construction Engineering - M</t>
  </si>
  <si>
    <t>S00796877</t>
  </si>
  <si>
    <t>Trieff</t>
  </si>
  <si>
    <t>S00044170</t>
  </si>
  <si>
    <t>Wojtasinski</t>
  </si>
  <si>
    <t>Justyna</t>
  </si>
  <si>
    <t>S00893576</t>
  </si>
  <si>
    <t>Bate-Eya</t>
  </si>
  <si>
    <t>Ayuketah</t>
  </si>
  <si>
    <t>S00892310</t>
  </si>
  <si>
    <t>Broers</t>
  </si>
  <si>
    <t>S00450232</t>
  </si>
  <si>
    <t>Capas</t>
  </si>
  <si>
    <t>Edmund</t>
  </si>
  <si>
    <t>S00115781</t>
  </si>
  <si>
    <t>Chiappone</t>
  </si>
  <si>
    <t>S00627766</t>
  </si>
  <si>
    <t>Cilimburg</t>
  </si>
  <si>
    <t>S00159821</t>
  </si>
  <si>
    <t>S00455721</t>
  </si>
  <si>
    <t>Ericksen</t>
  </si>
  <si>
    <t>S00269082</t>
  </si>
  <si>
    <t>Hannan</t>
  </si>
  <si>
    <t>Lovett</t>
  </si>
  <si>
    <t>S00009939</t>
  </si>
  <si>
    <t>Kramer</t>
  </si>
  <si>
    <t>S00371669</t>
  </si>
  <si>
    <t>Nikki</t>
  </si>
  <si>
    <t>S00398109</t>
  </si>
  <si>
    <t>S00891806</t>
  </si>
  <si>
    <t>S00898101</t>
  </si>
  <si>
    <t>Patt</t>
  </si>
  <si>
    <t>S00323917</t>
  </si>
  <si>
    <t>S00786518</t>
  </si>
  <si>
    <t>Santos</t>
  </si>
  <si>
    <t>S00571369</t>
  </si>
  <si>
    <t>Scaiola-Ziska</t>
  </si>
  <si>
    <t>Serena</t>
  </si>
  <si>
    <t>3E2435</t>
  </si>
  <si>
    <t>Italian - E</t>
  </si>
  <si>
    <t>S00890732</t>
  </si>
  <si>
    <t>Schroeder</t>
  </si>
  <si>
    <t>Danica</t>
  </si>
  <si>
    <t>S00142866</t>
  </si>
  <si>
    <t>Debora</t>
  </si>
  <si>
    <t>S00016220</t>
  </si>
  <si>
    <t>Alberts</t>
  </si>
  <si>
    <t>S00074173</t>
  </si>
  <si>
    <t>Clemetson</t>
  </si>
  <si>
    <t>Darrell</t>
  </si>
  <si>
    <t>S00010615</t>
  </si>
  <si>
    <t>Ghodooshim</t>
  </si>
  <si>
    <t>Morad</t>
  </si>
  <si>
    <t>S00519934</t>
  </si>
  <si>
    <t>Petti</t>
  </si>
  <si>
    <t>S00205081</t>
  </si>
  <si>
    <t>Velorie</t>
  </si>
  <si>
    <t>S00489530</t>
  </si>
  <si>
    <t>Kurowski</t>
  </si>
  <si>
    <t>Sally</t>
  </si>
  <si>
    <t>S00035320</t>
  </si>
  <si>
    <t>Potteiger</t>
  </si>
  <si>
    <t>S00893065</t>
  </si>
  <si>
    <t>S00115831</t>
  </si>
  <si>
    <t>Murdock</t>
  </si>
  <si>
    <t>S00035381</t>
  </si>
  <si>
    <t>Oliver</t>
  </si>
  <si>
    <t>S00620698</t>
  </si>
  <si>
    <t>Makar</t>
  </si>
  <si>
    <t>S00892110</t>
  </si>
  <si>
    <t>McNeirney</t>
  </si>
  <si>
    <t>S00892102</t>
  </si>
  <si>
    <t>Overfield</t>
  </si>
  <si>
    <t>S00891719</t>
  </si>
  <si>
    <t>Ranallo</t>
  </si>
  <si>
    <t>S00044163</t>
  </si>
  <si>
    <t>Stylinski</t>
  </si>
  <si>
    <t>S00868667</t>
  </si>
  <si>
    <t>Lunt</t>
  </si>
  <si>
    <t>S00492899</t>
  </si>
  <si>
    <t>Lesniak</t>
  </si>
  <si>
    <t>S00010797</t>
  </si>
  <si>
    <t>Askew</t>
  </si>
  <si>
    <t>S00890471</t>
  </si>
  <si>
    <t>S00026901</t>
  </si>
  <si>
    <t>Litvak</t>
  </si>
  <si>
    <t>S00888569</t>
  </si>
  <si>
    <t>Mel</t>
  </si>
  <si>
    <t>S00115816</t>
  </si>
  <si>
    <t>Colonna</t>
  </si>
  <si>
    <t>S00019679</t>
  </si>
  <si>
    <t>S00206820</t>
  </si>
  <si>
    <t>Mikut</t>
  </si>
  <si>
    <t>S00889487</t>
  </si>
  <si>
    <t>Van Beers-Werneke</t>
  </si>
  <si>
    <t>Leanne</t>
  </si>
  <si>
    <t>S00010212</t>
  </si>
  <si>
    <t>3E1020</t>
  </si>
  <si>
    <t>Campus Scheduling - E</t>
  </si>
  <si>
    <t>S00028251</t>
  </si>
  <si>
    <t>Pocek</t>
  </si>
  <si>
    <t>Darren</t>
  </si>
  <si>
    <t>S00074535</t>
  </si>
  <si>
    <t>Burgos</t>
  </si>
  <si>
    <t>Irma</t>
  </si>
  <si>
    <t>S00053217</t>
  </si>
  <si>
    <t>Littleton</t>
  </si>
  <si>
    <t>Hubert</t>
  </si>
  <si>
    <t>S00495130</t>
  </si>
  <si>
    <t>Lorcher</t>
  </si>
  <si>
    <t>S00605902</t>
  </si>
  <si>
    <t>Padaraju</t>
  </si>
  <si>
    <t>Hanumanth Rao</t>
  </si>
  <si>
    <t>S00322313</t>
  </si>
  <si>
    <t>Phinney</t>
  </si>
  <si>
    <t>Kendall</t>
  </si>
  <si>
    <t>S00290544</t>
  </si>
  <si>
    <t>S00065967</t>
  </si>
  <si>
    <t>Trela</t>
  </si>
  <si>
    <t>S00058369</t>
  </si>
  <si>
    <t>Skowron</t>
  </si>
  <si>
    <t>S00014886</t>
  </si>
  <si>
    <t>Izrael</t>
  </si>
  <si>
    <t>3E4300</t>
  </si>
  <si>
    <t>Journalism &amp; Mass Comm - E</t>
  </si>
  <si>
    <t>S00887819</t>
  </si>
  <si>
    <t>Stark</t>
  </si>
  <si>
    <t>2F4175</t>
  </si>
  <si>
    <t>Asset Management</t>
  </si>
  <si>
    <t>S00561887</t>
  </si>
  <si>
    <t>Stover</t>
  </si>
  <si>
    <t>S00010753</t>
  </si>
  <si>
    <t>S00115398</t>
  </si>
  <si>
    <t>Haynesworth</t>
  </si>
  <si>
    <t>S00887076</t>
  </si>
  <si>
    <t>Kirit</t>
  </si>
  <si>
    <t>Marta</t>
  </si>
  <si>
    <t>S00010501</t>
  </si>
  <si>
    <t>Ahern</t>
  </si>
  <si>
    <t>S00388292</t>
  </si>
  <si>
    <t>Anglia</t>
  </si>
  <si>
    <t>S00331655</t>
  </si>
  <si>
    <t>Skocaj</t>
  </si>
  <si>
    <t>S00100659</t>
  </si>
  <si>
    <t>Svec</t>
  </si>
  <si>
    <t>S00707937</t>
  </si>
  <si>
    <t>Fong</t>
  </si>
  <si>
    <t>S00486909</t>
  </si>
  <si>
    <t>Komlos</t>
  </si>
  <si>
    <t>S00487678</t>
  </si>
  <si>
    <t>Gwen</t>
  </si>
  <si>
    <t>S00884135</t>
  </si>
  <si>
    <t>Startari</t>
  </si>
  <si>
    <t>S00115985</t>
  </si>
  <si>
    <t>Antonelli</t>
  </si>
  <si>
    <t>S00116184</t>
  </si>
  <si>
    <t>Anzalone</t>
  </si>
  <si>
    <t>Marian</t>
  </si>
  <si>
    <t>S00115661</t>
  </si>
  <si>
    <t>Bednarski</t>
  </si>
  <si>
    <t>S00885828</t>
  </si>
  <si>
    <t>Bower</t>
  </si>
  <si>
    <t>S00518344</t>
  </si>
  <si>
    <t>Carol Ann</t>
  </si>
  <si>
    <t>S00067273</t>
  </si>
  <si>
    <t>S00881926</t>
  </si>
  <si>
    <t>Canna</t>
  </si>
  <si>
    <t>S00558259</t>
  </si>
  <si>
    <t>Carano</t>
  </si>
  <si>
    <t>S00500641</t>
  </si>
  <si>
    <t>Cseh</t>
  </si>
  <si>
    <t>S00626026</t>
  </si>
  <si>
    <t>Edogun</t>
  </si>
  <si>
    <t>Cliff</t>
  </si>
  <si>
    <t>S00455128</t>
  </si>
  <si>
    <t>S00048929</t>
  </si>
  <si>
    <t>Elder</t>
  </si>
  <si>
    <t>Chamille</t>
  </si>
  <si>
    <t>S00466271</t>
  </si>
  <si>
    <t>Effat</t>
  </si>
  <si>
    <t>S00885350</t>
  </si>
  <si>
    <t>S00883126</t>
  </si>
  <si>
    <t>Gerber</t>
  </si>
  <si>
    <t>S00847583</t>
  </si>
  <si>
    <t>S00881388</t>
  </si>
  <si>
    <t>Hayes</t>
  </si>
  <si>
    <t>Alissa</t>
  </si>
  <si>
    <t>S00883496</t>
  </si>
  <si>
    <t>Jakel</t>
  </si>
  <si>
    <t>S00029250</t>
  </si>
  <si>
    <t>S00114291</t>
  </si>
  <si>
    <t>Kalogerou</t>
  </si>
  <si>
    <t>S00877551</t>
  </si>
  <si>
    <t>S00482707</t>
  </si>
  <si>
    <t>Toby</t>
  </si>
  <si>
    <t>S00089236</t>
  </si>
  <si>
    <t>Lampe</t>
  </si>
  <si>
    <t>S00883507</t>
  </si>
  <si>
    <t>Lattie</t>
  </si>
  <si>
    <t>S00608151</t>
  </si>
  <si>
    <t>Lesniewski</t>
  </si>
  <si>
    <t>S00114807</t>
  </si>
  <si>
    <t>Manouchehri</t>
  </si>
  <si>
    <t>Mohsen</t>
  </si>
  <si>
    <t>S00884928</t>
  </si>
  <si>
    <t>Michael-Adams</t>
  </si>
  <si>
    <t>S00065590</t>
  </si>
  <si>
    <t>Miker</t>
  </si>
  <si>
    <t>S00507775</t>
  </si>
  <si>
    <t>Molnar</t>
  </si>
  <si>
    <t>S00879073</t>
  </si>
  <si>
    <t>Ndefru</t>
  </si>
  <si>
    <t>Madina</t>
  </si>
  <si>
    <t>S00728459</t>
  </si>
  <si>
    <t>S00883724</t>
  </si>
  <si>
    <t>Peluszkewycz</t>
  </si>
  <si>
    <t>Romana</t>
  </si>
  <si>
    <t>S00597974</t>
  </si>
  <si>
    <t>Powis</t>
  </si>
  <si>
    <t>S00038642</t>
  </si>
  <si>
    <t>Scalley</t>
  </si>
  <si>
    <t>S00641013</t>
  </si>
  <si>
    <t>Schubert</t>
  </si>
  <si>
    <t>S00532813</t>
  </si>
  <si>
    <t>S00842539</t>
  </si>
  <si>
    <t>Seeholzer</t>
  </si>
  <si>
    <t>S00888926</t>
  </si>
  <si>
    <t>Silva</t>
  </si>
  <si>
    <t>S00889275</t>
  </si>
  <si>
    <t>S00064279</t>
  </si>
  <si>
    <t>Strawder</t>
  </si>
  <si>
    <t>Samson</t>
  </si>
  <si>
    <t>S00430263</t>
  </si>
  <si>
    <t>Tate</t>
  </si>
  <si>
    <t>S00571528</t>
  </si>
  <si>
    <t>Wetherill</t>
  </si>
  <si>
    <t>S00278649</t>
  </si>
  <si>
    <t>Wingenfeld</t>
  </si>
  <si>
    <t>S00886040</t>
  </si>
  <si>
    <t>Zawacki</t>
  </si>
  <si>
    <t>S00885064</t>
  </si>
  <si>
    <t>Goto</t>
  </si>
  <si>
    <t>Yumiko</t>
  </si>
  <si>
    <t>S00475316</t>
  </si>
  <si>
    <t>Hull</t>
  </si>
  <si>
    <t>S00368261</t>
  </si>
  <si>
    <t>Majka</t>
  </si>
  <si>
    <t>S00010059</t>
  </si>
  <si>
    <t>S00191872</t>
  </si>
  <si>
    <t>Tanasijevic</t>
  </si>
  <si>
    <t>Milan</t>
  </si>
  <si>
    <t>S00884481</t>
  </si>
  <si>
    <t>Arellano</t>
  </si>
  <si>
    <t>S00795576</t>
  </si>
  <si>
    <t>Belle</t>
  </si>
  <si>
    <t>S00230892</t>
  </si>
  <si>
    <t>Crew</t>
  </si>
  <si>
    <t>S00640260</t>
  </si>
  <si>
    <t>S00601866</t>
  </si>
  <si>
    <t>LeMaster</t>
  </si>
  <si>
    <t>Jared</t>
  </si>
  <si>
    <t>S00045973</t>
  </si>
  <si>
    <t>Marx</t>
  </si>
  <si>
    <t>S00449289</t>
  </si>
  <si>
    <t>S00062873</t>
  </si>
  <si>
    <t>S00876317</t>
  </si>
  <si>
    <t>S00063281</t>
  </si>
  <si>
    <t>Riley</t>
  </si>
  <si>
    <t>Tabby</t>
  </si>
  <si>
    <t>S00546654</t>
  </si>
  <si>
    <t>Sierk</t>
  </si>
  <si>
    <t>S00608406</t>
  </si>
  <si>
    <t>Trethewey</t>
  </si>
  <si>
    <t>S00884350</t>
  </si>
  <si>
    <t>Whitsett</t>
  </si>
  <si>
    <t>Tommie</t>
  </si>
  <si>
    <t>S00049259</t>
  </si>
  <si>
    <t>Fosco</t>
  </si>
  <si>
    <t>Vicky</t>
  </si>
  <si>
    <t>S00400480</t>
  </si>
  <si>
    <t>Cirincione</t>
  </si>
  <si>
    <t>S00114960</t>
  </si>
  <si>
    <t>Bilchak</t>
  </si>
  <si>
    <t>S00018534</t>
  </si>
  <si>
    <t>S00852849</t>
  </si>
  <si>
    <t>S00063142</t>
  </si>
  <si>
    <t>S00862512</t>
  </si>
  <si>
    <t>Hanley</t>
  </si>
  <si>
    <t>S00051364</t>
  </si>
  <si>
    <t>S00053790</t>
  </si>
  <si>
    <t>S00009878</t>
  </si>
  <si>
    <t>Sender</t>
  </si>
  <si>
    <t>S00863304</t>
  </si>
  <si>
    <t>S00724765</t>
  </si>
  <si>
    <t>Skop</t>
  </si>
  <si>
    <t>S00881644</t>
  </si>
  <si>
    <t>Freer-Prokop</t>
  </si>
  <si>
    <t>Margot</t>
  </si>
  <si>
    <t>S00747865</t>
  </si>
  <si>
    <t>S00561116</t>
  </si>
  <si>
    <t>Petrek</t>
  </si>
  <si>
    <t>S00881592</t>
  </si>
  <si>
    <t>S00010588</t>
  </si>
  <si>
    <t>Gore-Harper</t>
  </si>
  <si>
    <t>S00264018</t>
  </si>
  <si>
    <t>Savransky</t>
  </si>
  <si>
    <t>S00031995</t>
  </si>
  <si>
    <t>S00861681</t>
  </si>
  <si>
    <t>Mayers</t>
  </si>
  <si>
    <t>S00067100</t>
  </si>
  <si>
    <t>3M3930</t>
  </si>
  <si>
    <t>Varsity-Cross Country - M</t>
  </si>
  <si>
    <t>S00271677</t>
  </si>
  <si>
    <t>Ermlich</t>
  </si>
  <si>
    <t>S00466044</t>
  </si>
  <si>
    <t>Gurary</t>
  </si>
  <si>
    <t>Natan</t>
  </si>
  <si>
    <t>S00134331</t>
  </si>
  <si>
    <t>S00010148</t>
  </si>
  <si>
    <t>Traylor</t>
  </si>
  <si>
    <t>S00014978</t>
  </si>
  <si>
    <t>Reynaldo</t>
  </si>
  <si>
    <t>S00741048</t>
  </si>
  <si>
    <t>Jarus</t>
  </si>
  <si>
    <t>3W3430</t>
  </si>
  <si>
    <t>Soccer - W</t>
  </si>
  <si>
    <t>S00528838</t>
  </si>
  <si>
    <t>S00010897</t>
  </si>
  <si>
    <t>S00584812</t>
  </si>
  <si>
    <t>Dinkins</t>
  </si>
  <si>
    <t>S00517045</t>
  </si>
  <si>
    <t>Pino</t>
  </si>
  <si>
    <t>S00278531</t>
  </si>
  <si>
    <t>Sarkauskas</t>
  </si>
  <si>
    <t>2C3200</t>
  </si>
  <si>
    <t>Plant Administration - W</t>
  </si>
  <si>
    <t>S00878640</t>
  </si>
  <si>
    <t>Shapaka</t>
  </si>
  <si>
    <t>S00877421</t>
  </si>
  <si>
    <t>Eastman</t>
  </si>
  <si>
    <t>Jesse</t>
  </si>
  <si>
    <t>S00877604</t>
  </si>
  <si>
    <t>S00470722</t>
  </si>
  <si>
    <t>Hendon</t>
  </si>
  <si>
    <t>Louie</t>
  </si>
  <si>
    <t>S00017508</t>
  </si>
  <si>
    <t>Marin</t>
  </si>
  <si>
    <t>S00079094</t>
  </si>
  <si>
    <t>S00030672</t>
  </si>
  <si>
    <t>Dabney</t>
  </si>
  <si>
    <t>S00878217</t>
  </si>
  <si>
    <t>Davenport</t>
  </si>
  <si>
    <t>S00876880</t>
  </si>
  <si>
    <t>Mackie</t>
  </si>
  <si>
    <t>S00062934</t>
  </si>
  <si>
    <t>Neumann</t>
  </si>
  <si>
    <t>S00876585</t>
  </si>
  <si>
    <t>Friedlander</t>
  </si>
  <si>
    <t>S00295993</t>
  </si>
  <si>
    <t>Archer</t>
  </si>
  <si>
    <t>S00017913</t>
  </si>
  <si>
    <t>Brower</t>
  </si>
  <si>
    <t>Mynetta</t>
  </si>
  <si>
    <t>S00066938</t>
  </si>
  <si>
    <t>S00727615</t>
  </si>
  <si>
    <t>Mac Ewan</t>
  </si>
  <si>
    <t>S00355696</t>
  </si>
  <si>
    <t>Waddell</t>
  </si>
  <si>
    <t>S00035358</t>
  </si>
  <si>
    <t>S00874365</t>
  </si>
  <si>
    <t>S00618353</t>
  </si>
  <si>
    <t>S00389334</t>
  </si>
  <si>
    <t>Blackman</t>
  </si>
  <si>
    <t>S00868974</t>
  </si>
  <si>
    <t>Fisher-Grace</t>
  </si>
  <si>
    <t>Khaliah</t>
  </si>
  <si>
    <t>S00158363</t>
  </si>
  <si>
    <t>Owen</t>
  </si>
  <si>
    <t>S00872712</t>
  </si>
  <si>
    <t>Primel</t>
  </si>
  <si>
    <t>S00836040</t>
  </si>
  <si>
    <t>Surace</t>
  </si>
  <si>
    <t>Mary Jean</t>
  </si>
  <si>
    <t>S00872884</t>
  </si>
  <si>
    <t>LaRiccia</t>
  </si>
  <si>
    <t>S00448562</t>
  </si>
  <si>
    <t>S00147507</t>
  </si>
  <si>
    <t>S00868109</t>
  </si>
  <si>
    <t>Malaczewski</t>
  </si>
  <si>
    <t>S00715752</t>
  </si>
  <si>
    <t>Maleckar</t>
  </si>
  <si>
    <t>S00362544</t>
  </si>
  <si>
    <t>Barcelona</t>
  </si>
  <si>
    <t>Ingrid-Jane</t>
  </si>
  <si>
    <t>Viloria</t>
  </si>
  <si>
    <t>S00028570</t>
  </si>
  <si>
    <t>J Edward</t>
  </si>
  <si>
    <t>S00115644</t>
  </si>
  <si>
    <t>O'Brien</t>
  </si>
  <si>
    <t>S00115335</t>
  </si>
  <si>
    <t>S00028975</t>
  </si>
  <si>
    <t>S00030409</t>
  </si>
  <si>
    <t>S00058092</t>
  </si>
  <si>
    <t>Dillard</t>
  </si>
  <si>
    <t>S00050661</t>
  </si>
  <si>
    <t>Dorner</t>
  </si>
  <si>
    <t>S00865984</t>
  </si>
  <si>
    <t>Forrest</t>
  </si>
  <si>
    <t>S00010280</t>
  </si>
  <si>
    <t>Gillissie</t>
  </si>
  <si>
    <t>S00014180</t>
  </si>
  <si>
    <t>Halicki</t>
  </si>
  <si>
    <t>S00473240</t>
  </si>
  <si>
    <t>Holman-Dowlen</t>
  </si>
  <si>
    <t>Thelma</t>
  </si>
  <si>
    <t>S00139794</t>
  </si>
  <si>
    <t>S00395130</t>
  </si>
  <si>
    <t>Lonczak</t>
  </si>
  <si>
    <t>Bonita</t>
  </si>
  <si>
    <t>S00712852</t>
  </si>
  <si>
    <t>Nekoranec</t>
  </si>
  <si>
    <t>S00117759</t>
  </si>
  <si>
    <t>S00344120</t>
  </si>
  <si>
    <t>Schuster</t>
  </si>
  <si>
    <t>S00115246</t>
  </si>
  <si>
    <t>Zacharias</t>
  </si>
  <si>
    <t>S00563863</t>
  </si>
  <si>
    <t>Sager</t>
  </si>
  <si>
    <t>S00072241</t>
  </si>
  <si>
    <t>S00506133</t>
  </si>
  <si>
    <t>Joann</t>
  </si>
  <si>
    <t>S00534242</t>
  </si>
  <si>
    <t>Scharschmidt</t>
  </si>
  <si>
    <t>S00540958</t>
  </si>
  <si>
    <t>S00498290</t>
  </si>
  <si>
    <t>Manson</t>
  </si>
  <si>
    <t>Mychal-Glynn</t>
  </si>
  <si>
    <t>S00222336</t>
  </si>
  <si>
    <t>Wade</t>
  </si>
  <si>
    <t>S00864159</t>
  </si>
  <si>
    <t>Eilrich</t>
  </si>
  <si>
    <t>S00049868</t>
  </si>
  <si>
    <t>Graves</t>
  </si>
  <si>
    <t>S00608761</t>
  </si>
  <si>
    <t>S00010345</t>
  </si>
  <si>
    <t>S00151476</t>
  </si>
  <si>
    <t>Della</t>
  </si>
  <si>
    <t>S00115615</t>
  </si>
  <si>
    <t>S00010285</t>
  </si>
  <si>
    <t>S00487625</t>
  </si>
  <si>
    <t>S00391534</t>
  </si>
  <si>
    <t>Mango</t>
  </si>
  <si>
    <t>Calli</t>
  </si>
  <si>
    <t>S00502399</t>
  </si>
  <si>
    <t>McElroy</t>
  </si>
  <si>
    <t>Juliette</t>
  </si>
  <si>
    <t>S00041778</t>
  </si>
  <si>
    <t>S00010838</t>
  </si>
  <si>
    <t>S00010134</t>
  </si>
  <si>
    <t>Romoser</t>
  </si>
  <si>
    <t>S00033328</t>
  </si>
  <si>
    <t>S00115110</t>
  </si>
  <si>
    <t>S00696760</t>
  </si>
  <si>
    <t>Thorkelson</t>
  </si>
  <si>
    <t>Damian</t>
  </si>
  <si>
    <t>S00324996</t>
  </si>
  <si>
    <t>S00640538</t>
  </si>
  <si>
    <t>Stoll</t>
  </si>
  <si>
    <t>S00862619</t>
  </si>
  <si>
    <t>Brogan</t>
  </si>
  <si>
    <t>1K3475</t>
  </si>
  <si>
    <t>Corporate College Marketing</t>
  </si>
  <si>
    <t>S00862621</t>
  </si>
  <si>
    <t>S00045211</t>
  </si>
  <si>
    <t>S00044965</t>
  </si>
  <si>
    <t>Skelley</t>
  </si>
  <si>
    <t>S00864015</t>
  </si>
  <si>
    <t>Stiver</t>
  </si>
  <si>
    <t>S00019198</t>
  </si>
  <si>
    <t>S00860312</t>
  </si>
  <si>
    <t>Boseman</t>
  </si>
  <si>
    <t>Ronni</t>
  </si>
  <si>
    <t>S00431054</t>
  </si>
  <si>
    <t>S00430079</t>
  </si>
  <si>
    <t>S00223152</t>
  </si>
  <si>
    <t>Costaras</t>
  </si>
  <si>
    <t>S00420644</t>
  </si>
  <si>
    <t>Fotia</t>
  </si>
  <si>
    <t>S00041270</t>
  </si>
  <si>
    <t>Imke</t>
  </si>
  <si>
    <t>S00726695</t>
  </si>
  <si>
    <t>Jain</t>
  </si>
  <si>
    <t>Yogita</t>
  </si>
  <si>
    <t>S00330358</t>
  </si>
  <si>
    <t>Krisch</t>
  </si>
  <si>
    <t>S00427091</t>
  </si>
  <si>
    <t>Marusiak</t>
  </si>
  <si>
    <t>S00569715</t>
  </si>
  <si>
    <t>Masci</t>
  </si>
  <si>
    <t>S00859939</t>
  </si>
  <si>
    <t>Mazurak</t>
  </si>
  <si>
    <t>Halina</t>
  </si>
  <si>
    <t>S00501763</t>
  </si>
  <si>
    <t>McConeghy</t>
  </si>
  <si>
    <t>Jeff</t>
  </si>
  <si>
    <t>S00032191</t>
  </si>
  <si>
    <t>McKenzie</t>
  </si>
  <si>
    <t>S00567129</t>
  </si>
  <si>
    <t>S00431210</t>
  </si>
  <si>
    <t>S00020969</t>
  </si>
  <si>
    <t>Studmire</t>
  </si>
  <si>
    <t>S00115934</t>
  </si>
  <si>
    <t>Tramer</t>
  </si>
  <si>
    <t>Harriet</t>
  </si>
  <si>
    <t>S00032687</t>
  </si>
  <si>
    <t>S00231563</t>
  </si>
  <si>
    <t>Rosalind</t>
  </si>
  <si>
    <t>3E2340</t>
  </si>
  <si>
    <t>Health - E</t>
  </si>
  <si>
    <t>S00087516</t>
  </si>
  <si>
    <t>Nettles</t>
  </si>
  <si>
    <t>Sauda</t>
  </si>
  <si>
    <t>S00065417</t>
  </si>
  <si>
    <t>S00115368</t>
  </si>
  <si>
    <t>Egler</t>
  </si>
  <si>
    <t>S00335554</t>
  </si>
  <si>
    <t>Cassida</t>
  </si>
  <si>
    <t>S00064855</t>
  </si>
  <si>
    <t>Hickey</t>
  </si>
  <si>
    <t>3V2100</t>
  </si>
  <si>
    <t>Television Production</t>
  </si>
  <si>
    <t>S00025406</t>
  </si>
  <si>
    <t>Whitely</t>
  </si>
  <si>
    <t>S00058629</t>
  </si>
  <si>
    <t>Whitfield</t>
  </si>
  <si>
    <t>Retha</t>
  </si>
  <si>
    <t>S00856740</t>
  </si>
  <si>
    <t>DeChant</t>
  </si>
  <si>
    <t>S00707055</t>
  </si>
  <si>
    <t>Kight</t>
  </si>
  <si>
    <t>Endora</t>
  </si>
  <si>
    <t>S00045451</t>
  </si>
  <si>
    <t>Coon</t>
  </si>
  <si>
    <t>S00115922</t>
  </si>
  <si>
    <t>Cornell</t>
  </si>
  <si>
    <t>S00856168</t>
  </si>
  <si>
    <t>Muriel</t>
  </si>
  <si>
    <t>S00024503</t>
  </si>
  <si>
    <t>George-Munro</t>
  </si>
  <si>
    <t>Tallis</t>
  </si>
  <si>
    <t>S00819018</t>
  </si>
  <si>
    <t>S00621632</t>
  </si>
  <si>
    <t>Bonthius</t>
  </si>
  <si>
    <t>S00352284</t>
  </si>
  <si>
    <t>S00010369</t>
  </si>
  <si>
    <t>S00009854</t>
  </si>
  <si>
    <t>S00160401</t>
  </si>
  <si>
    <t>Weyls</t>
  </si>
  <si>
    <t>S00313316</t>
  </si>
  <si>
    <t>Gulley</t>
  </si>
  <si>
    <t>Alvin</t>
  </si>
  <si>
    <t>S00054103</t>
  </si>
  <si>
    <t>McDougald</t>
  </si>
  <si>
    <t>S00857289</t>
  </si>
  <si>
    <t>Septaric</t>
  </si>
  <si>
    <t>S00071937</t>
  </si>
  <si>
    <t>Eberly</t>
  </si>
  <si>
    <t>S00053936</t>
  </si>
  <si>
    <t>Maynard</t>
  </si>
  <si>
    <t>Kirk</t>
  </si>
  <si>
    <t>S00342428</t>
  </si>
  <si>
    <t>Winkler</t>
  </si>
  <si>
    <t>S00741693</t>
  </si>
  <si>
    <t>Gianguzzo</t>
  </si>
  <si>
    <t>S00116007</t>
  </si>
  <si>
    <t>S00184266</t>
  </si>
  <si>
    <t>S00010484</t>
  </si>
  <si>
    <t>S00574245</t>
  </si>
  <si>
    <t>Grooms</t>
  </si>
  <si>
    <t>S00343350</t>
  </si>
  <si>
    <t>Keck</t>
  </si>
  <si>
    <t>S00336989</t>
  </si>
  <si>
    <t>Lichniak</t>
  </si>
  <si>
    <t>S00081988</t>
  </si>
  <si>
    <t>S00165907</t>
  </si>
  <si>
    <t>Sudberry</t>
  </si>
  <si>
    <t>Saladin</t>
  </si>
  <si>
    <t>S00853361</t>
  </si>
  <si>
    <t>Anzo</t>
  </si>
  <si>
    <t>S00161676</t>
  </si>
  <si>
    <t>Barile</t>
  </si>
  <si>
    <t>S00048551</t>
  </si>
  <si>
    <t>Bartlett</t>
  </si>
  <si>
    <t>S00345584</t>
  </si>
  <si>
    <t>S00418171</t>
  </si>
  <si>
    <t>Epatha</t>
  </si>
  <si>
    <t>S00852362</t>
  </si>
  <si>
    <t>S00241206</t>
  </si>
  <si>
    <t>Corsello</t>
  </si>
  <si>
    <t>S00850988</t>
  </si>
  <si>
    <t>Deutsch</t>
  </si>
  <si>
    <t>Brigite</t>
  </si>
  <si>
    <t>S00456539</t>
  </si>
  <si>
    <t>Fatsie</t>
  </si>
  <si>
    <t>S00115624</t>
  </si>
  <si>
    <t>T.</t>
  </si>
  <si>
    <t>S00281702</t>
  </si>
  <si>
    <t>Gaertner</t>
  </si>
  <si>
    <t>S00597409</t>
  </si>
  <si>
    <t>Gala</t>
  </si>
  <si>
    <t>S00849354</t>
  </si>
  <si>
    <t>Gialousis</t>
  </si>
  <si>
    <t>S00606335</t>
  </si>
  <si>
    <t>S00852698</t>
  </si>
  <si>
    <t>Hanrahan</t>
  </si>
  <si>
    <t>S00849351</t>
  </si>
  <si>
    <t>Harrington</t>
  </si>
  <si>
    <t>S00588551</t>
  </si>
  <si>
    <t>S00853804</t>
  </si>
  <si>
    <t>Kalish</t>
  </si>
  <si>
    <t>S00419554</t>
  </si>
  <si>
    <t>Kilbane</t>
  </si>
  <si>
    <t>Brendan</t>
  </si>
  <si>
    <t>S00384934</t>
  </si>
  <si>
    <t>Kovacik</t>
  </si>
  <si>
    <t>S00011793</t>
  </si>
  <si>
    <t>Ursula</t>
  </si>
  <si>
    <t>S00851255</t>
  </si>
  <si>
    <t>S00022461</t>
  </si>
  <si>
    <t>Mussulin</t>
  </si>
  <si>
    <t>S00854213</t>
  </si>
  <si>
    <t>Odoom</t>
  </si>
  <si>
    <t>Hyiamang</t>
  </si>
  <si>
    <t>S00516406</t>
  </si>
  <si>
    <t>Palombo</t>
  </si>
  <si>
    <t>S00018659</t>
  </si>
  <si>
    <t>Pavlick</t>
  </si>
  <si>
    <t>Lou</t>
  </si>
  <si>
    <t>S00524440</t>
  </si>
  <si>
    <t>Radovic</t>
  </si>
  <si>
    <t>Vida</t>
  </si>
  <si>
    <t>S00020900</t>
  </si>
  <si>
    <t>Register</t>
  </si>
  <si>
    <t>S00527116</t>
  </si>
  <si>
    <t>S00068725</t>
  </si>
  <si>
    <t>S00204487</t>
  </si>
  <si>
    <t>Roth</t>
  </si>
  <si>
    <t>S00639819</t>
  </si>
  <si>
    <t>Schuckman</t>
  </si>
  <si>
    <t>S00852592</t>
  </si>
  <si>
    <t>Ritu</t>
  </si>
  <si>
    <t>S00011033</t>
  </si>
  <si>
    <t>Patty</t>
  </si>
  <si>
    <t>S00010376</t>
  </si>
  <si>
    <t>S00431173</t>
  </si>
  <si>
    <t>Verser</t>
  </si>
  <si>
    <t>S00852678</t>
  </si>
  <si>
    <t>Weiskind</t>
  </si>
  <si>
    <t>S00620594</t>
  </si>
  <si>
    <t>Jurns</t>
  </si>
  <si>
    <t>S00010072</t>
  </si>
  <si>
    <t>S00786800</t>
  </si>
  <si>
    <t>S00724753</t>
  </si>
  <si>
    <t>Altose</t>
  </si>
  <si>
    <t>S00831021</t>
  </si>
  <si>
    <t>S00438741</t>
  </si>
  <si>
    <t>Shirin</t>
  </si>
  <si>
    <t>S00116165</t>
  </si>
  <si>
    <t>Draviam</t>
  </si>
  <si>
    <t>Supriya</t>
  </si>
  <si>
    <t>S00458829</t>
  </si>
  <si>
    <t>France-McNerney</t>
  </si>
  <si>
    <t>S00738008</t>
  </si>
  <si>
    <t>Garnes</t>
  </si>
  <si>
    <t>S00035408</t>
  </si>
  <si>
    <t>S00626800</t>
  </si>
  <si>
    <t>Milam</t>
  </si>
  <si>
    <t>S00849394</t>
  </si>
  <si>
    <t>Osborn</t>
  </si>
  <si>
    <t>Staci</t>
  </si>
  <si>
    <t>S00849389</t>
  </si>
  <si>
    <t>Pack</t>
  </si>
  <si>
    <t>S00626780</t>
  </si>
  <si>
    <t>Ryland</t>
  </si>
  <si>
    <t>S00364869</t>
  </si>
  <si>
    <t>Stansberry</t>
  </si>
  <si>
    <t>S00181915</t>
  </si>
  <si>
    <t>Styrt</t>
  </si>
  <si>
    <t>Mikhail</t>
  </si>
  <si>
    <t>S00115830</t>
  </si>
  <si>
    <t>Varhegyi</t>
  </si>
  <si>
    <t>Geza</t>
  </si>
  <si>
    <t>S00073184</t>
  </si>
  <si>
    <t>Zeller</t>
  </si>
  <si>
    <t>S00626223</t>
  </si>
  <si>
    <t>Kerezy</t>
  </si>
  <si>
    <t>S00379000</t>
  </si>
  <si>
    <t>S00252429</t>
  </si>
  <si>
    <t>Beckner</t>
  </si>
  <si>
    <t>S00010228</t>
  </si>
  <si>
    <t>Brook</t>
  </si>
  <si>
    <t>S00601411</t>
  </si>
  <si>
    <t>Lani</t>
  </si>
  <si>
    <t>S00009983</t>
  </si>
  <si>
    <t>Buccini</t>
  </si>
  <si>
    <t>S00073926</t>
  </si>
  <si>
    <t>Blake</t>
  </si>
  <si>
    <t>S00460657</t>
  </si>
  <si>
    <t>S00049922</t>
  </si>
  <si>
    <t>Sharlene</t>
  </si>
  <si>
    <t>S00791614</t>
  </si>
  <si>
    <t>3M2290</t>
  </si>
  <si>
    <t>Real Estate - M</t>
  </si>
  <si>
    <t>S00115326</t>
  </si>
  <si>
    <t>Indriolo</t>
  </si>
  <si>
    <t>S00051495</t>
  </si>
  <si>
    <t>S00530443</t>
  </si>
  <si>
    <t>LaTina</t>
  </si>
  <si>
    <t>S00793227</t>
  </si>
  <si>
    <t>Karac</t>
  </si>
  <si>
    <t>Mira</t>
  </si>
  <si>
    <t>S00032023</t>
  </si>
  <si>
    <t>Levin</t>
  </si>
  <si>
    <t>S00058194</t>
  </si>
  <si>
    <t>McAtee</t>
  </si>
  <si>
    <t>S00788925</t>
  </si>
  <si>
    <t>Nicopolis</t>
  </si>
  <si>
    <t>S00637843</t>
  </si>
  <si>
    <t>Patwardhan</t>
  </si>
  <si>
    <t>Pat</t>
  </si>
  <si>
    <t>S00604726</t>
  </si>
  <si>
    <t>S00155249</t>
  </si>
  <si>
    <t>S00058509</t>
  </si>
  <si>
    <t>Jacques</t>
  </si>
  <si>
    <t>S00017028</t>
  </si>
  <si>
    <t>S00054905</t>
  </si>
  <si>
    <t>Moskin</t>
  </si>
  <si>
    <t>3W1020</t>
  </si>
  <si>
    <t>Campus Scheduling - W</t>
  </si>
  <si>
    <t>S00010194</t>
  </si>
  <si>
    <t>S00507366</t>
  </si>
  <si>
    <t>Mitchhart</t>
  </si>
  <si>
    <t>S00030824</t>
  </si>
  <si>
    <t>Devan</t>
  </si>
  <si>
    <t>S00682207</t>
  </si>
  <si>
    <t>Hagan</t>
  </si>
  <si>
    <t>S00010773</t>
  </si>
  <si>
    <t>Yorko</t>
  </si>
  <si>
    <t>S00009912</t>
  </si>
  <si>
    <t>Bacon</t>
  </si>
  <si>
    <t>S00010892</t>
  </si>
  <si>
    <t>S00028942</t>
  </si>
  <si>
    <t>S00016935</t>
  </si>
  <si>
    <t>Del Rosario</t>
  </si>
  <si>
    <t>S00115296</t>
  </si>
  <si>
    <t>Petit</t>
  </si>
  <si>
    <t>S00604238</t>
  </si>
  <si>
    <t>S00849668</t>
  </si>
  <si>
    <t>S00028613</t>
  </si>
  <si>
    <t>S00845082</t>
  </si>
  <si>
    <t>Prok</t>
  </si>
  <si>
    <t>S00845666</t>
  </si>
  <si>
    <t>S00843918</t>
  </si>
  <si>
    <t>Daugherty</t>
  </si>
  <si>
    <t>S00021252</t>
  </si>
  <si>
    <t>Rohde</t>
  </si>
  <si>
    <t>Treena</t>
  </si>
  <si>
    <t>S00510880</t>
  </si>
  <si>
    <t>S00040634</t>
  </si>
  <si>
    <t>Nungaray</t>
  </si>
  <si>
    <t>S00051476</t>
  </si>
  <si>
    <t>S00421399</t>
  </si>
  <si>
    <t>Russel</t>
  </si>
  <si>
    <t>S00571860</t>
  </si>
  <si>
    <t>Morales</t>
  </si>
  <si>
    <t>S00360633</t>
  </si>
  <si>
    <t>Paintiff</t>
  </si>
  <si>
    <t>S00437429</t>
  </si>
  <si>
    <t>Rudolph</t>
  </si>
  <si>
    <t>S00840053</t>
  </si>
  <si>
    <t>Willard</t>
  </si>
  <si>
    <t>S00068661</t>
  </si>
  <si>
    <t>S00488934</t>
  </si>
  <si>
    <t>Krzynowek</t>
  </si>
  <si>
    <t>S00738815</t>
  </si>
  <si>
    <t>Rhondalyn</t>
  </si>
  <si>
    <t>S00596236</t>
  </si>
  <si>
    <t>Shutway</t>
  </si>
  <si>
    <t>3E2615</t>
  </si>
  <si>
    <t>Electrical-Electronic Eng - E</t>
  </si>
  <si>
    <t>S00840004</t>
  </si>
  <si>
    <t>Stanczyk</t>
  </si>
  <si>
    <t>S00115131</t>
  </si>
  <si>
    <t>S00032959</t>
  </si>
  <si>
    <t>Csepi</t>
  </si>
  <si>
    <t>Anjeanette</t>
  </si>
  <si>
    <t>S00471772</t>
  </si>
  <si>
    <t>S00069358</t>
  </si>
  <si>
    <t>Ruane</t>
  </si>
  <si>
    <t>S00435078</t>
  </si>
  <si>
    <t>Luster</t>
  </si>
  <si>
    <t>S00251123</t>
  </si>
  <si>
    <t>S00022712</t>
  </si>
  <si>
    <t>Bentkowski</t>
  </si>
  <si>
    <t>S00426117</t>
  </si>
  <si>
    <t>Brhel</t>
  </si>
  <si>
    <t>S00115527</t>
  </si>
  <si>
    <t>Centanni</t>
  </si>
  <si>
    <t>S00609126</t>
  </si>
  <si>
    <t>Goode</t>
  </si>
  <si>
    <t>Trellis</t>
  </si>
  <si>
    <t>S00572663</t>
  </si>
  <si>
    <t>Bernadette</t>
  </si>
  <si>
    <t>S00573261</t>
  </si>
  <si>
    <t>Pronesti</t>
  </si>
  <si>
    <t>S00535429</t>
  </si>
  <si>
    <t>S00631512</t>
  </si>
  <si>
    <t>Silvestro</t>
  </si>
  <si>
    <t>Dominic</t>
  </si>
  <si>
    <t>S00022576</t>
  </si>
  <si>
    <t>S00309446</t>
  </si>
  <si>
    <t>Norris</t>
  </si>
  <si>
    <t>Jamison</t>
  </si>
  <si>
    <t>S00065400</t>
  </si>
  <si>
    <t>McCormick</t>
  </si>
  <si>
    <t>S00410515</t>
  </si>
  <si>
    <t>Rodio</t>
  </si>
  <si>
    <t>S00168534</t>
  </si>
  <si>
    <t>Bartlebaugh</t>
  </si>
  <si>
    <t>S00010583</t>
  </si>
  <si>
    <t>Dondrea</t>
  </si>
  <si>
    <t>S00185818</t>
  </si>
  <si>
    <t>O'Malley</t>
  </si>
  <si>
    <t>S00558305</t>
  </si>
  <si>
    <t>S00473071</t>
  </si>
  <si>
    <t>Medina</t>
  </si>
  <si>
    <t>S00010231</t>
  </si>
  <si>
    <t>S00046602</t>
  </si>
  <si>
    <t>Eble</t>
  </si>
  <si>
    <t>S00358082</t>
  </si>
  <si>
    <t>Money</t>
  </si>
  <si>
    <t>S00365630</t>
  </si>
  <si>
    <t>Barnhardt</t>
  </si>
  <si>
    <t>S00024048</t>
  </si>
  <si>
    <t>Anastasakis</t>
  </si>
  <si>
    <t>S00539555</t>
  </si>
  <si>
    <t>S00280875</t>
  </si>
  <si>
    <t>Smetana</t>
  </si>
  <si>
    <t>S00665949</t>
  </si>
  <si>
    <t>Donahue</t>
  </si>
  <si>
    <t>Malachi</t>
  </si>
  <si>
    <t>S00831177</t>
  </si>
  <si>
    <t>S00009844</t>
  </si>
  <si>
    <t>Rena</t>
  </si>
  <si>
    <t>S00833412</t>
  </si>
  <si>
    <t>Altiere</t>
  </si>
  <si>
    <t>S00450733</t>
  </si>
  <si>
    <t>S00828677</t>
  </si>
  <si>
    <t>Fajardo-Hopkins</t>
  </si>
  <si>
    <t>Conchy</t>
  </si>
  <si>
    <t>S00827561</t>
  </si>
  <si>
    <t>Flynn</t>
  </si>
  <si>
    <t>S00260864</t>
  </si>
  <si>
    <t>S00459813</t>
  </si>
  <si>
    <t>Duane</t>
  </si>
  <si>
    <t>S00825149</t>
  </si>
  <si>
    <t>Hawk</t>
  </si>
  <si>
    <t>Conida</t>
  </si>
  <si>
    <t>S00482939</t>
  </si>
  <si>
    <t>Kearns</t>
  </si>
  <si>
    <t>S00381209</t>
  </si>
  <si>
    <t>Kingzett</t>
  </si>
  <si>
    <t>S00832830</t>
  </si>
  <si>
    <t>S00582489</t>
  </si>
  <si>
    <t>Meinhardt</t>
  </si>
  <si>
    <t>S00825334</t>
  </si>
  <si>
    <t>Menningen</t>
  </si>
  <si>
    <t>S00056074</t>
  </si>
  <si>
    <t>S00832654</t>
  </si>
  <si>
    <t>S00823068</t>
  </si>
  <si>
    <t>Paxton</t>
  </si>
  <si>
    <t>S00858352</t>
  </si>
  <si>
    <t>Strano</t>
  </si>
  <si>
    <t>S00859982</t>
  </si>
  <si>
    <t>S00022244</t>
  </si>
  <si>
    <t>S00828509</t>
  </si>
  <si>
    <t>Yasick</t>
  </si>
  <si>
    <t>S00072533</t>
  </si>
  <si>
    <t>Zhelezov</t>
  </si>
  <si>
    <t>Vesselin</t>
  </si>
  <si>
    <t>S00480798</t>
  </si>
  <si>
    <t>S00644622</t>
  </si>
  <si>
    <t>S00824150</t>
  </si>
  <si>
    <t>Spielvogel</t>
  </si>
  <si>
    <t>S00010868</t>
  </si>
  <si>
    <t>S00536204</t>
  </si>
  <si>
    <t>Sealey</t>
  </si>
  <si>
    <t>S00621578</t>
  </si>
  <si>
    <t>Marchmon</t>
  </si>
  <si>
    <t>Caren</t>
  </si>
  <si>
    <t>S00821363</t>
  </si>
  <si>
    <t>Orbanic</t>
  </si>
  <si>
    <t>S00383426</t>
  </si>
  <si>
    <t>Buettner</t>
  </si>
  <si>
    <t>S00479721</t>
  </si>
  <si>
    <t>S00637522</t>
  </si>
  <si>
    <t>Schaefer</t>
  </si>
  <si>
    <t>3A1700</t>
  </si>
  <si>
    <t>Technical Processing</t>
  </si>
  <si>
    <t>S00010168</t>
  </si>
  <si>
    <t>S00080205</t>
  </si>
  <si>
    <t>Contae</t>
  </si>
  <si>
    <t>S00051951</t>
  </si>
  <si>
    <t>S00336164</t>
  </si>
  <si>
    <t>S00637795</t>
  </si>
  <si>
    <t>Kaiser</t>
  </si>
  <si>
    <t>S00620861</t>
  </si>
  <si>
    <t>Brodsky</t>
  </si>
  <si>
    <t>S00073149</t>
  </si>
  <si>
    <t>Cantoni</t>
  </si>
  <si>
    <t>S00262728</t>
  </si>
  <si>
    <t>Moir</t>
  </si>
  <si>
    <t>S00405363</t>
  </si>
  <si>
    <t>Hill-Franklin</t>
  </si>
  <si>
    <t>Minnie</t>
  </si>
  <si>
    <t>S00810991</t>
  </si>
  <si>
    <t>Mary-Michelle</t>
  </si>
  <si>
    <t>S00793597</t>
  </si>
  <si>
    <t>Deka</t>
  </si>
  <si>
    <t>S00091182</t>
  </si>
  <si>
    <t>Fain</t>
  </si>
  <si>
    <t>Roe</t>
  </si>
  <si>
    <t>S00098842</t>
  </si>
  <si>
    <t>Finney</t>
  </si>
  <si>
    <t>S00235633</t>
  </si>
  <si>
    <t>Hellstern</t>
  </si>
  <si>
    <t>S00115849</t>
  </si>
  <si>
    <t>S00467805</t>
  </si>
  <si>
    <t>S00057537</t>
  </si>
  <si>
    <t>Sample</t>
  </si>
  <si>
    <t>S00807851</t>
  </si>
  <si>
    <t>S00595364</t>
  </si>
  <si>
    <t>Friscioni</t>
  </si>
  <si>
    <t>Emanuela</t>
  </si>
  <si>
    <t>S00114987</t>
  </si>
  <si>
    <t>Pelz</t>
  </si>
  <si>
    <t>S00800531</t>
  </si>
  <si>
    <t>S00149168</t>
  </si>
  <si>
    <t>Bilokonsky</t>
  </si>
  <si>
    <t>S00803879</t>
  </si>
  <si>
    <t>Durkalec</t>
  </si>
  <si>
    <t>S00277008</t>
  </si>
  <si>
    <t>S00446663</t>
  </si>
  <si>
    <t>4E1300</t>
  </si>
  <si>
    <t>Community Education</t>
  </si>
  <si>
    <t>S00645620</t>
  </si>
  <si>
    <t>Kavaras</t>
  </si>
  <si>
    <t>S00808661</t>
  </si>
  <si>
    <t>Kristy</t>
  </si>
  <si>
    <t>S00593408</t>
  </si>
  <si>
    <t>McNulty</t>
  </si>
  <si>
    <t>S00602244</t>
  </si>
  <si>
    <t>S00263377</t>
  </si>
  <si>
    <t>S00115804</t>
  </si>
  <si>
    <t>Nahra</t>
  </si>
  <si>
    <t>S00344087</t>
  </si>
  <si>
    <t>S00056743</t>
  </si>
  <si>
    <t>Johnie</t>
  </si>
  <si>
    <t>S00800683</t>
  </si>
  <si>
    <t>S00557698</t>
  </si>
  <si>
    <t>Szocs</t>
  </si>
  <si>
    <t>3M2425</t>
  </si>
  <si>
    <t>French - M</t>
  </si>
  <si>
    <t>S00286798</t>
  </si>
  <si>
    <t>Tennant</t>
  </si>
  <si>
    <t>S00116177</t>
  </si>
  <si>
    <t>Tlucak</t>
  </si>
  <si>
    <t>S00370703</t>
  </si>
  <si>
    <t>Hugh</t>
  </si>
  <si>
    <t>S00800633</t>
  </si>
  <si>
    <t>S00114876</t>
  </si>
  <si>
    <t>Al-Kaimari</t>
  </si>
  <si>
    <t>Bassem</t>
  </si>
  <si>
    <t>S00800828</t>
  </si>
  <si>
    <t>Bloor</t>
  </si>
  <si>
    <t>S00789012</t>
  </si>
  <si>
    <t>Ashlee</t>
  </si>
  <si>
    <t>S00615411</t>
  </si>
  <si>
    <t>Brunschwig</t>
  </si>
  <si>
    <t>S00801134</t>
  </si>
  <si>
    <t>Callaghan</t>
  </si>
  <si>
    <t>S00731076</t>
  </si>
  <si>
    <t>Catanese</t>
  </si>
  <si>
    <t>S00240282</t>
  </si>
  <si>
    <t>Crider</t>
  </si>
  <si>
    <t>S00025166</t>
  </si>
  <si>
    <t>Ben</t>
  </si>
  <si>
    <t>S00034091</t>
  </si>
  <si>
    <t>Doughten</t>
  </si>
  <si>
    <t>S00788911</t>
  </si>
  <si>
    <t>Emrich</t>
  </si>
  <si>
    <t>S00788917</t>
  </si>
  <si>
    <t>Hrepic</t>
  </si>
  <si>
    <t>Silvana</t>
  </si>
  <si>
    <t>S00009823</t>
  </si>
  <si>
    <t>S00551907</t>
  </si>
  <si>
    <t>S00499287</t>
  </si>
  <si>
    <t>S00115149</t>
  </si>
  <si>
    <t>S00788771</t>
  </si>
  <si>
    <t>S00523315</t>
  </si>
  <si>
    <t>Primuth</t>
  </si>
  <si>
    <t>S00058706</t>
  </si>
  <si>
    <t>Ugran</t>
  </si>
  <si>
    <t>S00791562</t>
  </si>
  <si>
    <t>Weglian</t>
  </si>
  <si>
    <t>S00788809</t>
  </si>
  <si>
    <t>S00803563</t>
  </si>
  <si>
    <t>S00010557</t>
  </si>
  <si>
    <t>Cruse</t>
  </si>
  <si>
    <t>Calliope</t>
  </si>
  <si>
    <t>S00115683</t>
  </si>
  <si>
    <t>Deneet</t>
  </si>
  <si>
    <t>S00018477</t>
  </si>
  <si>
    <t>Premo</t>
  </si>
  <si>
    <t>S00009799</t>
  </si>
  <si>
    <t>Tubbs</t>
  </si>
  <si>
    <t>Spring</t>
  </si>
  <si>
    <t>S00071466</t>
  </si>
  <si>
    <t>Hasrouni</t>
  </si>
  <si>
    <t>Fadi</t>
  </si>
  <si>
    <t>2F4430</t>
  </si>
  <si>
    <t>Mailroom - E</t>
  </si>
  <si>
    <t>S00016282</t>
  </si>
  <si>
    <t>S00017110</t>
  </si>
  <si>
    <t>Bartch</t>
  </si>
  <si>
    <t>S00575469</t>
  </si>
  <si>
    <t>Brennan</t>
  </si>
  <si>
    <t>S00626057</t>
  </si>
  <si>
    <t>Jianhui</t>
  </si>
  <si>
    <t>S00011965</t>
  </si>
  <si>
    <t>Gatautis</t>
  </si>
  <si>
    <t>S00823178</t>
  </si>
  <si>
    <t>Strohl</t>
  </si>
  <si>
    <t>Kingman</t>
  </si>
  <si>
    <t>S00759735</t>
  </si>
  <si>
    <t>Volkar</t>
  </si>
  <si>
    <t>Carie</t>
  </si>
  <si>
    <t>S00154457</t>
  </si>
  <si>
    <t>Dowdell</t>
  </si>
  <si>
    <t>S00233252</t>
  </si>
  <si>
    <t>S00734518</t>
  </si>
  <si>
    <t>Schoop</t>
  </si>
  <si>
    <t>S00010232</t>
  </si>
  <si>
    <t>S00740421</t>
  </si>
  <si>
    <t>S00740513</t>
  </si>
  <si>
    <t>Roloff</t>
  </si>
  <si>
    <t>S00188430</t>
  </si>
  <si>
    <t>Verita</t>
  </si>
  <si>
    <t>S00748781</t>
  </si>
  <si>
    <t>Manana</t>
  </si>
  <si>
    <t>S00227786</t>
  </si>
  <si>
    <t>S00051585</t>
  </si>
  <si>
    <t>S00114775</t>
  </si>
  <si>
    <t>Drenen</t>
  </si>
  <si>
    <t>Molly</t>
  </si>
  <si>
    <t>S00564470</t>
  </si>
  <si>
    <t>Sweeney</t>
  </si>
  <si>
    <t>S00336701</t>
  </si>
  <si>
    <t>Hammer</t>
  </si>
  <si>
    <t>S00639452</t>
  </si>
  <si>
    <t>S00504082</t>
  </si>
  <si>
    <t>S00034544</t>
  </si>
  <si>
    <t>S00504441</t>
  </si>
  <si>
    <t>Melnik</t>
  </si>
  <si>
    <t>S00247251</t>
  </si>
  <si>
    <t>Van Scyoc</t>
  </si>
  <si>
    <t>S00477634</t>
  </si>
  <si>
    <t>S00729371</t>
  </si>
  <si>
    <t>Delczeg</t>
  </si>
  <si>
    <t>S00010124</t>
  </si>
  <si>
    <t>Gall</t>
  </si>
  <si>
    <t>S00065304</t>
  </si>
  <si>
    <t>Lybarger</t>
  </si>
  <si>
    <t>S00726177</t>
  </si>
  <si>
    <t>S00010681</t>
  </si>
  <si>
    <t>S00729456</t>
  </si>
  <si>
    <t>Kirkton</t>
  </si>
  <si>
    <t>S00729462</t>
  </si>
  <si>
    <t>Levinson</t>
  </si>
  <si>
    <t>3E2810</t>
  </si>
  <si>
    <t>Writing Center - E</t>
  </si>
  <si>
    <t>S00182129</t>
  </si>
  <si>
    <t>Peggy</t>
  </si>
  <si>
    <t>S00415285</t>
  </si>
  <si>
    <t>S00726461</t>
  </si>
  <si>
    <t>Loyd</t>
  </si>
  <si>
    <t>S00727604</t>
  </si>
  <si>
    <t>S00727684</t>
  </si>
  <si>
    <t>Masal</t>
  </si>
  <si>
    <t>S00115011</t>
  </si>
  <si>
    <t>S00731524</t>
  </si>
  <si>
    <t>S00724762</t>
  </si>
  <si>
    <t>S00724758</t>
  </si>
  <si>
    <t>Forbes</t>
  </si>
  <si>
    <t>S00157059</t>
  </si>
  <si>
    <t>Harrison</t>
  </si>
  <si>
    <t>S00724879</t>
  </si>
  <si>
    <t>Hendrix</t>
  </si>
  <si>
    <t>S00278389</t>
  </si>
  <si>
    <t>High</t>
  </si>
  <si>
    <t>S00415127</t>
  </si>
  <si>
    <t>Leventhal</t>
  </si>
  <si>
    <t>S00115805</t>
  </si>
  <si>
    <t>S00066060</t>
  </si>
  <si>
    <t>Mociolek</t>
  </si>
  <si>
    <t>S00546721</t>
  </si>
  <si>
    <t>Ramic</t>
  </si>
  <si>
    <t>S00722435</t>
  </si>
  <si>
    <t>Alanna</t>
  </si>
  <si>
    <t>S00226224</t>
  </si>
  <si>
    <t>Stevenor</t>
  </si>
  <si>
    <t>Anna Marie</t>
  </si>
  <si>
    <t>S00724142</t>
  </si>
  <si>
    <t>VanGilder</t>
  </si>
  <si>
    <t>S00727453</t>
  </si>
  <si>
    <t>S00557125</t>
  </si>
  <si>
    <t>Cassaundra</t>
  </si>
  <si>
    <t>S00721095</t>
  </si>
  <si>
    <t>Zukauckas</t>
  </si>
  <si>
    <t>3M2340</t>
  </si>
  <si>
    <t>Health - M</t>
  </si>
  <si>
    <t>S00249885</t>
  </si>
  <si>
    <t>Blalock</t>
  </si>
  <si>
    <t>Ingrid</t>
  </si>
  <si>
    <t>Estella</t>
  </si>
  <si>
    <t>S00076500</t>
  </si>
  <si>
    <t>Lohri</t>
  </si>
  <si>
    <t>S00014173</t>
  </si>
  <si>
    <t>Morley</t>
  </si>
  <si>
    <t>S00518177</t>
  </si>
  <si>
    <t>Ojo</t>
  </si>
  <si>
    <t>S00140986</t>
  </si>
  <si>
    <t>S00061939</t>
  </si>
  <si>
    <t>Akinkuoye</t>
  </si>
  <si>
    <t>Pedro</t>
  </si>
  <si>
    <t>3M3400</t>
  </si>
  <si>
    <t>Community Recreation - M</t>
  </si>
  <si>
    <t>S00010022</t>
  </si>
  <si>
    <t>Buchanan</t>
  </si>
  <si>
    <t>Viviane</t>
  </si>
  <si>
    <t>S00305602</t>
  </si>
  <si>
    <t>Donato</t>
  </si>
  <si>
    <t>S00009718</t>
  </si>
  <si>
    <t>Gilbertson</t>
  </si>
  <si>
    <t>P.</t>
  </si>
  <si>
    <t>S00116152</t>
  </si>
  <si>
    <t>Teddie</t>
  </si>
  <si>
    <t>S00035324</t>
  </si>
  <si>
    <t>Noel-Joshua</t>
  </si>
  <si>
    <t>S00713769</t>
  </si>
  <si>
    <t>S00040424</t>
  </si>
  <si>
    <t>Obrock</t>
  </si>
  <si>
    <t>S00488755</t>
  </si>
  <si>
    <t>S00478688</t>
  </si>
  <si>
    <t>Jezior</t>
  </si>
  <si>
    <t>S00303960</t>
  </si>
  <si>
    <t>Yancey</t>
  </si>
  <si>
    <t>S00575296</t>
  </si>
  <si>
    <t>McKay</t>
  </si>
  <si>
    <t>S00515844</t>
  </si>
  <si>
    <t>S00027941</t>
  </si>
  <si>
    <t>Scye</t>
  </si>
  <si>
    <t>S00047450</t>
  </si>
  <si>
    <t>Segretario</t>
  </si>
  <si>
    <t>S00604694</t>
  </si>
  <si>
    <t>Jarrett</t>
  </si>
  <si>
    <t>Stefanie</t>
  </si>
  <si>
    <t>3W2320</t>
  </si>
  <si>
    <t>Dietary Technology - W</t>
  </si>
  <si>
    <t>S00010741</t>
  </si>
  <si>
    <t>Buckingham</t>
  </si>
  <si>
    <t>S00081622</t>
  </si>
  <si>
    <t>Ebie</t>
  </si>
  <si>
    <t>S00010486</t>
  </si>
  <si>
    <t>Seteria</t>
  </si>
  <si>
    <t>S00010702</t>
  </si>
  <si>
    <t>LuAnn</t>
  </si>
  <si>
    <t>S00035424</t>
  </si>
  <si>
    <t>Mack</t>
  </si>
  <si>
    <t>S00010769</t>
  </si>
  <si>
    <t>S00710011</t>
  </si>
  <si>
    <t>Golden</t>
  </si>
  <si>
    <t>S00294594</t>
  </si>
  <si>
    <t>Reese</t>
  </si>
  <si>
    <t>S00613197</t>
  </si>
  <si>
    <t>Newsome</t>
  </si>
  <si>
    <t>Asa</t>
  </si>
  <si>
    <t>S00696745</t>
  </si>
  <si>
    <t>Agustin</t>
  </si>
  <si>
    <t>Renato</t>
  </si>
  <si>
    <t>S00026679</t>
  </si>
  <si>
    <t>Angilique</t>
  </si>
  <si>
    <t>S00295526</t>
  </si>
  <si>
    <t>S00711761</t>
  </si>
  <si>
    <t>Coughlan</t>
  </si>
  <si>
    <t>3M2770</t>
  </si>
  <si>
    <t>Urban Studies - M</t>
  </si>
  <si>
    <t>S00032331</t>
  </si>
  <si>
    <t>De Sorgo</t>
  </si>
  <si>
    <t>Susanna</t>
  </si>
  <si>
    <t>3W2700</t>
  </si>
  <si>
    <t>Assoc Dean Social Sciences - W</t>
  </si>
  <si>
    <t>S00301391</t>
  </si>
  <si>
    <t>S00621349</t>
  </si>
  <si>
    <t>Flatt</t>
  </si>
  <si>
    <t>S00312528</t>
  </si>
  <si>
    <t>Hakaim</t>
  </si>
  <si>
    <t>S00707158</t>
  </si>
  <si>
    <t>Heimbach</t>
  </si>
  <si>
    <t>S00018340</t>
  </si>
  <si>
    <t>Hesin</t>
  </si>
  <si>
    <t>S00712653</t>
  </si>
  <si>
    <t>Hubacher</t>
  </si>
  <si>
    <t>S00010895</t>
  </si>
  <si>
    <t>Isphording</t>
  </si>
  <si>
    <t>X.</t>
  </si>
  <si>
    <t>S00478779</t>
  </si>
  <si>
    <t>Johanek</t>
  </si>
  <si>
    <t>S00114885</t>
  </si>
  <si>
    <t>Kerzner</t>
  </si>
  <si>
    <t>S00709994</t>
  </si>
  <si>
    <t>Kola</t>
  </si>
  <si>
    <t>Arben</t>
  </si>
  <si>
    <t>S00069142</t>
  </si>
  <si>
    <t>Koptis</t>
  </si>
  <si>
    <t>3W2645</t>
  </si>
  <si>
    <t>Mechanical Engineering - W</t>
  </si>
  <si>
    <t>S00379387</t>
  </si>
  <si>
    <t>S00548107</t>
  </si>
  <si>
    <t>S00021888</t>
  </si>
  <si>
    <t>Merritt</t>
  </si>
  <si>
    <t>S00707054</t>
  </si>
  <si>
    <t>Poritsky</t>
  </si>
  <si>
    <t>S00557794</t>
  </si>
  <si>
    <t>Raufman</t>
  </si>
  <si>
    <t>S00433678</t>
  </si>
  <si>
    <t>Rossi</t>
  </si>
  <si>
    <t>Daniella</t>
  </si>
  <si>
    <t>S00019237</t>
  </si>
  <si>
    <t>S00707811</t>
  </si>
  <si>
    <t>Shepard</t>
  </si>
  <si>
    <t>S00628034</t>
  </si>
  <si>
    <t>Vencl</t>
  </si>
  <si>
    <t>S00444930</t>
  </si>
  <si>
    <t>Will</t>
  </si>
  <si>
    <t>S00696427</t>
  </si>
  <si>
    <t>S00707112</t>
  </si>
  <si>
    <t>S00702217</t>
  </si>
  <si>
    <t>Pater</t>
  </si>
  <si>
    <t>S00010246</t>
  </si>
  <si>
    <t>S00205644</t>
  </si>
  <si>
    <t>Fabrizi</t>
  </si>
  <si>
    <t>S00465910</t>
  </si>
  <si>
    <t>Gulick</t>
  </si>
  <si>
    <t>S00010503</t>
  </si>
  <si>
    <t>Shirilla</t>
  </si>
  <si>
    <t>S00559890</t>
  </si>
  <si>
    <t>S00417654</t>
  </si>
  <si>
    <t>Geoffrey</t>
  </si>
  <si>
    <t>S00591971</t>
  </si>
  <si>
    <t>S00009871</t>
  </si>
  <si>
    <t>S00397707</t>
  </si>
  <si>
    <t>S00068373</t>
  </si>
  <si>
    <t>Rzepka</t>
  </si>
  <si>
    <t>S00025187</t>
  </si>
  <si>
    <t>S00037278</t>
  </si>
  <si>
    <t>S00049364</t>
  </si>
  <si>
    <t>Frys</t>
  </si>
  <si>
    <t>S00012368</t>
  </si>
  <si>
    <t>Bohlar</t>
  </si>
  <si>
    <t>Terrill</t>
  </si>
  <si>
    <t>S00379245</t>
  </si>
  <si>
    <t>Chojnacki</t>
  </si>
  <si>
    <t>Lenora</t>
  </si>
  <si>
    <t>S00038570</t>
  </si>
  <si>
    <t>S00069677</t>
  </si>
  <si>
    <t>Kirkpatrick</t>
  </si>
  <si>
    <t>S00054035</t>
  </si>
  <si>
    <t>McCollum</t>
  </si>
  <si>
    <t>S00596826</t>
  </si>
  <si>
    <t>Oresanya</t>
  </si>
  <si>
    <t>Ronke</t>
  </si>
  <si>
    <t>S00185816</t>
  </si>
  <si>
    <t>Rosacco</t>
  </si>
  <si>
    <t>S00053907</t>
  </si>
  <si>
    <t>Mausser</t>
  </si>
  <si>
    <t>Herbert</t>
  </si>
  <si>
    <t>3A1275</t>
  </si>
  <si>
    <t>Honors Program - D</t>
  </si>
  <si>
    <t>S00115654</t>
  </si>
  <si>
    <t>Bacher</t>
  </si>
  <si>
    <t>S00676628</t>
  </si>
  <si>
    <t>Escobar</t>
  </si>
  <si>
    <t>Hilary</t>
  </si>
  <si>
    <t>S00281228</t>
  </si>
  <si>
    <t>Bohn</t>
  </si>
  <si>
    <t>S00010447</t>
  </si>
  <si>
    <t>Armenio</t>
  </si>
  <si>
    <t>S00073518</t>
  </si>
  <si>
    <t>Grover</t>
  </si>
  <si>
    <t>Noreen (Rini)</t>
  </si>
  <si>
    <t>S00009910</t>
  </si>
  <si>
    <t>Moosmann</t>
  </si>
  <si>
    <t>S00676000</t>
  </si>
  <si>
    <t>Bridavsky</t>
  </si>
  <si>
    <t>3E2370</t>
  </si>
  <si>
    <t>Physical Science - E</t>
  </si>
  <si>
    <t>S00623301</t>
  </si>
  <si>
    <t>Eisner</t>
  </si>
  <si>
    <t>Neela</t>
  </si>
  <si>
    <t>S00643812</t>
  </si>
  <si>
    <t>Furraitti</t>
  </si>
  <si>
    <t>S00404587</t>
  </si>
  <si>
    <t>S00023513</t>
  </si>
  <si>
    <t>S00676496</t>
  </si>
  <si>
    <t>Hornick</t>
  </si>
  <si>
    <t>S00010876</t>
  </si>
  <si>
    <t>Dvorak</t>
  </si>
  <si>
    <t>Carrin</t>
  </si>
  <si>
    <t>S00372321</t>
  </si>
  <si>
    <t>Ezell</t>
  </si>
  <si>
    <t>S00203739</t>
  </si>
  <si>
    <t>S00661564</t>
  </si>
  <si>
    <t>Lawrentz</t>
  </si>
  <si>
    <t>S00488532</t>
  </si>
  <si>
    <t>Fridley</t>
  </si>
  <si>
    <t>Tera</t>
  </si>
  <si>
    <t>Christin</t>
  </si>
  <si>
    <t>S00074180</t>
  </si>
  <si>
    <t>Melnychenko</t>
  </si>
  <si>
    <t>Oksana</t>
  </si>
  <si>
    <t>S00436319</t>
  </si>
  <si>
    <t>Tyree</t>
  </si>
  <si>
    <t>Jimmy</t>
  </si>
  <si>
    <t>S00435756</t>
  </si>
  <si>
    <t>Viola</t>
  </si>
  <si>
    <t>S00115062</t>
  </si>
  <si>
    <t>Clar</t>
  </si>
  <si>
    <t>Arvin</t>
  </si>
  <si>
    <t>S00009964</t>
  </si>
  <si>
    <t>S00453142</t>
  </si>
  <si>
    <t>S00365677</t>
  </si>
  <si>
    <t>S00433733</t>
  </si>
  <si>
    <t>Van Heule</t>
  </si>
  <si>
    <t>S00356610</t>
  </si>
  <si>
    <t>S00075304</t>
  </si>
  <si>
    <t>Agosto</t>
  </si>
  <si>
    <t>S00427267</t>
  </si>
  <si>
    <t>Baca</t>
  </si>
  <si>
    <t>S00299444</t>
  </si>
  <si>
    <t>Burrell</t>
  </si>
  <si>
    <t>S00449828</t>
  </si>
  <si>
    <t>Chiappini-Williamson</t>
  </si>
  <si>
    <t>S00416911</t>
  </si>
  <si>
    <t>S00643223</t>
  </si>
  <si>
    <t>LaGatta</t>
  </si>
  <si>
    <t>Lester</t>
  </si>
  <si>
    <t>S00645409</t>
  </si>
  <si>
    <t>Datta</t>
  </si>
  <si>
    <t>Utpal</t>
  </si>
  <si>
    <t>S00626032</t>
  </si>
  <si>
    <t>Elbrand</t>
  </si>
  <si>
    <t>S00050688</t>
  </si>
  <si>
    <t>S00621903</t>
  </si>
  <si>
    <t>S00418997</t>
  </si>
  <si>
    <t>Juarez</t>
  </si>
  <si>
    <t>Jaime</t>
  </si>
  <si>
    <t>S00644678</t>
  </si>
  <si>
    <t>Mastroianni</t>
  </si>
  <si>
    <t>S00427086</t>
  </si>
  <si>
    <t>Nay</t>
  </si>
  <si>
    <t>S00024042</t>
  </si>
  <si>
    <t>S00620945</t>
  </si>
  <si>
    <t>Pataky</t>
  </si>
  <si>
    <t>3W2270</t>
  </si>
  <si>
    <t>Marketing - W</t>
  </si>
  <si>
    <t>S00497843</t>
  </si>
  <si>
    <t>Rouse</t>
  </si>
  <si>
    <t>S00644905</t>
  </si>
  <si>
    <t>Russo</t>
  </si>
  <si>
    <t>S00643992</t>
  </si>
  <si>
    <t>Sasowsky</t>
  </si>
  <si>
    <t>S00497735</t>
  </si>
  <si>
    <t>S00427164</t>
  </si>
  <si>
    <t>Struna</t>
  </si>
  <si>
    <t>S00644823</t>
  </si>
  <si>
    <t>S00610013</t>
  </si>
  <si>
    <t>Qizhi</t>
  </si>
  <si>
    <t>C. G.</t>
  </si>
  <si>
    <t>S00256210</t>
  </si>
  <si>
    <t>Rice-Sanders</t>
  </si>
  <si>
    <t>Parris</t>
  </si>
  <si>
    <t>S00645474</t>
  </si>
  <si>
    <t>Yonkers</t>
  </si>
  <si>
    <t>S00035108</t>
  </si>
  <si>
    <t>Hightower</t>
  </si>
  <si>
    <t>S00530896</t>
  </si>
  <si>
    <t>Royle</t>
  </si>
  <si>
    <t>3R1700</t>
  </si>
  <si>
    <t>Hispanic Steering Council</t>
  </si>
  <si>
    <t>S00160302</t>
  </si>
  <si>
    <t>S00049509</t>
  </si>
  <si>
    <t>Gasler</t>
  </si>
  <si>
    <t>S00049813</t>
  </si>
  <si>
    <t>Conte</t>
  </si>
  <si>
    <t>S00041230</t>
  </si>
  <si>
    <t>S00010188</t>
  </si>
  <si>
    <t>S00625257</t>
  </si>
  <si>
    <t>Mahmood</t>
  </si>
  <si>
    <t>S00468377</t>
  </si>
  <si>
    <t>S00308171</t>
  </si>
  <si>
    <t>S00047031</t>
  </si>
  <si>
    <t>Bakari</t>
  </si>
  <si>
    <t>S00642940</t>
  </si>
  <si>
    <t>Denoto</t>
  </si>
  <si>
    <t>Assunta</t>
  </si>
  <si>
    <t>S00035367</t>
  </si>
  <si>
    <t>DuPerow</t>
  </si>
  <si>
    <t>S00050190</t>
  </si>
  <si>
    <t>Hallbank</t>
  </si>
  <si>
    <t>S00177818</t>
  </si>
  <si>
    <t>S00641739</t>
  </si>
  <si>
    <t>Crowell</t>
  </si>
  <si>
    <t>S00344672</t>
  </si>
  <si>
    <t>S00009746</t>
  </si>
  <si>
    <t>Bob</t>
  </si>
  <si>
    <t>S00505464</t>
  </si>
  <si>
    <t>Karpowicz</t>
  </si>
  <si>
    <t>S00027301</t>
  </si>
  <si>
    <t>Southard</t>
  </si>
  <si>
    <t>Freeland</t>
  </si>
  <si>
    <t>S00367743</t>
  </si>
  <si>
    <t>Trent</t>
  </si>
  <si>
    <t>S00231928</t>
  </si>
  <si>
    <t>Batch-Wilson</t>
  </si>
  <si>
    <t>S00603302</t>
  </si>
  <si>
    <t>McGreal</t>
  </si>
  <si>
    <t>S00478260</t>
  </si>
  <si>
    <t>Nycz</t>
  </si>
  <si>
    <t>S00009905</t>
  </si>
  <si>
    <t>S00638945</t>
  </si>
  <si>
    <t>Blasko</t>
  </si>
  <si>
    <t>S00116167</t>
  </si>
  <si>
    <t>S00641259</t>
  </si>
  <si>
    <t>Clark-Sutton</t>
  </si>
  <si>
    <t>S00638948</t>
  </si>
  <si>
    <t>Samanaz</t>
  </si>
  <si>
    <t>S00639467</t>
  </si>
  <si>
    <t>Farley</t>
  </si>
  <si>
    <t>S00637112</t>
  </si>
  <si>
    <t>Fried</t>
  </si>
  <si>
    <t>S00205379</t>
  </si>
  <si>
    <t>Gennert</t>
  </si>
  <si>
    <t>Tiiu</t>
  </si>
  <si>
    <t>S00202307</t>
  </si>
  <si>
    <t>Gorbach-Melchioris</t>
  </si>
  <si>
    <t>S00466352</t>
  </si>
  <si>
    <t>Habig</t>
  </si>
  <si>
    <t>S00639815</t>
  </si>
  <si>
    <t>Hamulak</t>
  </si>
  <si>
    <t>S00468486</t>
  </si>
  <si>
    <t>S00446488</t>
  </si>
  <si>
    <t>Hart-Fowler</t>
  </si>
  <si>
    <t>K.</t>
  </si>
  <si>
    <t>S00604084</t>
  </si>
  <si>
    <t>Hartzell</t>
  </si>
  <si>
    <t>S00025806</t>
  </si>
  <si>
    <t>Maher</t>
  </si>
  <si>
    <t>S00502619</t>
  </si>
  <si>
    <t>McGinley</t>
  </si>
  <si>
    <t>S00639389</t>
  </si>
  <si>
    <t>Mravec</t>
  </si>
  <si>
    <t>S00639055</t>
  </si>
  <si>
    <t>Nodes</t>
  </si>
  <si>
    <t>S00513186</t>
  </si>
  <si>
    <t>S00639027</t>
  </si>
  <si>
    <t>OShea</t>
  </si>
  <si>
    <t>S00640781</t>
  </si>
  <si>
    <t>Peak</t>
  </si>
  <si>
    <t>Elson</t>
  </si>
  <si>
    <t>S00234784</t>
  </si>
  <si>
    <t>S00066904</t>
  </si>
  <si>
    <t>Scott-Wasilk</t>
  </si>
  <si>
    <t>S00222914</t>
  </si>
  <si>
    <t>Sofalvi</t>
  </si>
  <si>
    <t>Szabolcs</t>
  </si>
  <si>
    <t>S00638655</t>
  </si>
  <si>
    <t>Thomas-Ziemnik</t>
  </si>
  <si>
    <t>S00640222</t>
  </si>
  <si>
    <t>S00429494</t>
  </si>
  <si>
    <t>S00578539</t>
  </si>
  <si>
    <t>Bougebrayel</t>
  </si>
  <si>
    <t>Tanios</t>
  </si>
  <si>
    <t>S00116014</t>
  </si>
  <si>
    <t>S00115508</t>
  </si>
  <si>
    <t>Francway</t>
  </si>
  <si>
    <t>D.</t>
  </si>
  <si>
    <t>S00586454</t>
  </si>
  <si>
    <t>Hsu</t>
  </si>
  <si>
    <t>Tien-Ti</t>
  </si>
  <si>
    <t>S00010606</t>
  </si>
  <si>
    <t>S00010191</t>
  </si>
  <si>
    <t>Kan</t>
  </si>
  <si>
    <t>S00281123</t>
  </si>
  <si>
    <t>Luber</t>
  </si>
  <si>
    <t>S00639929</t>
  </si>
  <si>
    <t>S00022470</t>
  </si>
  <si>
    <t>Rusnov</t>
  </si>
  <si>
    <t>Aida</t>
  </si>
  <si>
    <t>3X3150</t>
  </si>
  <si>
    <t>High Tech Academy - M</t>
  </si>
  <si>
    <t>S00596404</t>
  </si>
  <si>
    <t>Scales</t>
  </si>
  <si>
    <t>S00035474</t>
  </si>
  <si>
    <t>Shankman</t>
  </si>
  <si>
    <t>Maribeth</t>
  </si>
  <si>
    <t>S00637656</t>
  </si>
  <si>
    <t>Bratslavsky</t>
  </si>
  <si>
    <t>S00043867</t>
  </si>
  <si>
    <t>Fales</t>
  </si>
  <si>
    <t>S00042575</t>
  </si>
  <si>
    <t>Heer</t>
  </si>
  <si>
    <t>Sunita</t>
  </si>
  <si>
    <t>S00487140</t>
  </si>
  <si>
    <t>Kopisarova</t>
  </si>
  <si>
    <t>Elizaveta</t>
  </si>
  <si>
    <t>S00043380</t>
  </si>
  <si>
    <t>Lohwater</t>
  </si>
  <si>
    <t>S00637649</t>
  </si>
  <si>
    <t>S00637630</t>
  </si>
  <si>
    <t>McCraith</t>
  </si>
  <si>
    <t>S00637685</t>
  </si>
  <si>
    <t>Riffle</t>
  </si>
  <si>
    <t>R S</t>
  </si>
  <si>
    <t>S00090159</t>
  </si>
  <si>
    <t>Souther</t>
  </si>
  <si>
    <t>S00131448</t>
  </si>
  <si>
    <t>S00325687</t>
  </si>
  <si>
    <t>S00604720</t>
  </si>
  <si>
    <t>Watters</t>
  </si>
  <si>
    <t>S00609429</t>
  </si>
  <si>
    <t>Whetsel</t>
  </si>
  <si>
    <t>S00063877</t>
  </si>
  <si>
    <t>Ballard</t>
  </si>
  <si>
    <t>S00039992</t>
  </si>
  <si>
    <t>S00017031</t>
  </si>
  <si>
    <t>Baylon</t>
  </si>
  <si>
    <t>S00010623</t>
  </si>
  <si>
    <t>Blue</t>
  </si>
  <si>
    <t>S00010150</t>
  </si>
  <si>
    <t>S00010759</t>
  </si>
  <si>
    <t>Debose</t>
  </si>
  <si>
    <t>S00009980</t>
  </si>
  <si>
    <t>Gerosky</t>
  </si>
  <si>
    <t>Marylouise</t>
  </si>
  <si>
    <t>S00307430</t>
  </si>
  <si>
    <t>Haug</t>
  </si>
  <si>
    <t>S00115956</t>
  </si>
  <si>
    <t>Kelemen</t>
  </si>
  <si>
    <t>S00636694</t>
  </si>
  <si>
    <t>S00594684</t>
  </si>
  <si>
    <t>Pomiecko</t>
  </si>
  <si>
    <t>S00010239</t>
  </si>
  <si>
    <t>Rayel</t>
  </si>
  <si>
    <t>S00615005</t>
  </si>
  <si>
    <t>Cieslik</t>
  </si>
  <si>
    <t>S00010237</t>
  </si>
  <si>
    <t>Kwitkowski</t>
  </si>
  <si>
    <t>S00632058</t>
  </si>
  <si>
    <t>Kasumov</t>
  </si>
  <si>
    <t>Takhar</t>
  </si>
  <si>
    <t>S00418175</t>
  </si>
  <si>
    <t>Alejandro</t>
  </si>
  <si>
    <t>S00495534</t>
  </si>
  <si>
    <t>Lowry</t>
  </si>
  <si>
    <t>S00631702</t>
  </si>
  <si>
    <t>Hammonds</t>
  </si>
  <si>
    <t>S00631618</t>
  </si>
  <si>
    <t>S00630995</t>
  </si>
  <si>
    <t>S00517948</t>
  </si>
  <si>
    <t>Pavlak</t>
  </si>
  <si>
    <t>S00629383</t>
  </si>
  <si>
    <t>S00471272</t>
  </si>
  <si>
    <t>Herskovic</t>
  </si>
  <si>
    <t>S00620796</t>
  </si>
  <si>
    <t>Havens</t>
  </si>
  <si>
    <t>S00144309</t>
  </si>
  <si>
    <t>Melva</t>
  </si>
  <si>
    <t>S00023407</t>
  </si>
  <si>
    <t>Loflin</t>
  </si>
  <si>
    <t>S00064581</t>
  </si>
  <si>
    <t>Hehemann</t>
  </si>
  <si>
    <t>S00628314</t>
  </si>
  <si>
    <t>Rausch</t>
  </si>
  <si>
    <t>S00025311</t>
  </si>
  <si>
    <t>Whittington</t>
  </si>
  <si>
    <t>S00115401</t>
  </si>
  <si>
    <t>S00597062</t>
  </si>
  <si>
    <t>Romanello</t>
  </si>
  <si>
    <t>Cristina</t>
  </si>
  <si>
    <t>S00418024</t>
  </si>
  <si>
    <t>Wanko</t>
  </si>
  <si>
    <t>S00557694</t>
  </si>
  <si>
    <t>Dagata</t>
  </si>
  <si>
    <t>S00050262</t>
  </si>
  <si>
    <t>Harasimchuk</t>
  </si>
  <si>
    <t>S00626003</t>
  </si>
  <si>
    <t>S00145831</t>
  </si>
  <si>
    <t>Baisden</t>
  </si>
  <si>
    <t>S00020695</t>
  </si>
  <si>
    <t>Beil</t>
  </si>
  <si>
    <t>S00248608</t>
  </si>
  <si>
    <t>Cantwell</t>
  </si>
  <si>
    <t>S00031322</t>
  </si>
  <si>
    <t>DeCapite</t>
  </si>
  <si>
    <t>S00627055</t>
  </si>
  <si>
    <t>Underwood</t>
  </si>
  <si>
    <t>S00164486</t>
  </si>
  <si>
    <t>Ilodi</t>
  </si>
  <si>
    <t>S00423360</t>
  </si>
  <si>
    <t>Kirkland</t>
  </si>
  <si>
    <t>S00059389</t>
  </si>
  <si>
    <t>Luffey</t>
  </si>
  <si>
    <t>S00583798</t>
  </si>
  <si>
    <t>S00205877</t>
  </si>
  <si>
    <t>S00625516</t>
  </si>
  <si>
    <t>Ohnhaus</t>
  </si>
  <si>
    <t>S00522036</t>
  </si>
  <si>
    <t>Ponstingle</t>
  </si>
  <si>
    <t>S00084719</t>
  </si>
  <si>
    <t>Spellman</t>
  </si>
  <si>
    <t>S00626961</t>
  </si>
  <si>
    <t>Steinweg</t>
  </si>
  <si>
    <t>L E</t>
  </si>
  <si>
    <t>S00626279</t>
  </si>
  <si>
    <t>Zaper</t>
  </si>
  <si>
    <t>S00577258</t>
  </si>
  <si>
    <t>Liebenauer</t>
  </si>
  <si>
    <t>S00035586</t>
  </si>
  <si>
    <t>Rudyk</t>
  </si>
  <si>
    <t>S00414383</t>
  </si>
  <si>
    <t>S00045377</t>
  </si>
  <si>
    <t>S00624124</t>
  </si>
  <si>
    <t>S00011870</t>
  </si>
  <si>
    <t>Ferrante</t>
  </si>
  <si>
    <t>Rhea</t>
  </si>
  <si>
    <t>S00154751</t>
  </si>
  <si>
    <t>S00028210</t>
  </si>
  <si>
    <t>S00032742</t>
  </si>
  <si>
    <t>S00010711</t>
  </si>
  <si>
    <t>S00052080</t>
  </si>
  <si>
    <t>S00038060</t>
  </si>
  <si>
    <t>Marita</t>
  </si>
  <si>
    <t>Adela</t>
  </si>
  <si>
    <t>S00623237</t>
  </si>
  <si>
    <t>Raiz</t>
  </si>
  <si>
    <t>Haim</t>
  </si>
  <si>
    <t>S00069408</t>
  </si>
  <si>
    <t>Tammi</t>
  </si>
  <si>
    <t>S00543056</t>
  </si>
  <si>
    <t>Soucie</t>
  </si>
  <si>
    <t>S00432674</t>
  </si>
  <si>
    <t>Sadik</t>
  </si>
  <si>
    <t>Magdy</t>
  </si>
  <si>
    <t>Waheeb</t>
  </si>
  <si>
    <t>S00012974</t>
  </si>
  <si>
    <t>Gilliland</t>
  </si>
  <si>
    <t>S00589891</t>
  </si>
  <si>
    <t>S00622267</t>
  </si>
  <si>
    <t>Kapinski</t>
  </si>
  <si>
    <t>S00298662</t>
  </si>
  <si>
    <t>Kebrom-Araya</t>
  </si>
  <si>
    <t>Habtom</t>
  </si>
  <si>
    <t>S00048270</t>
  </si>
  <si>
    <t>Salisu</t>
  </si>
  <si>
    <t>Jamiu</t>
  </si>
  <si>
    <t>Yemi</t>
  </si>
  <si>
    <t>S00010842</t>
  </si>
  <si>
    <t>Virant</t>
  </si>
  <si>
    <t>Marcey</t>
  </si>
  <si>
    <t>S00589521</t>
  </si>
  <si>
    <t>Tonisha</t>
  </si>
  <si>
    <t>S00085828</t>
  </si>
  <si>
    <t>Aloi</t>
  </si>
  <si>
    <t>S00156309</t>
  </si>
  <si>
    <t>Buescher</t>
  </si>
  <si>
    <t>S00616292</t>
  </si>
  <si>
    <t>Hui-Chun</t>
  </si>
  <si>
    <t>3W2410</t>
  </si>
  <si>
    <t>Chinese - W</t>
  </si>
  <si>
    <t>S00086169</t>
  </si>
  <si>
    <t>Crapps</t>
  </si>
  <si>
    <t>Marietta</t>
  </si>
  <si>
    <t>S00624956</t>
  </si>
  <si>
    <t>Farren</t>
  </si>
  <si>
    <t>S00620398</t>
  </si>
  <si>
    <t>Gaukin</t>
  </si>
  <si>
    <t>S00421100</t>
  </si>
  <si>
    <t>S00620705</t>
  </si>
  <si>
    <t>Kovalick</t>
  </si>
  <si>
    <t>S00312555</t>
  </si>
  <si>
    <t>Leblond</t>
  </si>
  <si>
    <t>S00619967</t>
  </si>
  <si>
    <t>Lohn</t>
  </si>
  <si>
    <t>S00054424</t>
  </si>
  <si>
    <t>Michalla-Neubaecker</t>
  </si>
  <si>
    <t>Gudrun</t>
  </si>
  <si>
    <t>S00620400</t>
  </si>
  <si>
    <t>Niederhausen</t>
  </si>
  <si>
    <t>S00620738</t>
  </si>
  <si>
    <t>Nunney</t>
  </si>
  <si>
    <t>S00115097</t>
  </si>
  <si>
    <t>Oliverio</t>
  </si>
  <si>
    <t>S00257888</t>
  </si>
  <si>
    <t>Saks</t>
  </si>
  <si>
    <t>Sidney</t>
  </si>
  <si>
    <t>S00620147</t>
  </si>
  <si>
    <t>S00590118</t>
  </si>
  <si>
    <t>Schmotzer</t>
  </si>
  <si>
    <t>S00010684</t>
  </si>
  <si>
    <t>Sliwinski</t>
  </si>
  <si>
    <t>S00031686</t>
  </si>
  <si>
    <t>Svozil</t>
  </si>
  <si>
    <t>S00147458</t>
  </si>
  <si>
    <t>Thurner</t>
  </si>
  <si>
    <t>Clara</t>
  </si>
  <si>
    <t>S00226336</t>
  </si>
  <si>
    <t>Richelle</t>
  </si>
  <si>
    <t>S00620672</t>
  </si>
  <si>
    <t>Wuerth</t>
  </si>
  <si>
    <t>S00009758</t>
  </si>
  <si>
    <t>Boyko</t>
  </si>
  <si>
    <t>S00115552</t>
  </si>
  <si>
    <t>S00604018</t>
  </si>
  <si>
    <t>Glatt</t>
  </si>
  <si>
    <t>S00497586</t>
  </si>
  <si>
    <t>S00621457</t>
  </si>
  <si>
    <t>S00572760</t>
  </si>
  <si>
    <t>S00478032</t>
  </si>
  <si>
    <t>Jaskulski</t>
  </si>
  <si>
    <t>S00017035</t>
  </si>
  <si>
    <t>Clarence</t>
  </si>
  <si>
    <t>S00579751</t>
  </si>
  <si>
    <t>S00085377</t>
  </si>
  <si>
    <t>McNatt</t>
  </si>
  <si>
    <t>S00436192</t>
  </si>
  <si>
    <t>S00620523</t>
  </si>
  <si>
    <t>Stady</t>
  </si>
  <si>
    <t>S00063373</t>
  </si>
  <si>
    <t>VanPelt</t>
  </si>
  <si>
    <t>S00603991</t>
  </si>
  <si>
    <t>S00085983</t>
  </si>
  <si>
    <t>S00115878</t>
  </si>
  <si>
    <t>Dates-Carter</t>
  </si>
  <si>
    <t>S00454183</t>
  </si>
  <si>
    <t>Purgar</t>
  </si>
  <si>
    <t>S00044043</t>
  </si>
  <si>
    <t>Bauerschmidt</t>
  </si>
  <si>
    <t>S00230712</t>
  </si>
  <si>
    <t>Boehnlein</t>
  </si>
  <si>
    <t>S00441916</t>
  </si>
  <si>
    <t>Ferenchak</t>
  </si>
  <si>
    <t>S00010278</t>
  </si>
  <si>
    <t>Abiola</t>
  </si>
  <si>
    <t>S00115560</t>
  </si>
  <si>
    <t>Bravo</t>
  </si>
  <si>
    <t>S00010821</t>
  </si>
  <si>
    <t>Bacik</t>
  </si>
  <si>
    <t>S00264521</t>
  </si>
  <si>
    <t>Ali</t>
  </si>
  <si>
    <t>Mohamed</t>
  </si>
  <si>
    <t>S00010352</t>
  </si>
  <si>
    <t>Cisco</t>
  </si>
  <si>
    <t>S00455810</t>
  </si>
  <si>
    <t>Eshleman</t>
  </si>
  <si>
    <t>S00615360</t>
  </si>
  <si>
    <t>Martinson</t>
  </si>
  <si>
    <t>S00381264</t>
  </si>
  <si>
    <t>S00190330</t>
  </si>
  <si>
    <t>S00066106</t>
  </si>
  <si>
    <t>Ariana</t>
  </si>
  <si>
    <t>S00461301</t>
  </si>
  <si>
    <t>Gelsomino</t>
  </si>
  <si>
    <t>S00115573</t>
  </si>
  <si>
    <t>S00010862</t>
  </si>
  <si>
    <t>Hlucky</t>
  </si>
  <si>
    <t>S00486897</t>
  </si>
  <si>
    <t>S00497885</t>
  </si>
  <si>
    <t>Maltba</t>
  </si>
  <si>
    <t>S00448119</t>
  </si>
  <si>
    <t>Borland</t>
  </si>
  <si>
    <t>S00115271</t>
  </si>
  <si>
    <t>Childress</t>
  </si>
  <si>
    <t>S00083165</t>
  </si>
  <si>
    <t>Demetrius</t>
  </si>
  <si>
    <t>S00431444</t>
  </si>
  <si>
    <t>S00562539</t>
  </si>
  <si>
    <t>Amstutz</t>
  </si>
  <si>
    <t>S00051324</t>
  </si>
  <si>
    <t>S00289978</t>
  </si>
  <si>
    <t>S00072388</t>
  </si>
  <si>
    <t>Basho</t>
  </si>
  <si>
    <t>Adriana</t>
  </si>
  <si>
    <t>S00307516</t>
  </si>
  <si>
    <t>Broski</t>
  </si>
  <si>
    <t>S00390041</t>
  </si>
  <si>
    <t>S00287284</t>
  </si>
  <si>
    <t>Topoly</t>
  </si>
  <si>
    <t>S00023366</t>
  </si>
  <si>
    <t>S00418308</t>
  </si>
  <si>
    <t>3X3220</t>
  </si>
  <si>
    <t>Educ Opportunity Center Funds</t>
  </si>
  <si>
    <t>S00607056</t>
  </si>
  <si>
    <t>Sears</t>
  </si>
  <si>
    <t>S00058428</t>
  </si>
  <si>
    <t>Small</t>
  </si>
  <si>
    <t>S00418265</t>
  </si>
  <si>
    <t>Toensing</t>
  </si>
  <si>
    <t>S00531897</t>
  </si>
  <si>
    <t>S00311048</t>
  </si>
  <si>
    <t>Artino</t>
  </si>
  <si>
    <t>S00609635</t>
  </si>
  <si>
    <t>Bambic</t>
  </si>
  <si>
    <t>S00573948</t>
  </si>
  <si>
    <t>L David</t>
  </si>
  <si>
    <t>S00082220</t>
  </si>
  <si>
    <t>S00359807</t>
  </si>
  <si>
    <t>Chaloupka</t>
  </si>
  <si>
    <t>S00027418</t>
  </si>
  <si>
    <t>Klarich</t>
  </si>
  <si>
    <t>S00486615</t>
  </si>
  <si>
    <t>Kohlas</t>
  </si>
  <si>
    <t>S00435351</t>
  </si>
  <si>
    <t>Konchan</t>
  </si>
  <si>
    <t>S00147092</t>
  </si>
  <si>
    <t>S00053087</t>
  </si>
  <si>
    <t>Lewandowski</t>
  </si>
  <si>
    <t>S00116055</t>
  </si>
  <si>
    <t>MacKinnon</t>
  </si>
  <si>
    <t>S00010469</t>
  </si>
  <si>
    <t>Nagel</t>
  </si>
  <si>
    <t>S00609809</t>
  </si>
  <si>
    <t>Rodstrom</t>
  </si>
  <si>
    <t>S00082751</t>
  </si>
  <si>
    <t>S00115555</t>
  </si>
  <si>
    <t>S00058289</t>
  </si>
  <si>
    <t>Simpkins</t>
  </si>
  <si>
    <t>Danyelle</t>
  </si>
  <si>
    <t>S00609273</t>
  </si>
  <si>
    <t>Srinivason</t>
  </si>
  <si>
    <t>Sumi</t>
  </si>
  <si>
    <t>S00010709</t>
  </si>
  <si>
    <t>Zabriskie</t>
  </si>
  <si>
    <t>S00114972</t>
  </si>
  <si>
    <t>Zelenak</t>
  </si>
  <si>
    <t>3W2635</t>
  </si>
  <si>
    <t>Manufacturing Industrial Tech - W</t>
  </si>
  <si>
    <t>S00010564</t>
  </si>
  <si>
    <t>Katsue</t>
  </si>
  <si>
    <t>S00013557</t>
  </si>
  <si>
    <t>S00010614</t>
  </si>
  <si>
    <t>S00332891</t>
  </si>
  <si>
    <t>S00058846</t>
  </si>
  <si>
    <t>Stanford</t>
  </si>
  <si>
    <t>Johnatha</t>
  </si>
  <si>
    <t>S00277309</t>
  </si>
  <si>
    <t>S00592900</t>
  </si>
  <si>
    <t>Rohr</t>
  </si>
  <si>
    <t>S00215740</t>
  </si>
  <si>
    <t>Cosby</t>
  </si>
  <si>
    <t>S00062529</t>
  </si>
  <si>
    <t>S00115832</t>
  </si>
  <si>
    <t>S00081098</t>
  </si>
  <si>
    <t>English</t>
  </si>
  <si>
    <t>S00507540</t>
  </si>
  <si>
    <t>Moczulski</t>
  </si>
  <si>
    <t>S00606808</t>
  </si>
  <si>
    <t>Britton</t>
  </si>
  <si>
    <t>C C</t>
  </si>
  <si>
    <t>S00606884</t>
  </si>
  <si>
    <t>Muscutariu</t>
  </si>
  <si>
    <t>S00325348</t>
  </si>
  <si>
    <t>Weiland</t>
  </si>
  <si>
    <t>S00114836</t>
  </si>
  <si>
    <t>Enid</t>
  </si>
  <si>
    <t>S00273108</t>
  </si>
  <si>
    <t>Cominsky</t>
  </si>
  <si>
    <t>S00010905</t>
  </si>
  <si>
    <t>Thornton</t>
  </si>
  <si>
    <t>S00606420</t>
  </si>
  <si>
    <t>Gousseinova</t>
  </si>
  <si>
    <t>Sevda</t>
  </si>
  <si>
    <t>S00010780</t>
  </si>
  <si>
    <t>Heatwole</t>
  </si>
  <si>
    <t>S00014398</t>
  </si>
  <si>
    <t>Arnetta</t>
  </si>
  <si>
    <t>S00606721</t>
  </si>
  <si>
    <t>Barreda</t>
  </si>
  <si>
    <t>Gildardo</t>
  </si>
  <si>
    <t>S00059476</t>
  </si>
  <si>
    <t>Bushi</t>
  </si>
  <si>
    <t>Andon</t>
  </si>
  <si>
    <t>S00067636</t>
  </si>
  <si>
    <t>Meta</t>
  </si>
  <si>
    <t>Adem</t>
  </si>
  <si>
    <t>Fetah</t>
  </si>
  <si>
    <t>S00072506</t>
  </si>
  <si>
    <t>Zhelezova</t>
  </si>
  <si>
    <t>Mariyka</t>
  </si>
  <si>
    <t>Dimova</t>
  </si>
  <si>
    <t>S00050221</t>
  </si>
  <si>
    <t>Hammond</t>
  </si>
  <si>
    <t>S00018348</t>
  </si>
  <si>
    <t>Chira</t>
  </si>
  <si>
    <t>S00018052</t>
  </si>
  <si>
    <t>Demico</t>
  </si>
  <si>
    <t>3W2430</t>
  </si>
  <si>
    <t>German - W</t>
  </si>
  <si>
    <t>S00023172</t>
  </si>
  <si>
    <t>Dugan</t>
  </si>
  <si>
    <t>S00428354</t>
  </si>
  <si>
    <t>Ellenberger</t>
  </si>
  <si>
    <t>S00043377</t>
  </si>
  <si>
    <t>S00170500</t>
  </si>
  <si>
    <t>Luthy</t>
  </si>
  <si>
    <t>Fredric</t>
  </si>
  <si>
    <t>S00602328</t>
  </si>
  <si>
    <t>Marine</t>
  </si>
  <si>
    <t>S00321848</t>
  </si>
  <si>
    <t>Medved</t>
  </si>
  <si>
    <t>S00080385</t>
  </si>
  <si>
    <t>Molzan</t>
  </si>
  <si>
    <t>S00602782</t>
  </si>
  <si>
    <t>Nemes</t>
  </si>
  <si>
    <t>S00605898</t>
  </si>
  <si>
    <t>Parnin</t>
  </si>
  <si>
    <t>S00519660</t>
  </si>
  <si>
    <t>Peth</t>
  </si>
  <si>
    <t>S00536412</t>
  </si>
  <si>
    <t>S00074371</t>
  </si>
  <si>
    <t>S00076250</t>
  </si>
  <si>
    <t>Tamerlano</t>
  </si>
  <si>
    <t>S00115547</t>
  </si>
  <si>
    <t>Ulaszewski</t>
  </si>
  <si>
    <t>S00010523</t>
  </si>
  <si>
    <t>S00115853</t>
  </si>
  <si>
    <t>Bernatowicz</t>
  </si>
  <si>
    <t>S00115023</t>
  </si>
  <si>
    <t>S00603257</t>
  </si>
  <si>
    <t>S00572252</t>
  </si>
  <si>
    <t>Jin</t>
  </si>
  <si>
    <t>S00048820</t>
  </si>
  <si>
    <t>Dukes</t>
  </si>
  <si>
    <t>S00053200</t>
  </si>
  <si>
    <t>LiPuma</t>
  </si>
  <si>
    <t>S00074637</t>
  </si>
  <si>
    <t>Ochs</t>
  </si>
  <si>
    <t>S00057688</t>
  </si>
  <si>
    <t>Ted</t>
  </si>
  <si>
    <t>S00537513</t>
  </si>
  <si>
    <t>Prabhat</t>
  </si>
  <si>
    <t>S00074633</t>
  </si>
  <si>
    <t>Sheppard</t>
  </si>
  <si>
    <t>Colin</t>
  </si>
  <si>
    <t>S00063847</t>
  </si>
  <si>
    <t>Yates-Konzen</t>
  </si>
  <si>
    <t>S00563640</t>
  </si>
  <si>
    <t>Cruickshank</t>
  </si>
  <si>
    <t>S00016988</t>
  </si>
  <si>
    <t>Okocha</t>
  </si>
  <si>
    <t>Christie</t>
  </si>
  <si>
    <t>S00010814</t>
  </si>
  <si>
    <t>3R1500</t>
  </si>
  <si>
    <t>Black Caucus</t>
  </si>
  <si>
    <t>S00052876</t>
  </si>
  <si>
    <t>Maximilian</t>
  </si>
  <si>
    <t>S00079765</t>
  </si>
  <si>
    <t>Stuhan</t>
  </si>
  <si>
    <t>S00527195</t>
  </si>
  <si>
    <t>Dianna</t>
  </si>
  <si>
    <t>S00115548</t>
  </si>
  <si>
    <t>Canario</t>
  </si>
  <si>
    <t>S00078141</t>
  </si>
  <si>
    <t>S00599610</t>
  </si>
  <si>
    <t>Rhyand</t>
  </si>
  <si>
    <t>S00601128</t>
  </si>
  <si>
    <t>Varnes</t>
  </si>
  <si>
    <t>S00186809</t>
  </si>
  <si>
    <t>S00591481</t>
  </si>
  <si>
    <t>S00355552</t>
  </si>
  <si>
    <t>S00024331</t>
  </si>
  <si>
    <t>S00536811</t>
  </si>
  <si>
    <t>Semproch</t>
  </si>
  <si>
    <t>Caroline</t>
  </si>
  <si>
    <t>S00019329</t>
  </si>
  <si>
    <t>Stoyka</t>
  </si>
  <si>
    <t>S00336764</t>
  </si>
  <si>
    <t>S00049392</t>
  </si>
  <si>
    <t>S00052590</t>
  </si>
  <si>
    <t>2F3100</t>
  </si>
  <si>
    <t>Treasury Management</t>
  </si>
  <si>
    <t>S00039612</t>
  </si>
  <si>
    <t>Dunnigan</t>
  </si>
  <si>
    <t>S00594088</t>
  </si>
  <si>
    <t>Grushetsky</t>
  </si>
  <si>
    <t>S00075286</t>
  </si>
  <si>
    <t>Gudenas</t>
  </si>
  <si>
    <t>S00433544</t>
  </si>
  <si>
    <t>Hendrick</t>
  </si>
  <si>
    <t>S00595649</t>
  </si>
  <si>
    <t>Mackert</t>
  </si>
  <si>
    <t>S00504942</t>
  </si>
  <si>
    <t>S00594596</t>
  </si>
  <si>
    <t>Ridley</t>
  </si>
  <si>
    <t>S00596174</t>
  </si>
  <si>
    <t>S00416078</t>
  </si>
  <si>
    <t>Yarovich</t>
  </si>
  <si>
    <t>S00503920</t>
  </si>
  <si>
    <t>S00593166</t>
  </si>
  <si>
    <t>Michaels</t>
  </si>
  <si>
    <t>S00052038</t>
  </si>
  <si>
    <t>Kell</t>
  </si>
  <si>
    <t>S00019952</t>
  </si>
  <si>
    <t>Kinford</t>
  </si>
  <si>
    <t>S00042046</t>
  </si>
  <si>
    <t>Martynyuk</t>
  </si>
  <si>
    <t>Otilia</t>
  </si>
  <si>
    <t>Cornelia</t>
  </si>
  <si>
    <t>S00589693</t>
  </si>
  <si>
    <t>S00070311</t>
  </si>
  <si>
    <t>Helfrich</t>
  </si>
  <si>
    <t>Mary Alice</t>
  </si>
  <si>
    <t>S00010029</t>
  </si>
  <si>
    <t>Hohenfeld</t>
  </si>
  <si>
    <t>S00010166</t>
  </si>
  <si>
    <t>S00010397</t>
  </si>
  <si>
    <t>Brunette</t>
  </si>
  <si>
    <t>S00058309</t>
  </si>
  <si>
    <t>S00010796</t>
  </si>
  <si>
    <t>S00590657</t>
  </si>
  <si>
    <t>Mather</t>
  </si>
  <si>
    <t>S00162809</t>
  </si>
  <si>
    <t>Telban</t>
  </si>
  <si>
    <t>S00589513</t>
  </si>
  <si>
    <t>Sowinski</t>
  </si>
  <si>
    <t>S00116078</t>
  </si>
  <si>
    <t>Clemons</t>
  </si>
  <si>
    <t>S00296500</t>
  </si>
  <si>
    <t>Baumann</t>
  </si>
  <si>
    <t>S00338621</t>
  </si>
  <si>
    <t>Bednar</t>
  </si>
  <si>
    <t>S00588248</t>
  </si>
  <si>
    <t>Borrowman</t>
  </si>
  <si>
    <t>S00023718</t>
  </si>
  <si>
    <t>S00588161</t>
  </si>
  <si>
    <t>Dura</t>
  </si>
  <si>
    <t>S00457716</t>
  </si>
  <si>
    <t>S00639122</t>
  </si>
  <si>
    <t>S00587683</t>
  </si>
  <si>
    <t>S00010899</t>
  </si>
  <si>
    <t>Kerkheide</t>
  </si>
  <si>
    <t>S00587685</t>
  </si>
  <si>
    <t>Sink</t>
  </si>
  <si>
    <t>S00032855</t>
  </si>
  <si>
    <t>Barnard</t>
  </si>
  <si>
    <t>S00587223</t>
  </si>
  <si>
    <t>Boldyreff</t>
  </si>
  <si>
    <t>Roman</t>
  </si>
  <si>
    <t>S00439133</t>
  </si>
  <si>
    <t>S00555082</t>
  </si>
  <si>
    <t>Cochrane</t>
  </si>
  <si>
    <t>S00455649</t>
  </si>
  <si>
    <t>Enos</t>
  </si>
  <si>
    <t>S00026973</t>
  </si>
  <si>
    <t>S00063144</t>
  </si>
  <si>
    <t>S00572553</t>
  </si>
  <si>
    <t>Harik-Williams</t>
  </si>
  <si>
    <t>Nahla</t>
  </si>
  <si>
    <t>S00587149</t>
  </si>
  <si>
    <t>S00586948</t>
  </si>
  <si>
    <t>S00053414</t>
  </si>
  <si>
    <t>Lyon</t>
  </si>
  <si>
    <t>S00116228</t>
  </si>
  <si>
    <t>Miklowski</t>
  </si>
  <si>
    <t>S00010326</t>
  </si>
  <si>
    <t>Nagorney</t>
  </si>
  <si>
    <t>S00044496</t>
  </si>
  <si>
    <t>Nye</t>
  </si>
  <si>
    <t>Shad</t>
  </si>
  <si>
    <t>F W</t>
  </si>
  <si>
    <t>S00516562</t>
  </si>
  <si>
    <t>S00064065</t>
  </si>
  <si>
    <t>Sebold</t>
  </si>
  <si>
    <t>S00035442</t>
  </si>
  <si>
    <t>Balluck</t>
  </si>
  <si>
    <t>S00010401</t>
  </si>
  <si>
    <t>Beckert</t>
  </si>
  <si>
    <t>S00010706</t>
  </si>
  <si>
    <t>S00048662</t>
  </si>
  <si>
    <t>Demchak</t>
  </si>
  <si>
    <t>S00010889</t>
  </si>
  <si>
    <t>S00052085</t>
  </si>
  <si>
    <t>S00448797</t>
  </si>
  <si>
    <t>Libassi</t>
  </si>
  <si>
    <t>S00010324</t>
  </si>
  <si>
    <t>Schick</t>
  </si>
  <si>
    <t>S00060012</t>
  </si>
  <si>
    <t>Yefimov</t>
  </si>
  <si>
    <t>Lidiya</t>
  </si>
  <si>
    <t>S00009907</t>
  </si>
  <si>
    <t>Ruppe</t>
  </si>
  <si>
    <t>FT 1199 Exempt Supp Staff</t>
  </si>
  <si>
    <t>S00445622</t>
  </si>
  <si>
    <t>Rhodes</t>
  </si>
  <si>
    <t>S00072489</t>
  </si>
  <si>
    <t>Heidrun</t>
  </si>
  <si>
    <t>S00571793</t>
  </si>
  <si>
    <t>Fiorello</t>
  </si>
  <si>
    <t>S00581763</t>
  </si>
  <si>
    <t>Anastasi</t>
  </si>
  <si>
    <t>S00580912</t>
  </si>
  <si>
    <t>S00116041</t>
  </si>
  <si>
    <t>Litvin</t>
  </si>
  <si>
    <t>Zena</t>
  </si>
  <si>
    <t>S00048964</t>
  </si>
  <si>
    <t>Endalew</t>
  </si>
  <si>
    <t>Worku</t>
  </si>
  <si>
    <t>S00580609</t>
  </si>
  <si>
    <t>Ruper</t>
  </si>
  <si>
    <t>S00115389</t>
  </si>
  <si>
    <t>Barefield</t>
  </si>
  <si>
    <t>S00053195</t>
  </si>
  <si>
    <t>Lipovits</t>
  </si>
  <si>
    <t>S00049367</t>
  </si>
  <si>
    <t>Fuentes</t>
  </si>
  <si>
    <t>S00578351</t>
  </si>
  <si>
    <t>Huang</t>
  </si>
  <si>
    <t>Wei</t>
  </si>
  <si>
    <t>S00577243</t>
  </si>
  <si>
    <t>Kahn</t>
  </si>
  <si>
    <t>S00054004</t>
  </si>
  <si>
    <t>S00013439</t>
  </si>
  <si>
    <t>S00578026</t>
  </si>
  <si>
    <t>Pernicone</t>
  </si>
  <si>
    <t>S00577215</t>
  </si>
  <si>
    <t>Porter</t>
  </si>
  <si>
    <t>S00576172</t>
  </si>
  <si>
    <t>Rex</t>
  </si>
  <si>
    <t>S00576723</t>
  </si>
  <si>
    <t>Rosen</t>
  </si>
  <si>
    <t>S00070137</t>
  </si>
  <si>
    <t>3E2270</t>
  </si>
  <si>
    <t>Marketing - E</t>
  </si>
  <si>
    <t>S00052955</t>
  </si>
  <si>
    <t>Lechko</t>
  </si>
  <si>
    <t>S00360819</t>
  </si>
  <si>
    <t>S00283488</t>
  </si>
  <si>
    <t>S00577624</t>
  </si>
  <si>
    <t>Sopko</t>
  </si>
  <si>
    <t>S00396315</t>
  </si>
  <si>
    <t>Arpajian</t>
  </si>
  <si>
    <t>S00271159</t>
  </si>
  <si>
    <t>S00011101</t>
  </si>
  <si>
    <t>Corcoran</t>
  </si>
  <si>
    <t>S00010825</t>
  </si>
  <si>
    <t>Radva</t>
  </si>
  <si>
    <t>S00423824</t>
  </si>
  <si>
    <t>Gautam</t>
  </si>
  <si>
    <t>Savita</t>
  </si>
  <si>
    <t>S00116129</t>
  </si>
  <si>
    <t>S00047167</t>
  </si>
  <si>
    <t>Grubjesic</t>
  </si>
  <si>
    <t>S00024402</t>
  </si>
  <si>
    <t>Gullie</t>
  </si>
  <si>
    <t>Gerlene</t>
  </si>
  <si>
    <t>S00536715</t>
  </si>
  <si>
    <t>Selover</t>
  </si>
  <si>
    <t>S00176587</t>
  </si>
  <si>
    <t>Stalter</t>
  </si>
  <si>
    <t>Jeannine</t>
  </si>
  <si>
    <t>S00069553</t>
  </si>
  <si>
    <t>Hirsch</t>
  </si>
  <si>
    <t>3M4750</t>
  </si>
  <si>
    <t>Cultural Arts</t>
  </si>
  <si>
    <t>S00574095</t>
  </si>
  <si>
    <t>Milenski</t>
  </si>
  <si>
    <t>S00021203</t>
  </si>
  <si>
    <t>S00048512</t>
  </si>
  <si>
    <t>Coulter</t>
  </si>
  <si>
    <t>S00010742</t>
  </si>
  <si>
    <t>Kinches</t>
  </si>
  <si>
    <t>S00573943</t>
  </si>
  <si>
    <t>Maish</t>
  </si>
  <si>
    <t>3M2405</t>
  </si>
  <si>
    <t>American Sign Language - M</t>
  </si>
  <si>
    <t>S00331888</t>
  </si>
  <si>
    <t>S00010898</t>
  </si>
  <si>
    <t>Albrecht</t>
  </si>
  <si>
    <t>S00156237</t>
  </si>
  <si>
    <t>S00567592</t>
  </si>
  <si>
    <t>Farrell Andrews</t>
  </si>
  <si>
    <t>Zita</t>
  </si>
  <si>
    <t>S00471700</t>
  </si>
  <si>
    <t>Higinbotham</t>
  </si>
  <si>
    <t>Rick</t>
  </si>
  <si>
    <t>S00420481</t>
  </si>
  <si>
    <t>Nowak</t>
  </si>
  <si>
    <t>Maril</t>
  </si>
  <si>
    <t>S00034896</t>
  </si>
  <si>
    <t>Romaniuk</t>
  </si>
  <si>
    <t>S00069154</t>
  </si>
  <si>
    <t>Bluestein</t>
  </si>
  <si>
    <t>S00066140</t>
  </si>
  <si>
    <t>Haiduc</t>
  </si>
  <si>
    <t>S00384293</t>
  </si>
  <si>
    <t>Wieczorek</t>
  </si>
  <si>
    <t>S00147356</t>
  </si>
  <si>
    <t>S00027184</t>
  </si>
  <si>
    <t>Bouie</t>
  </si>
  <si>
    <t>Carilynn</t>
  </si>
  <si>
    <t>S00068451</t>
  </si>
  <si>
    <t>Carrington</t>
  </si>
  <si>
    <t>S00572175</t>
  </si>
  <si>
    <t>Easley</t>
  </si>
  <si>
    <t>S00571585</t>
  </si>
  <si>
    <t>S00053416</t>
  </si>
  <si>
    <t>S00572115</t>
  </si>
  <si>
    <t>Redles</t>
  </si>
  <si>
    <t>S00010286</t>
  </si>
  <si>
    <t>Stralka</t>
  </si>
  <si>
    <t>Rudy</t>
  </si>
  <si>
    <t>S00436912</t>
  </si>
  <si>
    <t>S00034980</t>
  </si>
  <si>
    <t>S00010656</t>
  </si>
  <si>
    <t>S00404516</t>
  </si>
  <si>
    <t>Bongorno</t>
  </si>
  <si>
    <t>S00047442</t>
  </si>
  <si>
    <t>Capretta</t>
  </si>
  <si>
    <t>S00010404</t>
  </si>
  <si>
    <t>Clawson</t>
  </si>
  <si>
    <t>S00010179</t>
  </si>
  <si>
    <t>Clemens</t>
  </si>
  <si>
    <t>S00050621</t>
  </si>
  <si>
    <t>Gatica</t>
  </si>
  <si>
    <t>S00050779</t>
  </si>
  <si>
    <t>S00009867</t>
  </si>
  <si>
    <t>Longrich</t>
  </si>
  <si>
    <t>S00010035</t>
  </si>
  <si>
    <t>Massari</t>
  </si>
  <si>
    <t>S00010579</t>
  </si>
  <si>
    <t>Rokicky</t>
  </si>
  <si>
    <t>S00057214</t>
  </si>
  <si>
    <t>S00058769</t>
  </si>
  <si>
    <t>Spetich</t>
  </si>
  <si>
    <t>S00056420</t>
  </si>
  <si>
    <t>Pretzlav</t>
  </si>
  <si>
    <t>S00320291</t>
  </si>
  <si>
    <t>S00035480</t>
  </si>
  <si>
    <t>S00010474</t>
  </si>
  <si>
    <t>Weissman</t>
  </si>
  <si>
    <t>S00182380</t>
  </si>
  <si>
    <t>Cardarelli</t>
  </si>
  <si>
    <t>S00065784</t>
  </si>
  <si>
    <t>Patti</t>
  </si>
  <si>
    <t>S00058867</t>
  </si>
  <si>
    <t>Starling</t>
  </si>
  <si>
    <t>S00116317</t>
  </si>
  <si>
    <t>Forristal</t>
  </si>
  <si>
    <t>S00532522</t>
  </si>
  <si>
    <t>Sallach</t>
  </si>
  <si>
    <t>S00562439</t>
  </si>
  <si>
    <t>Bracey</t>
  </si>
  <si>
    <t>S00560247</t>
  </si>
  <si>
    <t>S00377052</t>
  </si>
  <si>
    <t>Levy</t>
  </si>
  <si>
    <t>Fern</t>
  </si>
  <si>
    <t>R.</t>
  </si>
  <si>
    <t>3M2735</t>
  </si>
  <si>
    <t>Humanities - M</t>
  </si>
  <si>
    <t>S00507633</t>
  </si>
  <si>
    <t>Mohan</t>
  </si>
  <si>
    <t>Rajeswari</t>
  </si>
  <si>
    <t>S00514401</t>
  </si>
  <si>
    <t>Ogundapo</t>
  </si>
  <si>
    <t>Rahaman</t>
  </si>
  <si>
    <t>S00010852</t>
  </si>
  <si>
    <t>S00065185</t>
  </si>
  <si>
    <t>S00035332</t>
  </si>
  <si>
    <t>Mikulec</t>
  </si>
  <si>
    <t>S00225776</t>
  </si>
  <si>
    <t>Ungar</t>
  </si>
  <si>
    <t>S00020312</t>
  </si>
  <si>
    <t>Josephine</t>
  </si>
  <si>
    <t>S00115457</t>
  </si>
  <si>
    <t>Curry</t>
  </si>
  <si>
    <t>Verna</t>
  </si>
  <si>
    <t>S00029181</t>
  </si>
  <si>
    <t>Vyhnal-Eakin</t>
  </si>
  <si>
    <t>Cecilia</t>
  </si>
  <si>
    <t>S00531468</t>
  </si>
  <si>
    <t>Rusher</t>
  </si>
  <si>
    <t>S00009796</t>
  </si>
  <si>
    <t>Guyer</t>
  </si>
  <si>
    <t>S00013587</t>
  </si>
  <si>
    <t>Pollock</t>
  </si>
  <si>
    <t>Ada</t>
  </si>
  <si>
    <t>S00034629</t>
  </si>
  <si>
    <t>Eiland</t>
  </si>
  <si>
    <t>S00558148</t>
  </si>
  <si>
    <t>Gismondi</t>
  </si>
  <si>
    <t>Nick</t>
  </si>
  <si>
    <t>C.</t>
  </si>
  <si>
    <t>S00532371</t>
  </si>
  <si>
    <t>Saker</t>
  </si>
  <si>
    <t>S00428206</t>
  </si>
  <si>
    <t>Sarantopoulos</t>
  </si>
  <si>
    <t>S00038471</t>
  </si>
  <si>
    <t>Barber</t>
  </si>
  <si>
    <t>S00028649</t>
  </si>
  <si>
    <t>Durkin</t>
  </si>
  <si>
    <t>S00049227</t>
  </si>
  <si>
    <t>S00043274</t>
  </si>
  <si>
    <t>S00035496</t>
  </si>
  <si>
    <t>S00051940</t>
  </si>
  <si>
    <t>Kangas</t>
  </si>
  <si>
    <t>S00556369</t>
  </si>
  <si>
    <t>S00010192</t>
  </si>
  <si>
    <t>Orr</t>
  </si>
  <si>
    <t>S00035416</t>
  </si>
  <si>
    <t>Peck</t>
  </si>
  <si>
    <t>S00056940</t>
  </si>
  <si>
    <t>Rifici</t>
  </si>
  <si>
    <t>S00022430</t>
  </si>
  <si>
    <t>S00128786</t>
  </si>
  <si>
    <t>Snell Masterson</t>
  </si>
  <si>
    <t>S00047718</t>
  </si>
  <si>
    <t>Susbauer</t>
  </si>
  <si>
    <t>S00436394</t>
  </si>
  <si>
    <t>Zagata</t>
  </si>
  <si>
    <t>S00115790</t>
  </si>
  <si>
    <t>Holliman</t>
  </si>
  <si>
    <t>S00010696</t>
  </si>
  <si>
    <t>Bonza</t>
  </si>
  <si>
    <t>S00029913</t>
  </si>
  <si>
    <t>Dooley</t>
  </si>
  <si>
    <t>S00049999</t>
  </si>
  <si>
    <t>Grimes</t>
  </si>
  <si>
    <t>S00009835</t>
  </si>
  <si>
    <t>S00548765</t>
  </si>
  <si>
    <t>S00019733</t>
  </si>
  <si>
    <t>Williams-Rowell</t>
  </si>
  <si>
    <t>S00506980</t>
  </si>
  <si>
    <t>Mirrotto</t>
  </si>
  <si>
    <t>S00553507</t>
  </si>
  <si>
    <t>Newland</t>
  </si>
  <si>
    <t>S00116073</t>
  </si>
  <si>
    <t>Karpinski</t>
  </si>
  <si>
    <t>S00010824</t>
  </si>
  <si>
    <t>S00010468</t>
  </si>
  <si>
    <t>Salupo</t>
  </si>
  <si>
    <t>S00059861</t>
  </si>
  <si>
    <t>S00546063</t>
  </si>
  <si>
    <t>Heile</t>
  </si>
  <si>
    <t>S00442712</t>
  </si>
  <si>
    <t>Landry</t>
  </si>
  <si>
    <t>F.</t>
  </si>
  <si>
    <t>S00058068</t>
  </si>
  <si>
    <t>Sheehe</t>
  </si>
  <si>
    <t>S00033530</t>
  </si>
  <si>
    <t>Tran</t>
  </si>
  <si>
    <t>S00115058</t>
  </si>
  <si>
    <t>S00461610</t>
  </si>
  <si>
    <t>S00052669</t>
  </si>
  <si>
    <t>Kucera</t>
  </si>
  <si>
    <t>S00050883</t>
  </si>
  <si>
    <t>Holsworth</t>
  </si>
  <si>
    <t>S00033719</t>
  </si>
  <si>
    <t>S00447438</t>
  </si>
  <si>
    <t>Carmosino</t>
  </si>
  <si>
    <t>S00447370</t>
  </si>
  <si>
    <t>Catheline</t>
  </si>
  <si>
    <t>S00116272</t>
  </si>
  <si>
    <t>Durny</t>
  </si>
  <si>
    <t>S00345562</t>
  </si>
  <si>
    <t>S00299024</t>
  </si>
  <si>
    <t>Friedman</t>
  </si>
  <si>
    <t>S00047264</t>
  </si>
  <si>
    <t>S00010292</t>
  </si>
  <si>
    <t>Verni</t>
  </si>
  <si>
    <t>S00114777</t>
  </si>
  <si>
    <t>Adebesin</t>
  </si>
  <si>
    <t>Hakeem</t>
  </si>
  <si>
    <t>S00010644</t>
  </si>
  <si>
    <t>Berlingeri</t>
  </si>
  <si>
    <t>S00009826</t>
  </si>
  <si>
    <t>Budusky</t>
  </si>
  <si>
    <t>Violet</t>
  </si>
  <si>
    <t>S00048739</t>
  </si>
  <si>
    <t>S00470219</t>
  </si>
  <si>
    <t>Heidenreich</t>
  </si>
  <si>
    <t>H.</t>
  </si>
  <si>
    <t>S00010735</t>
  </si>
  <si>
    <t>Hovanec</t>
  </si>
  <si>
    <t>S00010771</t>
  </si>
  <si>
    <t>LaGuardia</t>
  </si>
  <si>
    <t>Georgian</t>
  </si>
  <si>
    <t>S00028471</t>
  </si>
  <si>
    <t>Soto-Schwartz</t>
  </si>
  <si>
    <t>S00479285</t>
  </si>
  <si>
    <t>Ishmael</t>
  </si>
  <si>
    <t>S00379425</t>
  </si>
  <si>
    <t>Cuadra</t>
  </si>
  <si>
    <t>S00013275</t>
  </si>
  <si>
    <t>Dove</t>
  </si>
  <si>
    <t>S00449404</t>
  </si>
  <si>
    <t>DeCrignis</t>
  </si>
  <si>
    <t>S00010245</t>
  </si>
  <si>
    <t>S00010040</t>
  </si>
  <si>
    <t>S00010513</t>
  </si>
  <si>
    <t>Stoessner</t>
  </si>
  <si>
    <t>S00010879</t>
  </si>
  <si>
    <t>Hamill</t>
  </si>
  <si>
    <t>S00035495</t>
  </si>
  <si>
    <t>Banda</t>
  </si>
  <si>
    <t>S00010572</t>
  </si>
  <si>
    <t>Kuhn</t>
  </si>
  <si>
    <t>S00175322</t>
  </si>
  <si>
    <t>Carruth</t>
  </si>
  <si>
    <t>S00010477</t>
  </si>
  <si>
    <t>Florencki</t>
  </si>
  <si>
    <t>S00518667</t>
  </si>
  <si>
    <t>Penko</t>
  </si>
  <si>
    <t>S00399823</t>
  </si>
  <si>
    <t>Straub</t>
  </si>
  <si>
    <t>3W2290</t>
  </si>
  <si>
    <t>Real Estate - W</t>
  </si>
  <si>
    <t>S00055460</t>
  </si>
  <si>
    <t>Odom</t>
  </si>
  <si>
    <t>S00056444</t>
  </si>
  <si>
    <t>Pricinovskis</t>
  </si>
  <si>
    <t>S00115551</t>
  </si>
  <si>
    <t>Bettis-Eddie</t>
  </si>
  <si>
    <t>S00537368</t>
  </si>
  <si>
    <t>Shalala</t>
  </si>
  <si>
    <t>S00115993</t>
  </si>
  <si>
    <t>Haber</t>
  </si>
  <si>
    <t>S00009750</t>
  </si>
  <si>
    <t>Patton</t>
  </si>
  <si>
    <t>S00010581</t>
  </si>
  <si>
    <t>Soworowski</t>
  </si>
  <si>
    <t>S00220106</t>
  </si>
  <si>
    <t>Gill</t>
  </si>
  <si>
    <t>Victor</t>
  </si>
  <si>
    <t>S00010853</t>
  </si>
  <si>
    <t>Klingenberg</t>
  </si>
  <si>
    <t>Susanne</t>
  </si>
  <si>
    <t>S00010361</t>
  </si>
  <si>
    <t>Simonetta</t>
  </si>
  <si>
    <t>S00451591</t>
  </si>
  <si>
    <t>Cudnik</t>
  </si>
  <si>
    <t>S00476543</t>
  </si>
  <si>
    <t>Ivey</t>
  </si>
  <si>
    <t>Bill</t>
  </si>
  <si>
    <t>S00437076</t>
  </si>
  <si>
    <t>Hetman</t>
  </si>
  <si>
    <t>S00051017</t>
  </si>
  <si>
    <t>Howell</t>
  </si>
  <si>
    <t>S00489574</t>
  </si>
  <si>
    <t>Kurtz</t>
  </si>
  <si>
    <t>Kitt</t>
  </si>
  <si>
    <t>S00012330</t>
  </si>
  <si>
    <t>S00009929</t>
  </si>
  <si>
    <t>Sak</t>
  </si>
  <si>
    <t>S00311291</t>
  </si>
  <si>
    <t>Snavely</t>
  </si>
  <si>
    <t>Joelle</t>
  </si>
  <si>
    <t>S00116009</t>
  </si>
  <si>
    <t>Giannini</t>
  </si>
  <si>
    <t>S00010663</t>
  </si>
  <si>
    <t>Balsa</t>
  </si>
  <si>
    <t>Chengavalli</t>
  </si>
  <si>
    <t>S00020990</t>
  </si>
  <si>
    <t>S00009937</t>
  </si>
  <si>
    <t>Marge</t>
  </si>
  <si>
    <t>S00035371</t>
  </si>
  <si>
    <t>Hansen-Polcar</t>
  </si>
  <si>
    <t>S00051726</t>
  </si>
  <si>
    <t>S00052641</t>
  </si>
  <si>
    <t>Jen</t>
  </si>
  <si>
    <t>S00010295</t>
  </si>
  <si>
    <t>Levina</t>
  </si>
  <si>
    <t>Isolda</t>
  </si>
  <si>
    <t>S00035360</t>
  </si>
  <si>
    <t>Petcavage</t>
  </si>
  <si>
    <t>S00023541</t>
  </si>
  <si>
    <t>Seaton</t>
  </si>
  <si>
    <t>S00538863</t>
  </si>
  <si>
    <t>Sidley</t>
  </si>
  <si>
    <t>S00010273</t>
  </si>
  <si>
    <t>S00009930</t>
  </si>
  <si>
    <t>3W3410</t>
  </si>
  <si>
    <t>Intercollegiate Athletics - W</t>
  </si>
  <si>
    <t>S00040829</t>
  </si>
  <si>
    <t>S00418222</t>
  </si>
  <si>
    <t>S00049299</t>
  </si>
  <si>
    <t>Deanne</t>
  </si>
  <si>
    <t>S00058916</t>
  </si>
  <si>
    <t>Steinke</t>
  </si>
  <si>
    <t>S00054144</t>
  </si>
  <si>
    <t>McGraw</t>
  </si>
  <si>
    <t>S00216739</t>
  </si>
  <si>
    <t>S00428448</t>
  </si>
  <si>
    <t>S00428599</t>
  </si>
  <si>
    <t>Henderson-Moore</t>
  </si>
  <si>
    <t>S00427550</t>
  </si>
  <si>
    <t>Barone</t>
  </si>
  <si>
    <t>S00010195</t>
  </si>
  <si>
    <t>Abou-Diab</t>
  </si>
  <si>
    <t>Malek</t>
  </si>
  <si>
    <t>S00010077</t>
  </si>
  <si>
    <t>Capek</t>
  </si>
  <si>
    <t>S00010639</t>
  </si>
  <si>
    <t>Durocher-Jones</t>
  </si>
  <si>
    <t>S00010601</t>
  </si>
  <si>
    <t>Hurvitz</t>
  </si>
  <si>
    <t>Igal</t>
  </si>
  <si>
    <t>S00051942</t>
  </si>
  <si>
    <t>Kanieski</t>
  </si>
  <si>
    <t>S00038209</t>
  </si>
  <si>
    <t>Walton</t>
  </si>
  <si>
    <t>Dottie</t>
  </si>
  <si>
    <t>S00055153</t>
  </si>
  <si>
    <t>S00009895</t>
  </si>
  <si>
    <t>Sebesy</t>
  </si>
  <si>
    <t>S00010116</t>
  </si>
  <si>
    <t>S00010308</t>
  </si>
  <si>
    <t>Darrisaw</t>
  </si>
  <si>
    <t>S00010091</t>
  </si>
  <si>
    <t>McKinley</t>
  </si>
  <si>
    <t>S00405691</t>
  </si>
  <si>
    <t>Betsy</t>
  </si>
  <si>
    <t>S00015544</t>
  </si>
  <si>
    <t>Barlow</t>
  </si>
  <si>
    <t>S00337629</t>
  </si>
  <si>
    <t>Lawrie</t>
  </si>
  <si>
    <t>S00519344</t>
  </si>
  <si>
    <t>Persanyi</t>
  </si>
  <si>
    <t>S00054523</t>
  </si>
  <si>
    <t>S00455811</t>
  </si>
  <si>
    <t>Eskamani</t>
  </si>
  <si>
    <t>A Gus</t>
  </si>
  <si>
    <t>S00114869</t>
  </si>
  <si>
    <t>S00024872</t>
  </si>
  <si>
    <t>Novotny</t>
  </si>
  <si>
    <t>S00010492</t>
  </si>
  <si>
    <t>Ormiston</t>
  </si>
  <si>
    <t>S00169143</t>
  </si>
  <si>
    <t>Chmielewski</t>
  </si>
  <si>
    <t>S00115963</t>
  </si>
  <si>
    <t>Berish</t>
  </si>
  <si>
    <t>S00009780</t>
  </si>
  <si>
    <t>S00484634</t>
  </si>
  <si>
    <t>Rozetta</t>
  </si>
  <si>
    <t>S00010113</t>
  </si>
  <si>
    <t>S00048292</t>
  </si>
  <si>
    <t>Decapite</t>
  </si>
  <si>
    <t>S00010675</t>
  </si>
  <si>
    <t>S00532171</t>
  </si>
  <si>
    <t>Sadar</t>
  </si>
  <si>
    <t>S00035458</t>
  </si>
  <si>
    <t>Motley</t>
  </si>
  <si>
    <t>S00010676</t>
  </si>
  <si>
    <t>Ochei</t>
  </si>
  <si>
    <t>S00010689</t>
  </si>
  <si>
    <t>S00010226</t>
  </si>
  <si>
    <t>Zeleznik</t>
  </si>
  <si>
    <t>S00363319</t>
  </si>
  <si>
    <t>Ledford</t>
  </si>
  <si>
    <t>S00418172</t>
  </si>
  <si>
    <t>S00114894</t>
  </si>
  <si>
    <t>S00204007</t>
  </si>
  <si>
    <t>Vedder</t>
  </si>
  <si>
    <t>Ellita</t>
  </si>
  <si>
    <t>S00018788</t>
  </si>
  <si>
    <t>S00418245</t>
  </si>
  <si>
    <t>Onnie</t>
  </si>
  <si>
    <t>S00057525</t>
  </si>
  <si>
    <t>Salvi</t>
  </si>
  <si>
    <t>S00115938</t>
  </si>
  <si>
    <t>S00050319</t>
  </si>
  <si>
    <t>Clayton</t>
  </si>
  <si>
    <t>S00010302</t>
  </si>
  <si>
    <t>Schmitz</t>
  </si>
  <si>
    <t>S00522932</t>
  </si>
  <si>
    <t>Preiss</t>
  </si>
  <si>
    <t>S00114859</t>
  </si>
  <si>
    <t>Simanella</t>
  </si>
  <si>
    <t>S00010766</t>
  </si>
  <si>
    <t>Gages</t>
  </si>
  <si>
    <t>S00115698</t>
  </si>
  <si>
    <t>Rump</t>
  </si>
  <si>
    <t>S00116315</t>
  </si>
  <si>
    <t>S00539915</t>
  </si>
  <si>
    <t>Sipershteyn</t>
  </si>
  <si>
    <t>Vladimir</t>
  </si>
  <si>
    <t>S00114752</t>
  </si>
  <si>
    <t>Otero</t>
  </si>
  <si>
    <t>S00115739</t>
  </si>
  <si>
    <t>Kerata</t>
  </si>
  <si>
    <t>S00010658</t>
  </si>
  <si>
    <t>Jelen</t>
  </si>
  <si>
    <t>S00010651</t>
  </si>
  <si>
    <t>Nevins</t>
  </si>
  <si>
    <t>S00115498</t>
  </si>
  <si>
    <t>Kenney</t>
  </si>
  <si>
    <t>S00057676</t>
  </si>
  <si>
    <t>Scalone</t>
  </si>
  <si>
    <t>Janis</t>
  </si>
  <si>
    <t>S00116260</t>
  </si>
  <si>
    <t>S00055007</t>
  </si>
  <si>
    <t>S00010518</t>
  </si>
  <si>
    <t>S00010422</t>
  </si>
  <si>
    <t>Blackmon</t>
  </si>
  <si>
    <t>S00010624</t>
  </si>
  <si>
    <t>Ormond</t>
  </si>
  <si>
    <t>S00010510</t>
  </si>
  <si>
    <t>Coll-Gallo</t>
  </si>
  <si>
    <t>Roser</t>
  </si>
  <si>
    <t>S00010314</t>
  </si>
  <si>
    <t>Custer</t>
  </si>
  <si>
    <t>Alexandria</t>
  </si>
  <si>
    <t>S00035471</t>
  </si>
  <si>
    <t>S00010220</t>
  </si>
  <si>
    <t>Hnat</t>
  </si>
  <si>
    <t>S00010775</t>
  </si>
  <si>
    <t>Holland</t>
  </si>
  <si>
    <t>S00010647</t>
  </si>
  <si>
    <t>Hurst</t>
  </si>
  <si>
    <t>S00010586</t>
  </si>
  <si>
    <t>Koholic-Hehemann</t>
  </si>
  <si>
    <t>S00115774</t>
  </si>
  <si>
    <t>Krevans</t>
  </si>
  <si>
    <t>S00010210</t>
  </si>
  <si>
    <t>S00010612</t>
  </si>
  <si>
    <t>S00010299</t>
  </si>
  <si>
    <t>Williamson</t>
  </si>
  <si>
    <t>S00010111</t>
  </si>
  <si>
    <t>Cieslak</t>
  </si>
  <si>
    <t>S00009995</t>
  </si>
  <si>
    <t>S00057498</t>
  </si>
  <si>
    <t>Salco</t>
  </si>
  <si>
    <t>S00115502</t>
  </si>
  <si>
    <t>Debbie</t>
  </si>
  <si>
    <t>S00115597</t>
  </si>
  <si>
    <t>Campion</t>
  </si>
  <si>
    <t>Donita</t>
  </si>
  <si>
    <t>S00115773</t>
  </si>
  <si>
    <t>S00010539</t>
  </si>
  <si>
    <t>Cliffie</t>
  </si>
  <si>
    <t>S00049048</t>
  </si>
  <si>
    <t>S00010770</t>
  </si>
  <si>
    <t>S00115813</t>
  </si>
  <si>
    <t>S00057721</t>
  </si>
  <si>
    <t>Schierloh</t>
  </si>
  <si>
    <t>S00116082</t>
  </si>
  <si>
    <t>Racinskas</t>
  </si>
  <si>
    <t>S00010331</t>
  </si>
  <si>
    <t>S00116109</t>
  </si>
  <si>
    <t>Gidley</t>
  </si>
  <si>
    <t>S00010849</t>
  </si>
  <si>
    <t>Curran</t>
  </si>
  <si>
    <t>S00035456</t>
  </si>
  <si>
    <t>Dugar</t>
  </si>
  <si>
    <t>S00010500</t>
  </si>
  <si>
    <t>S00058125</t>
  </si>
  <si>
    <t>Shine Stewart</t>
  </si>
  <si>
    <t>S00035354</t>
  </si>
  <si>
    <t>Mun</t>
  </si>
  <si>
    <t>Seong-Ae</t>
  </si>
  <si>
    <t>S00010762</t>
  </si>
  <si>
    <t>Grady</t>
  </si>
  <si>
    <t>Lacey</t>
  </si>
  <si>
    <t>S00010183</t>
  </si>
  <si>
    <t>Vokac</t>
  </si>
  <si>
    <t>S00115689</t>
  </si>
  <si>
    <t>S00115469</t>
  </si>
  <si>
    <t>S00115545</t>
  </si>
  <si>
    <t>Checkel</t>
  </si>
  <si>
    <t>S00009729</t>
  </si>
  <si>
    <t>S00009926</t>
  </si>
  <si>
    <t>Kapley</t>
  </si>
  <si>
    <t>S00009915</t>
  </si>
  <si>
    <t>Zoldessy</t>
  </si>
  <si>
    <t>S00052618</t>
  </si>
  <si>
    <t>Kristof</t>
  </si>
  <si>
    <t>S00009726</t>
  </si>
  <si>
    <t>Barshaw</t>
  </si>
  <si>
    <t>S00010178</t>
  </si>
  <si>
    <t>S00010793</t>
  </si>
  <si>
    <t>Rindfleisch</t>
  </si>
  <si>
    <t>S00035453</t>
  </si>
  <si>
    <t>Webber</t>
  </si>
  <si>
    <t>S00010424</t>
  </si>
  <si>
    <t>Wilkinson</t>
  </si>
  <si>
    <t>S00010457</t>
  </si>
  <si>
    <t>S00010092</t>
  </si>
  <si>
    <t>Woodring</t>
  </si>
  <si>
    <t>S00116005</t>
  </si>
  <si>
    <t>Jankovsky</t>
  </si>
  <si>
    <t>S00418224</t>
  </si>
  <si>
    <t>Flanick</t>
  </si>
  <si>
    <t>S00010847</t>
  </si>
  <si>
    <t>Tani</t>
  </si>
  <si>
    <t>Zenobia</t>
  </si>
  <si>
    <t>S00010536</t>
  </si>
  <si>
    <t>S00010118</t>
  </si>
  <si>
    <t>Evseev</t>
  </si>
  <si>
    <t>Anatoli</t>
  </si>
  <si>
    <t>S00009801</t>
  </si>
  <si>
    <t>S00009674</t>
  </si>
  <si>
    <t>Tryk</t>
  </si>
  <si>
    <t>S00115024</t>
  </si>
  <si>
    <t>Marrelli</t>
  </si>
  <si>
    <t>S00116275</t>
  </si>
  <si>
    <t>Polster</t>
  </si>
  <si>
    <t>S00115068</t>
  </si>
  <si>
    <t>Sidoti</t>
  </si>
  <si>
    <t>S00010014</t>
  </si>
  <si>
    <t>S00010716</t>
  </si>
  <si>
    <t>S00052691</t>
  </si>
  <si>
    <t>Cyril</t>
  </si>
  <si>
    <t>S00010033</t>
  </si>
  <si>
    <t>S00035478</t>
  </si>
  <si>
    <t>McAuley</t>
  </si>
  <si>
    <t>S00115203</t>
  </si>
  <si>
    <t>S00115900</t>
  </si>
  <si>
    <t>S00010507</t>
  </si>
  <si>
    <t>Knotek</t>
  </si>
  <si>
    <t>S00013146</t>
  </si>
  <si>
    <t>McGannon</t>
  </si>
  <si>
    <t>S00510479</t>
  </si>
  <si>
    <t>S00115216</t>
  </si>
  <si>
    <t>Payne</t>
  </si>
  <si>
    <t>S00010580</t>
  </si>
  <si>
    <t>S00115385</t>
  </si>
  <si>
    <t>S00010804</t>
  </si>
  <si>
    <t>Flores</t>
  </si>
  <si>
    <t>S00054405</t>
  </si>
  <si>
    <t>S00115586</t>
  </si>
  <si>
    <t>Agborebot</t>
  </si>
  <si>
    <t>S00010479</t>
  </si>
  <si>
    <t>Diritsky</t>
  </si>
  <si>
    <t>S00418216</t>
  </si>
  <si>
    <t>Annisteen</t>
  </si>
  <si>
    <t>S00466589</t>
  </si>
  <si>
    <t>Hahner</t>
  </si>
  <si>
    <t>S00009691</t>
  </si>
  <si>
    <t>Merced</t>
  </si>
  <si>
    <t>Hector</t>
  </si>
  <si>
    <t>S00009846</t>
  </si>
  <si>
    <t>Bush Jones</t>
  </si>
  <si>
    <t>Dosette</t>
  </si>
  <si>
    <t>S00115506</t>
  </si>
  <si>
    <t>Pflug</t>
  </si>
  <si>
    <t>S00231777</t>
  </si>
  <si>
    <t>Busi</t>
  </si>
  <si>
    <t>S00052774</t>
  </si>
  <si>
    <t>Lakner</t>
  </si>
  <si>
    <t>S00517418</t>
  </si>
  <si>
    <t>Patel</t>
  </si>
  <si>
    <t>Corinne</t>
  </si>
  <si>
    <t>S00010902</t>
  </si>
  <si>
    <t>S00010105</t>
  </si>
  <si>
    <t>Spak</t>
  </si>
  <si>
    <t>S00116249</t>
  </si>
  <si>
    <t>Helleis</t>
  </si>
  <si>
    <t>S00470453</t>
  </si>
  <si>
    <t>Heller</t>
  </si>
  <si>
    <t>S00035493</t>
  </si>
  <si>
    <t>S00115063</t>
  </si>
  <si>
    <t>Halcik</t>
  </si>
  <si>
    <t>S00009679</t>
  </si>
  <si>
    <t>Hancox</t>
  </si>
  <si>
    <t>S00116141</t>
  </si>
  <si>
    <t>Badal</t>
  </si>
  <si>
    <t>S00035497</t>
  </si>
  <si>
    <t>Hughley</t>
  </si>
  <si>
    <t>Emanuel</t>
  </si>
  <si>
    <t>S00035476</t>
  </si>
  <si>
    <t>S00010140</t>
  </si>
  <si>
    <t>S00060965</t>
  </si>
  <si>
    <t>Surak</t>
  </si>
  <si>
    <t>3W2620</t>
  </si>
  <si>
    <t>Engineering - W</t>
  </si>
  <si>
    <t>S00115394</t>
  </si>
  <si>
    <t>S00010801</t>
  </si>
  <si>
    <t>S00114900</t>
  </si>
  <si>
    <t>Wunderle</t>
  </si>
  <si>
    <t>S00116108</t>
  </si>
  <si>
    <t>Bistak</t>
  </si>
  <si>
    <t>S00114787</t>
  </si>
  <si>
    <t>Deranleau</t>
  </si>
  <si>
    <t>Daryl</t>
  </si>
  <si>
    <t>S00115750</t>
  </si>
  <si>
    <t>Brooke</t>
  </si>
  <si>
    <t>S00482541</t>
  </si>
  <si>
    <t>S00116106</t>
  </si>
  <si>
    <t>Elyse</t>
  </si>
  <si>
    <t>S00115040</t>
  </si>
  <si>
    <t>Baer</t>
  </si>
  <si>
    <t>S00116057</t>
  </si>
  <si>
    <t>Mazzone</t>
  </si>
  <si>
    <t>S00116188</t>
  </si>
  <si>
    <t>Sekeres</t>
  </si>
  <si>
    <t>Leonarda</t>
  </si>
  <si>
    <t>S00010669</t>
  </si>
  <si>
    <t>S00114946</t>
  </si>
  <si>
    <t>S00116208</t>
  </si>
  <si>
    <t>Moderick</t>
  </si>
  <si>
    <t>S00009911</t>
  </si>
  <si>
    <t>S00010498</t>
  </si>
  <si>
    <t>S00115986</t>
  </si>
  <si>
    <t>Brusk</t>
  </si>
  <si>
    <t>S00115762</t>
  </si>
  <si>
    <t>Betancourt</t>
  </si>
  <si>
    <t>S00010839</t>
  </si>
  <si>
    <t>Silk</t>
  </si>
  <si>
    <t>S00418139</t>
  </si>
  <si>
    <t>Stacko</t>
  </si>
  <si>
    <t>S00010037</t>
  </si>
  <si>
    <t>S00114834</t>
  </si>
  <si>
    <t>S00115187</t>
  </si>
  <si>
    <t>Tedunjaiye</t>
  </si>
  <si>
    <t>S00054962</t>
  </si>
  <si>
    <t>Mulac</t>
  </si>
  <si>
    <t>S00115042</t>
  </si>
  <si>
    <t>Wadsworth</t>
  </si>
  <si>
    <t>S00116134</t>
  </si>
  <si>
    <t>S00010645</t>
  </si>
  <si>
    <t>Yarnall</t>
  </si>
  <si>
    <t>S00116261</t>
  </si>
  <si>
    <t>Walls</t>
  </si>
  <si>
    <t>S00115437</t>
  </si>
  <si>
    <t>Moravec</t>
  </si>
  <si>
    <t>S00010240</t>
  </si>
  <si>
    <t>McKeever</t>
  </si>
  <si>
    <t>S00010225</t>
  </si>
  <si>
    <t>Dodge</t>
  </si>
  <si>
    <t>Elliot</t>
  </si>
  <si>
    <t>S00010088</t>
  </si>
  <si>
    <t>Kreutzberg</t>
  </si>
  <si>
    <t>S00116136</t>
  </si>
  <si>
    <t>Czar</t>
  </si>
  <si>
    <t>S00115655</t>
  </si>
  <si>
    <t>Wondrak</t>
  </si>
  <si>
    <t>S00115362</t>
  </si>
  <si>
    <t>S00115840</t>
  </si>
  <si>
    <t>Bull</t>
  </si>
  <si>
    <t>S00115153</t>
  </si>
  <si>
    <t>S00010428</t>
  </si>
  <si>
    <t>Kurilich</t>
  </si>
  <si>
    <t>S00115393</t>
  </si>
  <si>
    <t>Perison</t>
  </si>
  <si>
    <t>Glorietta</t>
  </si>
  <si>
    <t>S00009751</t>
  </si>
  <si>
    <t>Ringle</t>
  </si>
  <si>
    <t>S00116206</t>
  </si>
  <si>
    <t>Rybicki</t>
  </si>
  <si>
    <t>S00115951</t>
  </si>
  <si>
    <t>S00010408</t>
  </si>
  <si>
    <t>Siebert</t>
  </si>
  <si>
    <t>S00010566</t>
  </si>
  <si>
    <t>S00010177</t>
  </si>
  <si>
    <t>Bogart</t>
  </si>
  <si>
    <t>S00009744</t>
  </si>
  <si>
    <t>S00116173</t>
  </si>
  <si>
    <t>Durinka</t>
  </si>
  <si>
    <t>S00115869</t>
  </si>
  <si>
    <t>S00114965</t>
  </si>
  <si>
    <t>S00009862</t>
  </si>
  <si>
    <t>Armstrong</t>
  </si>
  <si>
    <t>S00010003</t>
  </si>
  <si>
    <t>Blunk</t>
  </si>
  <si>
    <t>S00009777</t>
  </si>
  <si>
    <t>Masterson</t>
  </si>
  <si>
    <t>S00010450</t>
  </si>
  <si>
    <t>S00009898</t>
  </si>
  <si>
    <t>S00115607</t>
  </si>
  <si>
    <t>Buchko</t>
  </si>
  <si>
    <t>S00009941</t>
  </si>
  <si>
    <t>Zinner</t>
  </si>
  <si>
    <t>S00115233</t>
  </si>
  <si>
    <t>Myron</t>
  </si>
  <si>
    <t>S00057607</t>
  </si>
  <si>
    <t>Santo</t>
  </si>
  <si>
    <t>S00115728</t>
  </si>
  <si>
    <t>Preston</t>
  </si>
  <si>
    <t>S00116001</t>
  </si>
  <si>
    <t>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</si>
</sst>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25"/>
  <sheetViews>
    <sheetView tabSelected="1" workbookViewId="0">
      <selection activeCell="A2" sqref="A1:T4725"/>
    </sheetView>
  </sheetViews>
  <sheetFormatPr defaultRowHeight="15" x14ac:dyDescent="0.25"/>
  <cols>
    <col min="1" max="1" width="10" bestFit="1" customWidth="1"/>
    <col min="2" max="2" width="5.42578125" bestFit="1" customWidth="1"/>
    <col min="3" max="3" width="10" bestFit="1" customWidth="1"/>
    <col min="4" max="4" width="20.85546875" bestFit="1" customWidth="1"/>
    <col min="5" max="5" width="15.140625" bestFit="1" customWidth="1"/>
    <col min="6" max="6" width="15.28515625" bestFit="1" customWidth="1"/>
    <col min="7" max="8" width="10.7109375" bestFit="1" customWidth="1"/>
    <col min="9" max="9" width="6.28515625" bestFit="1" customWidth="1"/>
    <col min="10" max="10" width="31.140625" bestFit="1" customWidth="1"/>
    <col min="11" max="11" width="14.7109375" bestFit="1" customWidth="1"/>
    <col min="12" max="12" width="6.140625" bestFit="1" customWidth="1"/>
    <col min="13" max="13" width="23.140625" bestFit="1" customWidth="1"/>
    <col min="14" max="14" width="10.7109375" bestFit="1" customWidth="1"/>
    <col min="15" max="15" width="15" bestFit="1" customWidth="1"/>
    <col min="16" max="16" width="18.140625" bestFit="1" customWidth="1"/>
    <col min="17" max="17" width="7.5703125" bestFit="1" customWidth="1"/>
    <col min="18" max="18" width="17.7109375" bestFit="1" customWidth="1"/>
    <col min="19" max="19" width="7.85546875" bestFit="1" customWidth="1"/>
    <col min="20" max="20" width="37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5">
      <c r="A2" t="s">
        <v>20</v>
      </c>
      <c r="B2" t="str">
        <f>"2041"</f>
        <v>2041</v>
      </c>
      <c r="C2" t="str">
        <f>"587552041"</f>
        <v>587552041</v>
      </c>
      <c r="D2" t="s">
        <v>21</v>
      </c>
      <c r="E2" t="s">
        <v>22</v>
      </c>
      <c r="F2" t="s">
        <v>23</v>
      </c>
      <c r="G2" s="1">
        <v>30408</v>
      </c>
      <c r="H2" s="1">
        <v>41870</v>
      </c>
      <c r="I2" t="str">
        <f>"41"</f>
        <v>41</v>
      </c>
      <c r="J2" t="s">
        <v>24</v>
      </c>
      <c r="K2" t="s">
        <v>25</v>
      </c>
      <c r="L2" t="s">
        <v>26</v>
      </c>
      <c r="M2" t="s">
        <v>27</v>
      </c>
      <c r="N2" s="1">
        <v>18629</v>
      </c>
      <c r="O2">
        <v>0</v>
      </c>
      <c r="P2">
        <v>0</v>
      </c>
      <c r="Q2" t="s">
        <v>28</v>
      </c>
      <c r="R2" t="s">
        <v>29</v>
      </c>
      <c r="S2" t="s">
        <v>30</v>
      </c>
      <c r="T2" t="s">
        <v>31</v>
      </c>
    </row>
    <row r="3" spans="1:20" x14ac:dyDescent="0.25">
      <c r="A3" t="s">
        <v>32</v>
      </c>
      <c r="B3" t="str">
        <f>"5930"</f>
        <v>5930</v>
      </c>
      <c r="C3" t="str">
        <f>"277545930"</f>
        <v>277545930</v>
      </c>
      <c r="D3" t="s">
        <v>33</v>
      </c>
      <c r="E3" t="s">
        <v>34</v>
      </c>
      <c r="F3" t="s">
        <v>35</v>
      </c>
      <c r="G3" s="1">
        <v>33387</v>
      </c>
      <c r="H3" s="1">
        <v>41870</v>
      </c>
      <c r="I3" t="str">
        <f>"15"</f>
        <v>15</v>
      </c>
      <c r="J3" t="s">
        <v>36</v>
      </c>
      <c r="K3" t="s">
        <v>25</v>
      </c>
      <c r="L3" t="s">
        <v>37</v>
      </c>
      <c r="M3" t="s">
        <v>27</v>
      </c>
      <c r="N3" s="1">
        <v>18629</v>
      </c>
      <c r="O3">
        <v>0</v>
      </c>
      <c r="P3">
        <v>0</v>
      </c>
      <c r="Q3" t="s">
        <v>28</v>
      </c>
      <c r="R3" t="s">
        <v>38</v>
      </c>
      <c r="S3" t="s">
        <v>39</v>
      </c>
      <c r="T3" t="s">
        <v>40</v>
      </c>
    </row>
    <row r="4" spans="1:20" x14ac:dyDescent="0.25">
      <c r="A4" t="s">
        <v>41</v>
      </c>
      <c r="B4" t="str">
        <f>"9478"</f>
        <v>9478</v>
      </c>
      <c r="C4" t="str">
        <f>"270669478"</f>
        <v>270669478</v>
      </c>
      <c r="D4" t="s">
        <v>42</v>
      </c>
      <c r="E4" t="s">
        <v>43</v>
      </c>
      <c r="F4" t="s">
        <v>44</v>
      </c>
      <c r="G4" s="1">
        <v>22560</v>
      </c>
      <c r="H4" s="1">
        <v>41870</v>
      </c>
      <c r="I4" t="str">
        <f>"33"</f>
        <v>33</v>
      </c>
      <c r="J4" t="s">
        <v>45</v>
      </c>
      <c r="K4" t="s">
        <v>25</v>
      </c>
      <c r="L4" t="s">
        <v>26</v>
      </c>
      <c r="M4" t="s">
        <v>27</v>
      </c>
      <c r="N4" s="1">
        <v>18629</v>
      </c>
      <c r="O4">
        <v>0</v>
      </c>
      <c r="P4">
        <v>0</v>
      </c>
      <c r="Q4" t="s">
        <v>28</v>
      </c>
      <c r="R4" t="s">
        <v>29</v>
      </c>
      <c r="S4" t="s">
        <v>30</v>
      </c>
      <c r="T4" t="s">
        <v>31</v>
      </c>
    </row>
    <row r="5" spans="1:20" x14ac:dyDescent="0.25">
      <c r="A5" t="s">
        <v>46</v>
      </c>
      <c r="B5" t="str">
        <f>"7254"</f>
        <v>7254</v>
      </c>
      <c r="C5" t="str">
        <f>"299907254"</f>
        <v>299907254</v>
      </c>
      <c r="D5" t="s">
        <v>47</v>
      </c>
      <c r="E5" t="s">
        <v>48</v>
      </c>
      <c r="F5" t="s">
        <v>49</v>
      </c>
      <c r="G5" s="1">
        <v>31407</v>
      </c>
      <c r="H5" s="1">
        <v>41869</v>
      </c>
      <c r="I5" t="str">
        <f>"30"</f>
        <v>30</v>
      </c>
      <c r="J5" t="s">
        <v>50</v>
      </c>
      <c r="K5" t="s">
        <v>25</v>
      </c>
      <c r="L5" t="s">
        <v>26</v>
      </c>
      <c r="M5" t="s">
        <v>27</v>
      </c>
      <c r="N5" s="1">
        <v>18629</v>
      </c>
      <c r="O5">
        <v>0</v>
      </c>
      <c r="P5">
        <v>0</v>
      </c>
      <c r="Q5" t="s">
        <v>37</v>
      </c>
      <c r="R5" t="s">
        <v>51</v>
      </c>
      <c r="S5" s="2" t="s">
        <v>52</v>
      </c>
      <c r="T5" t="s">
        <v>53</v>
      </c>
    </row>
    <row r="6" spans="1:20" x14ac:dyDescent="0.25">
      <c r="A6" t="s">
        <v>54</v>
      </c>
      <c r="B6" t="str">
        <f>"3771"</f>
        <v>3771</v>
      </c>
      <c r="C6" t="str">
        <f>"293823771"</f>
        <v>293823771</v>
      </c>
      <c r="D6" t="s">
        <v>55</v>
      </c>
      <c r="E6" t="s">
        <v>56</v>
      </c>
      <c r="F6" t="s">
        <v>57</v>
      </c>
      <c r="G6" s="1">
        <v>31041</v>
      </c>
      <c r="H6" s="1">
        <v>41869</v>
      </c>
      <c r="I6" t="str">
        <f>"05"</f>
        <v>05</v>
      </c>
      <c r="J6" t="s">
        <v>58</v>
      </c>
      <c r="K6" t="s">
        <v>25</v>
      </c>
      <c r="L6" t="s">
        <v>37</v>
      </c>
      <c r="M6" t="s">
        <v>27</v>
      </c>
      <c r="N6" s="1">
        <v>18629</v>
      </c>
      <c r="O6">
        <v>0</v>
      </c>
      <c r="P6">
        <v>0</v>
      </c>
      <c r="Q6" t="s">
        <v>28</v>
      </c>
      <c r="R6" t="s">
        <v>51</v>
      </c>
      <c r="S6" s="2" t="s">
        <v>59</v>
      </c>
      <c r="T6" t="s">
        <v>60</v>
      </c>
    </row>
    <row r="7" spans="1:20" x14ac:dyDescent="0.25">
      <c r="A7" t="s">
        <v>61</v>
      </c>
      <c r="B7" t="str">
        <f>"0339"</f>
        <v>0339</v>
      </c>
      <c r="C7" t="str">
        <f>"302860339"</f>
        <v>302860339</v>
      </c>
      <c r="D7" t="s">
        <v>62</v>
      </c>
      <c r="E7" t="s">
        <v>63</v>
      </c>
      <c r="F7" t="s">
        <v>28</v>
      </c>
      <c r="G7" s="1">
        <v>30349</v>
      </c>
      <c r="H7" s="1">
        <v>41869</v>
      </c>
      <c r="I7" t="str">
        <f>"15"</f>
        <v>15</v>
      </c>
      <c r="J7" t="s">
        <v>36</v>
      </c>
      <c r="K7" t="s">
        <v>25</v>
      </c>
      <c r="L7" t="s">
        <v>37</v>
      </c>
      <c r="M7" t="s">
        <v>27</v>
      </c>
      <c r="N7" s="1">
        <v>18629</v>
      </c>
      <c r="O7">
        <v>0</v>
      </c>
      <c r="P7">
        <v>0</v>
      </c>
      <c r="Q7" t="s">
        <v>37</v>
      </c>
      <c r="R7" t="s">
        <v>51</v>
      </c>
      <c r="S7" s="2" t="s">
        <v>64</v>
      </c>
      <c r="T7" t="s">
        <v>65</v>
      </c>
    </row>
    <row r="8" spans="1:20" x14ac:dyDescent="0.25">
      <c r="A8" t="s">
        <v>66</v>
      </c>
      <c r="B8" t="str">
        <f>"9044"</f>
        <v>9044</v>
      </c>
      <c r="C8" t="str">
        <f>"268909044"</f>
        <v>268909044</v>
      </c>
      <c r="D8" t="s">
        <v>67</v>
      </c>
      <c r="E8" t="s">
        <v>68</v>
      </c>
      <c r="F8" t="s">
        <v>69</v>
      </c>
      <c r="G8" s="1">
        <v>31543</v>
      </c>
      <c r="H8" s="1">
        <v>41869</v>
      </c>
      <c r="I8" t="str">
        <f>"03"</f>
        <v>03</v>
      </c>
      <c r="J8" t="s">
        <v>70</v>
      </c>
      <c r="K8" t="s">
        <v>25</v>
      </c>
      <c r="L8" t="s">
        <v>37</v>
      </c>
      <c r="M8" t="s">
        <v>27</v>
      </c>
      <c r="N8" s="1">
        <v>18629</v>
      </c>
      <c r="O8">
        <v>0</v>
      </c>
      <c r="P8">
        <v>0</v>
      </c>
      <c r="Q8" t="s">
        <v>37</v>
      </c>
      <c r="R8" t="s">
        <v>71</v>
      </c>
      <c r="S8" t="s">
        <v>72</v>
      </c>
      <c r="T8" t="s">
        <v>73</v>
      </c>
    </row>
    <row r="9" spans="1:20" x14ac:dyDescent="0.25">
      <c r="A9" t="s">
        <v>74</v>
      </c>
      <c r="B9" t="str">
        <f>"6353"</f>
        <v>6353</v>
      </c>
      <c r="C9" t="str">
        <f>"280886353"</f>
        <v>280886353</v>
      </c>
      <c r="D9" t="s">
        <v>75</v>
      </c>
      <c r="E9" t="s">
        <v>76</v>
      </c>
      <c r="F9" t="s">
        <v>44</v>
      </c>
      <c r="G9" s="1">
        <v>32114</v>
      </c>
      <c r="H9" s="1">
        <v>41869</v>
      </c>
      <c r="I9" t="str">
        <f>"30"</f>
        <v>30</v>
      </c>
      <c r="J9" t="s">
        <v>50</v>
      </c>
      <c r="K9" t="s">
        <v>25</v>
      </c>
      <c r="L9" t="s">
        <v>26</v>
      </c>
      <c r="M9" t="s">
        <v>27</v>
      </c>
      <c r="N9" s="1">
        <v>18629</v>
      </c>
      <c r="O9">
        <v>0</v>
      </c>
      <c r="P9">
        <v>0</v>
      </c>
      <c r="Q9" t="s">
        <v>28</v>
      </c>
      <c r="R9" t="s">
        <v>77</v>
      </c>
      <c r="S9" t="s">
        <v>78</v>
      </c>
      <c r="T9" t="s">
        <v>79</v>
      </c>
    </row>
    <row r="10" spans="1:20" x14ac:dyDescent="0.25">
      <c r="A10" t="s">
        <v>80</v>
      </c>
      <c r="B10" t="str">
        <f>"0905"</f>
        <v>0905</v>
      </c>
      <c r="C10" t="str">
        <f>"390080905"</f>
        <v>390080905</v>
      </c>
      <c r="D10" t="s">
        <v>81</v>
      </c>
      <c r="E10" t="s">
        <v>82</v>
      </c>
      <c r="F10" t="s">
        <v>28</v>
      </c>
      <c r="G10" s="1">
        <v>33296</v>
      </c>
      <c r="H10" s="1">
        <v>41869</v>
      </c>
      <c r="I10" t="str">
        <f>"41"</f>
        <v>41</v>
      </c>
      <c r="J10" t="s">
        <v>24</v>
      </c>
      <c r="K10" t="s">
        <v>25</v>
      </c>
      <c r="L10" t="s">
        <v>26</v>
      </c>
      <c r="M10" t="s">
        <v>27</v>
      </c>
      <c r="N10" s="1">
        <v>18629</v>
      </c>
      <c r="O10">
        <v>0</v>
      </c>
      <c r="P10">
        <v>0</v>
      </c>
      <c r="Q10" t="s">
        <v>37</v>
      </c>
      <c r="R10" t="s">
        <v>71</v>
      </c>
      <c r="S10" t="s">
        <v>83</v>
      </c>
      <c r="T10" t="s">
        <v>84</v>
      </c>
    </row>
    <row r="11" spans="1:20" x14ac:dyDescent="0.25">
      <c r="A11" t="s">
        <v>85</v>
      </c>
      <c r="B11" t="str">
        <f>"2712"</f>
        <v>2712</v>
      </c>
      <c r="C11" t="str">
        <f>"300782712"</f>
        <v>300782712</v>
      </c>
      <c r="D11" t="s">
        <v>86</v>
      </c>
      <c r="E11" t="s">
        <v>87</v>
      </c>
      <c r="F11" t="s">
        <v>44</v>
      </c>
      <c r="G11" s="1">
        <v>30212</v>
      </c>
      <c r="H11" s="1">
        <v>41869</v>
      </c>
      <c r="I11" t="str">
        <f>"30"</f>
        <v>30</v>
      </c>
      <c r="J11" t="s">
        <v>50</v>
      </c>
      <c r="K11" t="s">
        <v>25</v>
      </c>
      <c r="L11" t="s">
        <v>26</v>
      </c>
      <c r="M11" t="s">
        <v>27</v>
      </c>
      <c r="N11" s="1">
        <v>18629</v>
      </c>
      <c r="O11">
        <v>0</v>
      </c>
      <c r="P11">
        <v>0</v>
      </c>
      <c r="Q11" t="s">
        <v>37</v>
      </c>
      <c r="R11" t="s">
        <v>29</v>
      </c>
      <c r="S11" t="s">
        <v>88</v>
      </c>
      <c r="T11" t="s">
        <v>89</v>
      </c>
    </row>
    <row r="12" spans="1:20" x14ac:dyDescent="0.25">
      <c r="A12" t="s">
        <v>90</v>
      </c>
      <c r="B12" t="str">
        <f>"3025"</f>
        <v>3025</v>
      </c>
      <c r="C12" t="str">
        <f>"273543025"</f>
        <v>273543025</v>
      </c>
      <c r="D12" t="s">
        <v>91</v>
      </c>
      <c r="E12" t="s">
        <v>92</v>
      </c>
      <c r="F12" t="s">
        <v>93</v>
      </c>
      <c r="G12" s="1">
        <v>20304</v>
      </c>
      <c r="H12" s="1">
        <v>41869</v>
      </c>
      <c r="I12" t="str">
        <f>"41"</f>
        <v>41</v>
      </c>
      <c r="J12" t="s">
        <v>24</v>
      </c>
      <c r="K12" t="s">
        <v>25</v>
      </c>
      <c r="L12" t="s">
        <v>26</v>
      </c>
      <c r="M12" t="s">
        <v>27</v>
      </c>
      <c r="N12" s="1">
        <v>18629</v>
      </c>
      <c r="O12">
        <v>0</v>
      </c>
      <c r="P12">
        <v>0</v>
      </c>
      <c r="Q12" t="s">
        <v>37</v>
      </c>
      <c r="R12" t="s">
        <v>29</v>
      </c>
      <c r="S12" t="s">
        <v>30</v>
      </c>
      <c r="T12" t="s">
        <v>31</v>
      </c>
    </row>
    <row r="13" spans="1:20" x14ac:dyDescent="0.25">
      <c r="A13" t="s">
        <v>94</v>
      </c>
      <c r="B13" t="str">
        <f>"2696"</f>
        <v>2696</v>
      </c>
      <c r="C13" t="str">
        <f>"281622696"</f>
        <v>281622696</v>
      </c>
      <c r="D13" t="s">
        <v>95</v>
      </c>
      <c r="E13" t="s">
        <v>96</v>
      </c>
      <c r="F13" t="s">
        <v>97</v>
      </c>
      <c r="G13" s="1">
        <v>22807</v>
      </c>
      <c r="H13" s="1">
        <v>41869</v>
      </c>
      <c r="I13" t="str">
        <f>"05"</f>
        <v>05</v>
      </c>
      <c r="J13" t="s">
        <v>58</v>
      </c>
      <c r="K13" t="s">
        <v>98</v>
      </c>
      <c r="L13" t="s">
        <v>37</v>
      </c>
      <c r="M13" t="s">
        <v>99</v>
      </c>
      <c r="N13" s="1">
        <v>41617</v>
      </c>
      <c r="O13">
        <v>14801.8</v>
      </c>
      <c r="P13">
        <v>3700.32</v>
      </c>
      <c r="Q13" t="s">
        <v>37</v>
      </c>
      <c r="R13" t="s">
        <v>100</v>
      </c>
      <c r="S13" t="s">
        <v>101</v>
      </c>
      <c r="T13" t="s">
        <v>102</v>
      </c>
    </row>
    <row r="14" spans="1:20" x14ac:dyDescent="0.25">
      <c r="A14" t="s">
        <v>103</v>
      </c>
      <c r="B14" t="str">
        <f>"0314"</f>
        <v>0314</v>
      </c>
      <c r="C14" t="str">
        <f>"272640314"</f>
        <v>272640314</v>
      </c>
      <c r="D14" t="s">
        <v>104</v>
      </c>
      <c r="E14" t="s">
        <v>105</v>
      </c>
      <c r="F14" t="s">
        <v>106</v>
      </c>
      <c r="G14" s="1">
        <v>21771</v>
      </c>
      <c r="H14" s="1">
        <v>41862</v>
      </c>
      <c r="I14" t="str">
        <f>"41"</f>
        <v>41</v>
      </c>
      <c r="J14" t="s">
        <v>24</v>
      </c>
      <c r="K14" t="s">
        <v>25</v>
      </c>
      <c r="L14" t="s">
        <v>26</v>
      </c>
      <c r="M14" t="s">
        <v>27</v>
      </c>
      <c r="N14" s="1">
        <v>18629</v>
      </c>
      <c r="O14">
        <v>0</v>
      </c>
      <c r="P14">
        <v>0</v>
      </c>
      <c r="Q14" t="s">
        <v>28</v>
      </c>
      <c r="R14" t="s">
        <v>77</v>
      </c>
      <c r="S14" t="s">
        <v>78</v>
      </c>
      <c r="T14" t="s">
        <v>79</v>
      </c>
    </row>
    <row r="15" spans="1:20" x14ac:dyDescent="0.25">
      <c r="A15" t="s">
        <v>107</v>
      </c>
      <c r="B15" t="str">
        <f>"5818"</f>
        <v>5818</v>
      </c>
      <c r="C15" t="str">
        <f>"301685818"</f>
        <v>301685818</v>
      </c>
      <c r="D15" t="s">
        <v>108</v>
      </c>
      <c r="E15" t="s">
        <v>109</v>
      </c>
      <c r="F15" t="s">
        <v>28</v>
      </c>
      <c r="G15" s="1">
        <v>24690</v>
      </c>
      <c r="H15" s="1">
        <v>41862</v>
      </c>
      <c r="I15" t="str">
        <f>"15"</f>
        <v>15</v>
      </c>
      <c r="J15" t="s">
        <v>36</v>
      </c>
      <c r="K15" t="s">
        <v>25</v>
      </c>
      <c r="L15" t="s">
        <v>37</v>
      </c>
      <c r="M15" t="s">
        <v>27</v>
      </c>
      <c r="N15" s="1">
        <v>18629</v>
      </c>
      <c r="O15">
        <v>0</v>
      </c>
      <c r="P15">
        <v>0</v>
      </c>
      <c r="Q15" t="s">
        <v>37</v>
      </c>
      <c r="R15" t="s">
        <v>110</v>
      </c>
      <c r="S15" t="s">
        <v>111</v>
      </c>
      <c r="T15" t="s">
        <v>112</v>
      </c>
    </row>
    <row r="16" spans="1:20" x14ac:dyDescent="0.25">
      <c r="A16" t="s">
        <v>113</v>
      </c>
      <c r="B16" t="str">
        <f>"6702"</f>
        <v>6702</v>
      </c>
      <c r="C16" t="str">
        <f>"272566702"</f>
        <v>272566702</v>
      </c>
      <c r="D16" t="s">
        <v>114</v>
      </c>
      <c r="E16" t="s">
        <v>109</v>
      </c>
      <c r="F16" t="s">
        <v>115</v>
      </c>
      <c r="G16" s="1">
        <v>21881</v>
      </c>
      <c r="H16" s="1">
        <v>41862</v>
      </c>
      <c r="I16" t="str">
        <f>"01"</f>
        <v>01</v>
      </c>
      <c r="J16" t="s">
        <v>116</v>
      </c>
      <c r="K16" t="s">
        <v>98</v>
      </c>
      <c r="L16" t="s">
        <v>37</v>
      </c>
      <c r="M16" t="s">
        <v>117</v>
      </c>
      <c r="N16" s="1">
        <v>41869</v>
      </c>
      <c r="O16">
        <v>4951.96</v>
      </c>
      <c r="P16">
        <v>1237.8599999999999</v>
      </c>
      <c r="Q16" t="s">
        <v>37</v>
      </c>
      <c r="R16" t="s">
        <v>110</v>
      </c>
      <c r="S16" t="s">
        <v>118</v>
      </c>
      <c r="T16" t="s">
        <v>119</v>
      </c>
    </row>
    <row r="17" spans="1:20" x14ac:dyDescent="0.25">
      <c r="A17" t="s">
        <v>120</v>
      </c>
      <c r="B17" t="str">
        <f>"3392"</f>
        <v>3392</v>
      </c>
      <c r="C17" t="str">
        <f>"392643392"</f>
        <v>392643392</v>
      </c>
      <c r="D17" t="s">
        <v>121</v>
      </c>
      <c r="E17" t="s">
        <v>106</v>
      </c>
      <c r="F17" t="s">
        <v>122</v>
      </c>
      <c r="G17" s="1">
        <v>23262</v>
      </c>
      <c r="H17" s="1">
        <v>41857</v>
      </c>
      <c r="I17" t="str">
        <f t="shared" ref="I17:I33" si="0">"20"</f>
        <v>20</v>
      </c>
      <c r="J17" t="s">
        <v>123</v>
      </c>
      <c r="K17" t="s">
        <v>98</v>
      </c>
      <c r="L17" t="s">
        <v>37</v>
      </c>
      <c r="M17" t="s">
        <v>99</v>
      </c>
      <c r="N17" s="1">
        <v>41883</v>
      </c>
      <c r="O17">
        <v>14801.82</v>
      </c>
      <c r="P17">
        <v>3700.4</v>
      </c>
      <c r="Q17" t="s">
        <v>28</v>
      </c>
      <c r="R17" t="s">
        <v>29</v>
      </c>
      <c r="S17" t="s">
        <v>124</v>
      </c>
      <c r="T17" t="s">
        <v>125</v>
      </c>
    </row>
    <row r="18" spans="1:20" x14ac:dyDescent="0.25">
      <c r="A18" t="s">
        <v>126</v>
      </c>
      <c r="B18" t="str">
        <f>"2880"</f>
        <v>2880</v>
      </c>
      <c r="C18" t="str">
        <f>"085502880"</f>
        <v>085502880</v>
      </c>
      <c r="D18" t="s">
        <v>127</v>
      </c>
      <c r="E18" t="s">
        <v>128</v>
      </c>
      <c r="F18" t="s">
        <v>129</v>
      </c>
      <c r="G18" s="1">
        <v>22411</v>
      </c>
      <c r="H18" s="1">
        <v>41857</v>
      </c>
      <c r="I18" t="str">
        <f t="shared" si="0"/>
        <v>20</v>
      </c>
      <c r="J18" t="s">
        <v>123</v>
      </c>
      <c r="K18" t="s">
        <v>25</v>
      </c>
      <c r="L18" t="s">
        <v>37</v>
      </c>
      <c r="M18" t="s">
        <v>27</v>
      </c>
      <c r="N18" s="1">
        <v>18629</v>
      </c>
      <c r="O18">
        <v>0</v>
      </c>
      <c r="P18">
        <v>0</v>
      </c>
      <c r="Q18" t="s">
        <v>37</v>
      </c>
      <c r="R18" t="s">
        <v>100</v>
      </c>
      <c r="S18" t="s">
        <v>130</v>
      </c>
      <c r="T18" t="s">
        <v>131</v>
      </c>
    </row>
    <row r="19" spans="1:20" x14ac:dyDescent="0.25">
      <c r="A19" t="s">
        <v>132</v>
      </c>
      <c r="B19" t="str">
        <f>"0530"</f>
        <v>0530</v>
      </c>
      <c r="C19" t="str">
        <f>"772740530"</f>
        <v>772740530</v>
      </c>
      <c r="D19" t="s">
        <v>133</v>
      </c>
      <c r="E19" t="s">
        <v>134</v>
      </c>
      <c r="F19" t="s">
        <v>93</v>
      </c>
      <c r="G19" s="1">
        <v>29639</v>
      </c>
      <c r="H19" s="1">
        <v>41857</v>
      </c>
      <c r="I19" t="str">
        <f t="shared" si="0"/>
        <v>20</v>
      </c>
      <c r="J19" t="s">
        <v>123</v>
      </c>
      <c r="K19" t="s">
        <v>25</v>
      </c>
      <c r="L19" t="s">
        <v>37</v>
      </c>
      <c r="M19" t="s">
        <v>27</v>
      </c>
      <c r="N19" s="1">
        <v>18629</v>
      </c>
      <c r="O19">
        <v>0</v>
      </c>
      <c r="P19">
        <v>0</v>
      </c>
      <c r="Q19" t="s">
        <v>37</v>
      </c>
      <c r="R19" t="s">
        <v>29</v>
      </c>
      <c r="S19" t="s">
        <v>124</v>
      </c>
      <c r="T19" t="s">
        <v>125</v>
      </c>
    </row>
    <row r="20" spans="1:20" x14ac:dyDescent="0.25">
      <c r="A20" t="s">
        <v>135</v>
      </c>
      <c r="B20" t="str">
        <f>"7225"</f>
        <v>7225</v>
      </c>
      <c r="C20" t="str">
        <f>"268567225"</f>
        <v>268567225</v>
      </c>
      <c r="D20" t="s">
        <v>136</v>
      </c>
      <c r="E20" t="s">
        <v>137</v>
      </c>
      <c r="F20" t="s">
        <v>28</v>
      </c>
      <c r="G20" s="1">
        <v>24621</v>
      </c>
      <c r="H20" s="1">
        <v>41857</v>
      </c>
      <c r="I20" t="str">
        <f t="shared" si="0"/>
        <v>20</v>
      </c>
      <c r="J20" t="s">
        <v>123</v>
      </c>
      <c r="K20" t="s">
        <v>98</v>
      </c>
      <c r="L20" t="s">
        <v>37</v>
      </c>
      <c r="M20" t="s">
        <v>117</v>
      </c>
      <c r="N20" s="1">
        <v>41883</v>
      </c>
      <c r="O20">
        <v>4951.9799999999996</v>
      </c>
      <c r="P20">
        <v>1237.94</v>
      </c>
      <c r="Q20" t="s">
        <v>37</v>
      </c>
      <c r="R20" t="s">
        <v>29</v>
      </c>
      <c r="S20" t="s">
        <v>138</v>
      </c>
      <c r="T20" t="s">
        <v>139</v>
      </c>
    </row>
    <row r="21" spans="1:20" x14ac:dyDescent="0.25">
      <c r="A21" t="s">
        <v>140</v>
      </c>
      <c r="B21" t="str">
        <f>"1307"</f>
        <v>1307</v>
      </c>
      <c r="C21" t="str">
        <f>"291721307"</f>
        <v>291721307</v>
      </c>
      <c r="D21" t="s">
        <v>141</v>
      </c>
      <c r="E21" t="s">
        <v>142</v>
      </c>
      <c r="G21" s="1">
        <v>23341</v>
      </c>
      <c r="H21" s="1">
        <v>41857</v>
      </c>
      <c r="I21" t="str">
        <f t="shared" si="0"/>
        <v>20</v>
      </c>
      <c r="J21" t="s">
        <v>123</v>
      </c>
      <c r="L21" t="s">
        <v>37</v>
      </c>
      <c r="M21" t="s">
        <v>143</v>
      </c>
      <c r="N21" s="1">
        <v>41883</v>
      </c>
      <c r="O21">
        <v>185.9</v>
      </c>
      <c r="P21">
        <v>-185.9</v>
      </c>
      <c r="Q21" t="s">
        <v>37</v>
      </c>
      <c r="R21" t="s">
        <v>29</v>
      </c>
      <c r="S21" t="s">
        <v>138</v>
      </c>
      <c r="T21" t="s">
        <v>139</v>
      </c>
    </row>
    <row r="22" spans="1:20" x14ac:dyDescent="0.25">
      <c r="A22" t="s">
        <v>144</v>
      </c>
      <c r="B22" t="str">
        <f>"3419"</f>
        <v>3419</v>
      </c>
      <c r="C22" t="str">
        <f>"268763419"</f>
        <v>268763419</v>
      </c>
      <c r="D22" t="s">
        <v>145</v>
      </c>
      <c r="E22" t="s">
        <v>146</v>
      </c>
      <c r="F22" t="s">
        <v>93</v>
      </c>
      <c r="G22" s="1">
        <v>26344</v>
      </c>
      <c r="H22" s="1">
        <v>41857</v>
      </c>
      <c r="I22" t="str">
        <f t="shared" si="0"/>
        <v>20</v>
      </c>
      <c r="J22" t="s">
        <v>123</v>
      </c>
      <c r="K22" t="s">
        <v>25</v>
      </c>
      <c r="L22" t="s">
        <v>37</v>
      </c>
      <c r="M22" t="s">
        <v>27</v>
      </c>
      <c r="N22" s="1">
        <v>18629</v>
      </c>
      <c r="O22">
        <v>0</v>
      </c>
      <c r="P22">
        <v>0</v>
      </c>
      <c r="Q22" t="s">
        <v>37</v>
      </c>
      <c r="R22" t="s">
        <v>29</v>
      </c>
      <c r="S22" t="s">
        <v>147</v>
      </c>
      <c r="T22" t="s">
        <v>148</v>
      </c>
    </row>
    <row r="23" spans="1:20" x14ac:dyDescent="0.25">
      <c r="A23" t="s">
        <v>149</v>
      </c>
      <c r="B23" t="str">
        <f>"3903"</f>
        <v>3903</v>
      </c>
      <c r="C23" t="str">
        <f>"477683903"</f>
        <v>477683903</v>
      </c>
      <c r="D23" t="s">
        <v>150</v>
      </c>
      <c r="E23" t="s">
        <v>106</v>
      </c>
      <c r="F23" t="s">
        <v>28</v>
      </c>
      <c r="G23" s="1">
        <v>20627</v>
      </c>
      <c r="H23" s="1">
        <v>41857</v>
      </c>
      <c r="I23" t="str">
        <f t="shared" si="0"/>
        <v>20</v>
      </c>
      <c r="J23" t="s">
        <v>123</v>
      </c>
      <c r="K23" t="s">
        <v>98</v>
      </c>
      <c r="L23" t="s">
        <v>37</v>
      </c>
      <c r="M23" t="s">
        <v>117</v>
      </c>
      <c r="N23" s="1">
        <v>41883</v>
      </c>
      <c r="O23">
        <v>4951.9799999999996</v>
      </c>
      <c r="P23">
        <v>1237.94</v>
      </c>
      <c r="Q23" t="s">
        <v>28</v>
      </c>
      <c r="R23" t="s">
        <v>29</v>
      </c>
      <c r="S23" t="s">
        <v>151</v>
      </c>
      <c r="T23" t="s">
        <v>152</v>
      </c>
    </row>
    <row r="24" spans="1:20" x14ac:dyDescent="0.25">
      <c r="A24" t="s">
        <v>153</v>
      </c>
      <c r="B24" t="str">
        <f>"4535"</f>
        <v>4535</v>
      </c>
      <c r="C24" t="str">
        <f>"561654535"</f>
        <v>561654535</v>
      </c>
      <c r="D24" t="s">
        <v>154</v>
      </c>
      <c r="E24" t="s">
        <v>155</v>
      </c>
      <c r="F24" t="s">
        <v>156</v>
      </c>
      <c r="G24" s="1">
        <v>23818</v>
      </c>
      <c r="H24" s="1">
        <v>41857</v>
      </c>
      <c r="I24" t="str">
        <f t="shared" si="0"/>
        <v>20</v>
      </c>
      <c r="J24" t="s">
        <v>123</v>
      </c>
      <c r="K24" t="s">
        <v>25</v>
      </c>
      <c r="L24" t="s">
        <v>37</v>
      </c>
      <c r="M24" t="s">
        <v>27</v>
      </c>
      <c r="N24" s="1">
        <v>18629</v>
      </c>
      <c r="O24">
        <v>0</v>
      </c>
      <c r="P24">
        <v>0</v>
      </c>
      <c r="Q24" t="s">
        <v>37</v>
      </c>
      <c r="R24" t="s">
        <v>71</v>
      </c>
      <c r="S24" t="s">
        <v>157</v>
      </c>
      <c r="T24" t="s">
        <v>158</v>
      </c>
    </row>
    <row r="25" spans="1:20" x14ac:dyDescent="0.25">
      <c r="A25" t="s">
        <v>159</v>
      </c>
      <c r="B25" t="str">
        <f>"2856"</f>
        <v>2856</v>
      </c>
      <c r="C25" t="str">
        <f>"279862856"</f>
        <v>279862856</v>
      </c>
      <c r="D25" t="s">
        <v>160</v>
      </c>
      <c r="E25" t="s">
        <v>161</v>
      </c>
      <c r="F25" t="s">
        <v>69</v>
      </c>
      <c r="G25" s="1">
        <v>28872</v>
      </c>
      <c r="H25" s="1">
        <v>41857</v>
      </c>
      <c r="I25" t="str">
        <f t="shared" si="0"/>
        <v>20</v>
      </c>
      <c r="J25" t="s">
        <v>123</v>
      </c>
      <c r="K25" t="s">
        <v>25</v>
      </c>
      <c r="L25" t="s">
        <v>37</v>
      </c>
      <c r="M25" t="s">
        <v>27</v>
      </c>
      <c r="N25" s="1">
        <v>18629</v>
      </c>
      <c r="O25">
        <v>0</v>
      </c>
      <c r="P25">
        <v>0</v>
      </c>
      <c r="Q25" t="s">
        <v>37</v>
      </c>
      <c r="R25" t="s">
        <v>29</v>
      </c>
      <c r="S25" t="s">
        <v>138</v>
      </c>
      <c r="T25" t="s">
        <v>139</v>
      </c>
    </row>
    <row r="26" spans="1:20" x14ac:dyDescent="0.25">
      <c r="A26" t="s">
        <v>162</v>
      </c>
      <c r="B26" t="str">
        <f>"2693"</f>
        <v>2693</v>
      </c>
      <c r="C26" t="str">
        <f>"297862693"</f>
        <v>297862693</v>
      </c>
      <c r="D26" t="s">
        <v>163</v>
      </c>
      <c r="E26" t="s">
        <v>164</v>
      </c>
      <c r="F26" t="s">
        <v>165</v>
      </c>
      <c r="G26" s="1">
        <v>31629</v>
      </c>
      <c r="H26" s="1">
        <v>41857</v>
      </c>
      <c r="I26" t="str">
        <f t="shared" si="0"/>
        <v>20</v>
      </c>
      <c r="J26" t="s">
        <v>123</v>
      </c>
      <c r="K26" t="s">
        <v>25</v>
      </c>
      <c r="L26" t="s">
        <v>37</v>
      </c>
      <c r="M26" t="s">
        <v>27</v>
      </c>
      <c r="N26" s="1">
        <v>18629</v>
      </c>
      <c r="O26">
        <v>0</v>
      </c>
      <c r="P26">
        <v>0</v>
      </c>
      <c r="Q26" t="s">
        <v>37</v>
      </c>
      <c r="R26" t="s">
        <v>100</v>
      </c>
      <c r="S26" t="s">
        <v>166</v>
      </c>
      <c r="T26" t="s">
        <v>167</v>
      </c>
    </row>
    <row r="27" spans="1:20" x14ac:dyDescent="0.25">
      <c r="A27" t="s">
        <v>168</v>
      </c>
      <c r="B27" t="str">
        <f>"9209"</f>
        <v>9209</v>
      </c>
      <c r="C27" t="str">
        <f>"273749209"</f>
        <v>273749209</v>
      </c>
      <c r="D27" t="s">
        <v>169</v>
      </c>
      <c r="E27" t="s">
        <v>170</v>
      </c>
      <c r="F27" t="s">
        <v>93</v>
      </c>
      <c r="G27" s="1">
        <v>24880</v>
      </c>
      <c r="H27" s="1">
        <v>41857</v>
      </c>
      <c r="I27" t="str">
        <f t="shared" si="0"/>
        <v>20</v>
      </c>
      <c r="J27" t="s">
        <v>123</v>
      </c>
      <c r="K27" t="s">
        <v>25</v>
      </c>
      <c r="L27" t="s">
        <v>37</v>
      </c>
      <c r="M27" t="s">
        <v>27</v>
      </c>
      <c r="N27" s="1">
        <v>18629</v>
      </c>
      <c r="O27">
        <v>0</v>
      </c>
      <c r="P27">
        <v>0</v>
      </c>
      <c r="Q27" t="s">
        <v>37</v>
      </c>
      <c r="R27" t="s">
        <v>29</v>
      </c>
      <c r="S27" t="s">
        <v>138</v>
      </c>
      <c r="T27" t="s">
        <v>139</v>
      </c>
    </row>
    <row r="28" spans="1:20" x14ac:dyDescent="0.25">
      <c r="A28" t="s">
        <v>171</v>
      </c>
      <c r="B28" t="str">
        <f>"2873"</f>
        <v>2873</v>
      </c>
      <c r="C28" t="str">
        <f>"612302873"</f>
        <v>612302873</v>
      </c>
      <c r="D28" t="s">
        <v>172</v>
      </c>
      <c r="E28" t="s">
        <v>173</v>
      </c>
      <c r="F28" t="s">
        <v>174</v>
      </c>
      <c r="G28" s="1">
        <v>32048</v>
      </c>
      <c r="H28" s="1">
        <v>41857</v>
      </c>
      <c r="I28" t="str">
        <f t="shared" si="0"/>
        <v>20</v>
      </c>
      <c r="J28" t="s">
        <v>123</v>
      </c>
      <c r="K28" t="s">
        <v>175</v>
      </c>
      <c r="L28" t="s">
        <v>37</v>
      </c>
      <c r="M28" t="s">
        <v>117</v>
      </c>
      <c r="N28" s="1">
        <v>41883</v>
      </c>
      <c r="O28">
        <v>5288.8</v>
      </c>
      <c r="P28">
        <v>1322.2</v>
      </c>
      <c r="Q28" t="s">
        <v>37</v>
      </c>
      <c r="R28" t="s">
        <v>71</v>
      </c>
      <c r="S28" t="s">
        <v>157</v>
      </c>
      <c r="T28" t="s">
        <v>158</v>
      </c>
    </row>
    <row r="29" spans="1:20" x14ac:dyDescent="0.25">
      <c r="A29" t="s">
        <v>176</v>
      </c>
      <c r="B29" t="str">
        <f>"2945"</f>
        <v>2945</v>
      </c>
      <c r="C29" t="str">
        <f>"277782945"</f>
        <v>277782945</v>
      </c>
      <c r="D29" t="s">
        <v>177</v>
      </c>
      <c r="E29" t="s">
        <v>178</v>
      </c>
      <c r="F29" t="s">
        <v>179</v>
      </c>
      <c r="G29" s="1">
        <v>29827</v>
      </c>
      <c r="H29" s="1">
        <v>41857</v>
      </c>
      <c r="I29" t="str">
        <f t="shared" si="0"/>
        <v>20</v>
      </c>
      <c r="J29" t="s">
        <v>123</v>
      </c>
      <c r="K29" t="s">
        <v>175</v>
      </c>
      <c r="L29" t="s">
        <v>37</v>
      </c>
      <c r="M29" t="s">
        <v>117</v>
      </c>
      <c r="N29" s="1">
        <v>41883</v>
      </c>
      <c r="O29">
        <v>5288.8</v>
      </c>
      <c r="P29">
        <v>1322.2</v>
      </c>
      <c r="Q29" t="s">
        <v>28</v>
      </c>
      <c r="R29" t="s">
        <v>71</v>
      </c>
      <c r="S29" t="s">
        <v>180</v>
      </c>
      <c r="T29" t="s">
        <v>181</v>
      </c>
    </row>
    <row r="30" spans="1:20" x14ac:dyDescent="0.25">
      <c r="A30" t="s">
        <v>182</v>
      </c>
      <c r="B30" t="str">
        <f>"2761"</f>
        <v>2761</v>
      </c>
      <c r="C30" t="str">
        <f>"285582761"</f>
        <v>285582761</v>
      </c>
      <c r="D30" t="s">
        <v>183</v>
      </c>
      <c r="E30" t="s">
        <v>184</v>
      </c>
      <c r="G30" s="1">
        <v>21444</v>
      </c>
      <c r="H30" s="1">
        <v>41857</v>
      </c>
      <c r="I30" t="str">
        <f t="shared" si="0"/>
        <v>20</v>
      </c>
      <c r="J30" t="s">
        <v>123</v>
      </c>
      <c r="K30" t="s">
        <v>98</v>
      </c>
      <c r="L30" t="s">
        <v>37</v>
      </c>
      <c r="M30" t="s">
        <v>99</v>
      </c>
      <c r="N30" s="1">
        <v>41855</v>
      </c>
      <c r="O30">
        <v>14801.82</v>
      </c>
      <c r="P30">
        <v>3700.4</v>
      </c>
      <c r="Q30" t="s">
        <v>37</v>
      </c>
      <c r="R30" t="s">
        <v>29</v>
      </c>
      <c r="S30" t="s">
        <v>185</v>
      </c>
      <c r="T30" t="s">
        <v>186</v>
      </c>
    </row>
    <row r="31" spans="1:20" x14ac:dyDescent="0.25">
      <c r="A31" t="s">
        <v>187</v>
      </c>
      <c r="B31" t="str">
        <f>"1550"</f>
        <v>1550</v>
      </c>
      <c r="C31" t="str">
        <f>"132621550"</f>
        <v>132621550</v>
      </c>
      <c r="D31" t="s">
        <v>188</v>
      </c>
      <c r="E31" t="s">
        <v>189</v>
      </c>
      <c r="F31" t="s">
        <v>190</v>
      </c>
      <c r="G31" s="1">
        <v>24786</v>
      </c>
      <c r="H31" s="1">
        <v>41857</v>
      </c>
      <c r="I31" t="str">
        <f t="shared" si="0"/>
        <v>20</v>
      </c>
      <c r="J31" t="s">
        <v>123</v>
      </c>
      <c r="L31" t="s">
        <v>37</v>
      </c>
      <c r="M31" t="s">
        <v>143</v>
      </c>
      <c r="N31" s="1">
        <v>41883</v>
      </c>
      <c r="O31">
        <v>185.9</v>
      </c>
      <c r="P31">
        <v>-185.9</v>
      </c>
      <c r="Q31" t="s">
        <v>37</v>
      </c>
      <c r="R31" t="s">
        <v>29</v>
      </c>
      <c r="S31" t="s">
        <v>191</v>
      </c>
      <c r="T31" t="s">
        <v>192</v>
      </c>
    </row>
    <row r="32" spans="1:20" x14ac:dyDescent="0.25">
      <c r="A32" t="s">
        <v>193</v>
      </c>
      <c r="B32" t="str">
        <f>"1337"</f>
        <v>1337</v>
      </c>
      <c r="C32" t="str">
        <f>"269801337"</f>
        <v>269801337</v>
      </c>
      <c r="D32" t="s">
        <v>105</v>
      </c>
      <c r="E32" t="s">
        <v>194</v>
      </c>
      <c r="F32" t="s">
        <v>49</v>
      </c>
      <c r="G32" s="1">
        <v>26646</v>
      </c>
      <c r="H32" s="1">
        <v>41857</v>
      </c>
      <c r="I32" t="str">
        <f t="shared" si="0"/>
        <v>20</v>
      </c>
      <c r="J32" t="s">
        <v>123</v>
      </c>
      <c r="K32" t="s">
        <v>25</v>
      </c>
      <c r="L32" t="s">
        <v>37</v>
      </c>
      <c r="M32" t="s">
        <v>27</v>
      </c>
      <c r="N32" s="1">
        <v>18629</v>
      </c>
      <c r="O32">
        <v>0</v>
      </c>
      <c r="P32">
        <v>0</v>
      </c>
      <c r="Q32" t="s">
        <v>37</v>
      </c>
      <c r="R32" t="s">
        <v>29</v>
      </c>
      <c r="S32" t="s">
        <v>138</v>
      </c>
      <c r="T32" t="s">
        <v>139</v>
      </c>
    </row>
    <row r="33" spans="1:20" x14ac:dyDescent="0.25">
      <c r="A33" t="s">
        <v>195</v>
      </c>
      <c r="B33" t="str">
        <f>"6346"</f>
        <v>6346</v>
      </c>
      <c r="C33" t="str">
        <f>"300846346"</f>
        <v>300846346</v>
      </c>
      <c r="D33" t="s">
        <v>196</v>
      </c>
      <c r="E33" t="s">
        <v>197</v>
      </c>
      <c r="F33" t="s">
        <v>122</v>
      </c>
      <c r="G33" s="1">
        <v>29826</v>
      </c>
      <c r="H33" s="1">
        <v>41857</v>
      </c>
      <c r="I33" t="str">
        <f t="shared" si="0"/>
        <v>20</v>
      </c>
      <c r="J33" t="s">
        <v>123</v>
      </c>
      <c r="K33" t="s">
        <v>98</v>
      </c>
      <c r="L33" t="s">
        <v>37</v>
      </c>
      <c r="M33" t="s">
        <v>117</v>
      </c>
      <c r="N33" s="1">
        <v>41883</v>
      </c>
      <c r="O33">
        <v>4951.9799999999996</v>
      </c>
      <c r="P33">
        <v>1237.94</v>
      </c>
      <c r="Q33" t="s">
        <v>28</v>
      </c>
      <c r="R33" t="s">
        <v>51</v>
      </c>
      <c r="S33" s="2" t="s">
        <v>198</v>
      </c>
      <c r="T33" t="s">
        <v>199</v>
      </c>
    </row>
    <row r="34" spans="1:20" x14ac:dyDescent="0.25">
      <c r="A34" t="s">
        <v>200</v>
      </c>
      <c r="B34" t="str">
        <f>"8444"</f>
        <v>8444</v>
      </c>
      <c r="C34" t="str">
        <f>"296748444"</f>
        <v>296748444</v>
      </c>
      <c r="D34" t="s">
        <v>201</v>
      </c>
      <c r="E34" t="s">
        <v>202</v>
      </c>
      <c r="G34" s="1">
        <v>25062</v>
      </c>
      <c r="H34" s="1">
        <v>41855</v>
      </c>
      <c r="I34" t="str">
        <f>"01"</f>
        <v>01</v>
      </c>
      <c r="J34" t="s">
        <v>116</v>
      </c>
      <c r="K34" t="s">
        <v>98</v>
      </c>
      <c r="L34" t="s">
        <v>37</v>
      </c>
      <c r="M34" t="s">
        <v>99</v>
      </c>
      <c r="N34" s="1">
        <v>41855</v>
      </c>
      <c r="O34">
        <v>14801.8</v>
      </c>
      <c r="P34">
        <v>3700.32</v>
      </c>
      <c r="Q34" t="s">
        <v>37</v>
      </c>
      <c r="R34" t="s">
        <v>71</v>
      </c>
      <c r="S34" t="s">
        <v>203</v>
      </c>
      <c r="T34" t="s">
        <v>204</v>
      </c>
    </row>
    <row r="35" spans="1:20" x14ac:dyDescent="0.25">
      <c r="A35" t="s">
        <v>205</v>
      </c>
      <c r="B35" t="str">
        <f>"9184"</f>
        <v>9184</v>
      </c>
      <c r="C35" t="str">
        <f>"281829184"</f>
        <v>281829184</v>
      </c>
      <c r="D35" t="s">
        <v>206</v>
      </c>
      <c r="E35" t="s">
        <v>207</v>
      </c>
      <c r="G35" s="1">
        <v>30752</v>
      </c>
      <c r="H35" s="1">
        <v>41855</v>
      </c>
      <c r="I35" t="str">
        <f>"50"</f>
        <v>50</v>
      </c>
      <c r="J35" t="s">
        <v>208</v>
      </c>
      <c r="K35" t="s">
        <v>25</v>
      </c>
      <c r="L35" t="s">
        <v>26</v>
      </c>
      <c r="M35" t="s">
        <v>27</v>
      </c>
      <c r="N35" s="1">
        <v>18629</v>
      </c>
      <c r="O35">
        <v>0</v>
      </c>
      <c r="P35">
        <v>0</v>
      </c>
      <c r="Q35" t="s">
        <v>28</v>
      </c>
      <c r="R35" t="s">
        <v>71</v>
      </c>
      <c r="S35" t="s">
        <v>209</v>
      </c>
      <c r="T35" t="s">
        <v>210</v>
      </c>
    </row>
    <row r="36" spans="1:20" x14ac:dyDescent="0.25">
      <c r="A36" t="s">
        <v>211</v>
      </c>
      <c r="B36" t="str">
        <f>"2124"</f>
        <v>2124</v>
      </c>
      <c r="C36" t="str">
        <f>"293922124"</f>
        <v>293922124</v>
      </c>
      <c r="D36" t="s">
        <v>212</v>
      </c>
      <c r="E36" t="s">
        <v>213</v>
      </c>
      <c r="F36" t="s">
        <v>214</v>
      </c>
      <c r="G36" s="1">
        <v>28975</v>
      </c>
      <c r="H36" s="1">
        <v>41855</v>
      </c>
      <c r="I36" t="str">
        <f>"41"</f>
        <v>41</v>
      </c>
      <c r="J36" t="s">
        <v>24</v>
      </c>
      <c r="K36" t="s">
        <v>25</v>
      </c>
      <c r="L36" t="s">
        <v>26</v>
      </c>
      <c r="M36" t="s">
        <v>27</v>
      </c>
      <c r="N36" s="1">
        <v>18629</v>
      </c>
      <c r="O36">
        <v>0</v>
      </c>
      <c r="P36">
        <v>0</v>
      </c>
      <c r="Q36" t="s">
        <v>28</v>
      </c>
      <c r="R36" t="s">
        <v>29</v>
      </c>
      <c r="S36" t="s">
        <v>215</v>
      </c>
      <c r="T36" t="s">
        <v>216</v>
      </c>
    </row>
    <row r="37" spans="1:20" x14ac:dyDescent="0.25">
      <c r="A37" t="s">
        <v>217</v>
      </c>
      <c r="B37" t="str">
        <f>"9631"</f>
        <v>9631</v>
      </c>
      <c r="C37" t="str">
        <f>"295829631"</f>
        <v>295829631</v>
      </c>
      <c r="D37" t="s">
        <v>218</v>
      </c>
      <c r="E37" t="s">
        <v>179</v>
      </c>
      <c r="F37" t="s">
        <v>219</v>
      </c>
      <c r="G37" s="1">
        <v>25862</v>
      </c>
      <c r="H37" s="1">
        <v>41855</v>
      </c>
      <c r="I37" t="str">
        <f>"01"</f>
        <v>01</v>
      </c>
      <c r="J37" t="s">
        <v>116</v>
      </c>
      <c r="K37" t="s">
        <v>98</v>
      </c>
      <c r="L37" t="s">
        <v>37</v>
      </c>
      <c r="M37" t="s">
        <v>99</v>
      </c>
      <c r="N37" s="1">
        <v>41869</v>
      </c>
      <c r="O37">
        <v>14801.8</v>
      </c>
      <c r="P37">
        <v>3700.32</v>
      </c>
      <c r="Q37" t="s">
        <v>28</v>
      </c>
      <c r="R37" t="s">
        <v>51</v>
      </c>
      <c r="S37" s="2" t="s">
        <v>220</v>
      </c>
      <c r="T37" t="s">
        <v>221</v>
      </c>
    </row>
    <row r="38" spans="1:20" x14ac:dyDescent="0.25">
      <c r="A38" t="s">
        <v>222</v>
      </c>
      <c r="B38" t="str">
        <f>"9064"</f>
        <v>9064</v>
      </c>
      <c r="C38" t="str">
        <f>"269409064"</f>
        <v>269409064</v>
      </c>
      <c r="D38" t="s">
        <v>223</v>
      </c>
      <c r="E38" t="s">
        <v>224</v>
      </c>
      <c r="G38" s="1">
        <v>17215</v>
      </c>
      <c r="H38" s="1">
        <v>41855</v>
      </c>
      <c r="I38" t="str">
        <f>"41"</f>
        <v>41</v>
      </c>
      <c r="J38" t="s">
        <v>24</v>
      </c>
      <c r="K38" t="s">
        <v>25</v>
      </c>
      <c r="L38" t="s">
        <v>26</v>
      </c>
      <c r="M38" t="s">
        <v>27</v>
      </c>
      <c r="N38" s="1">
        <v>18629</v>
      </c>
      <c r="O38">
        <v>0</v>
      </c>
      <c r="P38">
        <v>0</v>
      </c>
      <c r="Q38" t="s">
        <v>28</v>
      </c>
      <c r="R38" t="s">
        <v>77</v>
      </c>
      <c r="S38" t="s">
        <v>78</v>
      </c>
      <c r="T38" t="s">
        <v>79</v>
      </c>
    </row>
    <row r="39" spans="1:20" x14ac:dyDescent="0.25">
      <c r="A39" t="s">
        <v>225</v>
      </c>
      <c r="B39" t="str">
        <f>"8128"</f>
        <v>8128</v>
      </c>
      <c r="C39" t="str">
        <f>"268908128"</f>
        <v>268908128</v>
      </c>
      <c r="D39" t="s">
        <v>226</v>
      </c>
      <c r="E39" t="s">
        <v>227</v>
      </c>
      <c r="F39" t="s">
        <v>37</v>
      </c>
      <c r="G39" s="1">
        <v>32319</v>
      </c>
      <c r="H39" s="1">
        <v>41855</v>
      </c>
      <c r="I39" t="str">
        <f>"41"</f>
        <v>41</v>
      </c>
      <c r="J39" t="s">
        <v>24</v>
      </c>
      <c r="K39" t="s">
        <v>25</v>
      </c>
      <c r="L39" t="s">
        <v>26</v>
      </c>
      <c r="M39" t="s">
        <v>27</v>
      </c>
      <c r="N39" s="1">
        <v>18629</v>
      </c>
      <c r="O39">
        <v>0</v>
      </c>
      <c r="P39">
        <v>0</v>
      </c>
      <c r="Q39" t="s">
        <v>28</v>
      </c>
      <c r="R39" t="s">
        <v>29</v>
      </c>
      <c r="S39" t="s">
        <v>215</v>
      </c>
      <c r="T39" t="s">
        <v>216</v>
      </c>
    </row>
    <row r="40" spans="1:20" x14ac:dyDescent="0.25">
      <c r="A40" t="s">
        <v>228</v>
      </c>
      <c r="B40" t="str">
        <f>"6815"</f>
        <v>6815</v>
      </c>
      <c r="C40" t="str">
        <f>"296686815"</f>
        <v>296686815</v>
      </c>
      <c r="D40" t="s">
        <v>229</v>
      </c>
      <c r="E40" t="s">
        <v>230</v>
      </c>
      <c r="F40" t="s">
        <v>231</v>
      </c>
      <c r="G40" s="1">
        <v>24153</v>
      </c>
      <c r="H40" s="1">
        <v>41855</v>
      </c>
      <c r="I40" t="str">
        <f>"15"</f>
        <v>15</v>
      </c>
      <c r="J40" t="s">
        <v>36</v>
      </c>
      <c r="K40" t="s">
        <v>175</v>
      </c>
      <c r="L40" t="s">
        <v>37</v>
      </c>
      <c r="M40" t="s">
        <v>99</v>
      </c>
      <c r="N40" s="1">
        <v>41617</v>
      </c>
      <c r="O40">
        <v>16411.72</v>
      </c>
      <c r="P40">
        <v>4102.8</v>
      </c>
      <c r="Q40" t="s">
        <v>37</v>
      </c>
      <c r="R40" t="s">
        <v>110</v>
      </c>
      <c r="S40" t="s">
        <v>118</v>
      </c>
      <c r="T40" t="s">
        <v>119</v>
      </c>
    </row>
    <row r="41" spans="1:20" x14ac:dyDescent="0.25">
      <c r="A41" t="s">
        <v>232</v>
      </c>
      <c r="B41" t="str">
        <f>"2299"</f>
        <v>2299</v>
      </c>
      <c r="C41" t="str">
        <f>"261852299"</f>
        <v>261852299</v>
      </c>
      <c r="D41" t="s">
        <v>233</v>
      </c>
      <c r="E41" t="s">
        <v>194</v>
      </c>
      <c r="F41" t="s">
        <v>69</v>
      </c>
      <c r="G41" s="1">
        <v>24000</v>
      </c>
      <c r="H41" s="1">
        <v>41855</v>
      </c>
      <c r="I41" t="str">
        <f>"01"</f>
        <v>01</v>
      </c>
      <c r="J41" t="s">
        <v>116</v>
      </c>
      <c r="K41" t="s">
        <v>98</v>
      </c>
      <c r="L41" t="s">
        <v>37</v>
      </c>
      <c r="M41" t="s">
        <v>117</v>
      </c>
      <c r="N41" s="1">
        <v>41617</v>
      </c>
      <c r="O41">
        <v>4951.96</v>
      </c>
      <c r="P41">
        <v>1237.8599999999999</v>
      </c>
      <c r="Q41" t="s">
        <v>37</v>
      </c>
      <c r="R41" t="s">
        <v>29</v>
      </c>
      <c r="S41" t="s">
        <v>234</v>
      </c>
      <c r="T41" t="s">
        <v>235</v>
      </c>
    </row>
    <row r="42" spans="1:20" x14ac:dyDescent="0.25">
      <c r="A42" t="s">
        <v>236</v>
      </c>
      <c r="B42" t="str">
        <f>"5620"</f>
        <v>5620</v>
      </c>
      <c r="C42" t="str">
        <f>"269905620"</f>
        <v>269905620</v>
      </c>
      <c r="D42" t="s">
        <v>237</v>
      </c>
      <c r="E42" t="s">
        <v>238</v>
      </c>
      <c r="F42" t="s">
        <v>239</v>
      </c>
      <c r="G42" s="1">
        <v>32397</v>
      </c>
      <c r="H42" s="1">
        <v>41855</v>
      </c>
      <c r="I42" t="str">
        <f>"30"</f>
        <v>30</v>
      </c>
      <c r="J42" t="s">
        <v>50</v>
      </c>
      <c r="K42" t="s">
        <v>25</v>
      </c>
      <c r="L42" t="s">
        <v>26</v>
      </c>
      <c r="M42" t="s">
        <v>27</v>
      </c>
      <c r="N42" s="1">
        <v>18629</v>
      </c>
      <c r="O42">
        <v>0</v>
      </c>
      <c r="P42">
        <v>0</v>
      </c>
      <c r="Q42" t="s">
        <v>28</v>
      </c>
      <c r="R42" t="s">
        <v>29</v>
      </c>
      <c r="S42" t="s">
        <v>240</v>
      </c>
      <c r="T42" t="s">
        <v>241</v>
      </c>
    </row>
    <row r="43" spans="1:20" x14ac:dyDescent="0.25">
      <c r="A43" t="s">
        <v>242</v>
      </c>
      <c r="B43" t="str">
        <f>"4819"</f>
        <v>4819</v>
      </c>
      <c r="C43" t="str">
        <f>"285724819"</f>
        <v>285724819</v>
      </c>
      <c r="D43" t="s">
        <v>243</v>
      </c>
      <c r="E43" t="s">
        <v>244</v>
      </c>
      <c r="F43" t="s">
        <v>174</v>
      </c>
      <c r="G43" s="1">
        <v>22472</v>
      </c>
      <c r="H43" s="1">
        <v>41855</v>
      </c>
      <c r="I43" t="str">
        <f>"12"</f>
        <v>12</v>
      </c>
      <c r="J43" t="s">
        <v>245</v>
      </c>
      <c r="L43" t="s">
        <v>37</v>
      </c>
      <c r="M43" t="s">
        <v>143</v>
      </c>
      <c r="N43" s="1">
        <v>41869</v>
      </c>
      <c r="O43">
        <v>185.9</v>
      </c>
      <c r="P43">
        <v>-185.9</v>
      </c>
      <c r="Q43" t="s">
        <v>37</v>
      </c>
      <c r="R43" t="s">
        <v>100</v>
      </c>
      <c r="S43" t="s">
        <v>246</v>
      </c>
      <c r="T43" t="s">
        <v>247</v>
      </c>
    </row>
    <row r="44" spans="1:20" x14ac:dyDescent="0.25">
      <c r="A44" t="s">
        <v>248</v>
      </c>
      <c r="B44" t="str">
        <f>"3305"</f>
        <v>3305</v>
      </c>
      <c r="C44" t="str">
        <f>"289783305"</f>
        <v>289783305</v>
      </c>
      <c r="D44" t="s">
        <v>249</v>
      </c>
      <c r="E44" t="s">
        <v>250</v>
      </c>
      <c r="F44" t="s">
        <v>28</v>
      </c>
      <c r="G44" s="1">
        <v>30048</v>
      </c>
      <c r="H44" s="1">
        <v>41855</v>
      </c>
      <c r="I44" t="str">
        <f>"41"</f>
        <v>41</v>
      </c>
      <c r="J44" t="s">
        <v>24</v>
      </c>
      <c r="K44" t="s">
        <v>25</v>
      </c>
      <c r="L44" t="s">
        <v>26</v>
      </c>
      <c r="M44" t="s">
        <v>27</v>
      </c>
      <c r="N44" s="1">
        <v>18629</v>
      </c>
      <c r="O44">
        <v>0</v>
      </c>
      <c r="P44">
        <v>0</v>
      </c>
      <c r="Q44" t="s">
        <v>37</v>
      </c>
      <c r="R44" t="s">
        <v>29</v>
      </c>
      <c r="S44" t="s">
        <v>251</v>
      </c>
      <c r="T44" t="s">
        <v>252</v>
      </c>
    </row>
    <row r="45" spans="1:20" x14ac:dyDescent="0.25">
      <c r="A45" t="s">
        <v>253</v>
      </c>
      <c r="B45" t="str">
        <f>"8065"</f>
        <v>8065</v>
      </c>
      <c r="C45" t="str">
        <f>"298528065"</f>
        <v>298528065</v>
      </c>
      <c r="D45" t="s">
        <v>254</v>
      </c>
      <c r="E45" t="s">
        <v>255</v>
      </c>
      <c r="F45" t="s">
        <v>256</v>
      </c>
      <c r="G45" s="1">
        <v>23340</v>
      </c>
      <c r="H45" s="1">
        <v>41855</v>
      </c>
      <c r="I45" t="str">
        <f>"05"</f>
        <v>05</v>
      </c>
      <c r="J45" t="s">
        <v>58</v>
      </c>
      <c r="K45" t="s">
        <v>98</v>
      </c>
      <c r="L45" t="s">
        <v>37</v>
      </c>
      <c r="M45" t="s">
        <v>257</v>
      </c>
      <c r="N45" s="1">
        <v>41617</v>
      </c>
      <c r="O45">
        <v>10753.08</v>
      </c>
      <c r="P45">
        <v>2688.4</v>
      </c>
      <c r="Q45" t="s">
        <v>37</v>
      </c>
      <c r="R45" t="s">
        <v>258</v>
      </c>
      <c r="S45" t="s">
        <v>259</v>
      </c>
      <c r="T45" t="s">
        <v>260</v>
      </c>
    </row>
    <row r="46" spans="1:20" x14ac:dyDescent="0.25">
      <c r="A46" t="s">
        <v>261</v>
      </c>
      <c r="B46" t="str">
        <f>"6235"</f>
        <v>6235</v>
      </c>
      <c r="C46" t="str">
        <f>"272586235"</f>
        <v>272586235</v>
      </c>
      <c r="D46" t="s">
        <v>262</v>
      </c>
      <c r="E46" t="s">
        <v>263</v>
      </c>
      <c r="F46" t="s">
        <v>264</v>
      </c>
      <c r="G46" s="1">
        <v>22989</v>
      </c>
      <c r="H46" s="1">
        <v>41855</v>
      </c>
      <c r="I46" t="str">
        <f>"08"</f>
        <v>08</v>
      </c>
      <c r="J46" t="s">
        <v>265</v>
      </c>
      <c r="K46" t="s">
        <v>98</v>
      </c>
      <c r="L46" t="s">
        <v>37</v>
      </c>
      <c r="M46" t="s">
        <v>99</v>
      </c>
      <c r="N46" s="1">
        <v>41617</v>
      </c>
      <c r="O46">
        <v>14801.8</v>
      </c>
      <c r="P46">
        <v>3700.32</v>
      </c>
      <c r="Q46" t="s">
        <v>28</v>
      </c>
      <c r="R46" t="s">
        <v>29</v>
      </c>
      <c r="S46" t="s">
        <v>266</v>
      </c>
      <c r="T46" t="s">
        <v>267</v>
      </c>
    </row>
    <row r="47" spans="1:20" x14ac:dyDescent="0.25">
      <c r="A47" t="s">
        <v>268</v>
      </c>
      <c r="B47" t="str">
        <f>"2009"</f>
        <v>2009</v>
      </c>
      <c r="C47" t="str">
        <f>"300802009"</f>
        <v>300802009</v>
      </c>
      <c r="D47" t="s">
        <v>269</v>
      </c>
      <c r="E47" t="s">
        <v>270</v>
      </c>
      <c r="F47" t="s">
        <v>264</v>
      </c>
      <c r="G47" s="1">
        <v>26916</v>
      </c>
      <c r="H47" s="1">
        <v>41855</v>
      </c>
      <c r="I47" t="str">
        <f>"12"</f>
        <v>12</v>
      </c>
      <c r="J47" t="s">
        <v>245</v>
      </c>
      <c r="K47" t="s">
        <v>98</v>
      </c>
      <c r="L47" t="s">
        <v>37</v>
      </c>
      <c r="M47" t="s">
        <v>117</v>
      </c>
      <c r="N47" s="1">
        <v>41617</v>
      </c>
      <c r="O47">
        <v>4951.96</v>
      </c>
      <c r="P47">
        <v>1237.8599999999999</v>
      </c>
      <c r="Q47" t="s">
        <v>37</v>
      </c>
      <c r="R47" t="s">
        <v>71</v>
      </c>
      <c r="S47" t="s">
        <v>271</v>
      </c>
      <c r="T47" t="s">
        <v>272</v>
      </c>
    </row>
    <row r="48" spans="1:20" x14ac:dyDescent="0.25">
      <c r="A48" t="s">
        <v>273</v>
      </c>
      <c r="B48" t="str">
        <f>"5748"</f>
        <v>5748</v>
      </c>
      <c r="C48" t="str">
        <f>"291565748"</f>
        <v>291565748</v>
      </c>
      <c r="D48" t="s">
        <v>274</v>
      </c>
      <c r="E48" t="s">
        <v>275</v>
      </c>
      <c r="F48" t="s">
        <v>276</v>
      </c>
      <c r="G48" s="1">
        <v>22994</v>
      </c>
      <c r="H48" s="1">
        <v>41855</v>
      </c>
      <c r="I48" t="str">
        <f>"30"</f>
        <v>30</v>
      </c>
      <c r="J48" t="s">
        <v>50</v>
      </c>
      <c r="K48" t="s">
        <v>25</v>
      </c>
      <c r="L48" t="s">
        <v>26</v>
      </c>
      <c r="M48" t="s">
        <v>27</v>
      </c>
      <c r="N48" s="1">
        <v>18629</v>
      </c>
      <c r="O48">
        <v>0</v>
      </c>
      <c r="P48">
        <v>0</v>
      </c>
      <c r="Q48" t="s">
        <v>37</v>
      </c>
      <c r="R48" t="s">
        <v>71</v>
      </c>
      <c r="S48" t="s">
        <v>277</v>
      </c>
      <c r="T48" t="s">
        <v>278</v>
      </c>
    </row>
    <row r="49" spans="1:20" x14ac:dyDescent="0.25">
      <c r="A49" t="s">
        <v>279</v>
      </c>
      <c r="B49" t="str">
        <f>"1864"</f>
        <v>1864</v>
      </c>
      <c r="C49" t="str">
        <f>"276921864"</f>
        <v>276921864</v>
      </c>
      <c r="D49" t="s">
        <v>280</v>
      </c>
      <c r="E49" t="s">
        <v>281</v>
      </c>
      <c r="F49" t="s">
        <v>282</v>
      </c>
      <c r="G49" s="1">
        <v>30378</v>
      </c>
      <c r="H49" s="1">
        <v>41855</v>
      </c>
      <c r="I49" t="str">
        <f>"15"</f>
        <v>15</v>
      </c>
      <c r="J49" t="s">
        <v>36</v>
      </c>
      <c r="K49" t="s">
        <v>25</v>
      </c>
      <c r="L49" t="s">
        <v>37</v>
      </c>
      <c r="M49" t="s">
        <v>27</v>
      </c>
      <c r="N49" s="1">
        <v>18629</v>
      </c>
      <c r="O49">
        <v>0</v>
      </c>
      <c r="P49">
        <v>0</v>
      </c>
      <c r="Q49" t="s">
        <v>28</v>
      </c>
      <c r="R49" t="s">
        <v>29</v>
      </c>
      <c r="S49" t="s">
        <v>283</v>
      </c>
      <c r="T49" t="s">
        <v>284</v>
      </c>
    </row>
    <row r="50" spans="1:20" x14ac:dyDescent="0.25">
      <c r="A50" t="s">
        <v>285</v>
      </c>
      <c r="B50" t="str">
        <f>"4066"</f>
        <v>4066</v>
      </c>
      <c r="C50" t="str">
        <f>"301864066"</f>
        <v>301864066</v>
      </c>
      <c r="D50" t="s">
        <v>286</v>
      </c>
      <c r="E50" t="s">
        <v>173</v>
      </c>
      <c r="F50" t="s">
        <v>28</v>
      </c>
      <c r="G50" s="1">
        <v>29754</v>
      </c>
      <c r="H50" s="1">
        <v>41855</v>
      </c>
      <c r="I50" t="str">
        <f>"50"</f>
        <v>50</v>
      </c>
      <c r="J50" t="s">
        <v>208</v>
      </c>
      <c r="K50" t="s">
        <v>25</v>
      </c>
      <c r="L50" t="s">
        <v>26</v>
      </c>
      <c r="M50" t="s">
        <v>27</v>
      </c>
      <c r="N50" s="1">
        <v>18629</v>
      </c>
      <c r="O50">
        <v>0</v>
      </c>
      <c r="P50">
        <v>0</v>
      </c>
      <c r="Q50" t="s">
        <v>37</v>
      </c>
      <c r="R50" t="s">
        <v>71</v>
      </c>
      <c r="S50" t="s">
        <v>209</v>
      </c>
      <c r="T50" t="s">
        <v>210</v>
      </c>
    </row>
    <row r="51" spans="1:20" x14ac:dyDescent="0.25">
      <c r="A51" t="s">
        <v>287</v>
      </c>
      <c r="B51" t="str">
        <f>"1603"</f>
        <v>1603</v>
      </c>
      <c r="C51" t="str">
        <f>"282941603"</f>
        <v>282941603</v>
      </c>
      <c r="D51" t="s">
        <v>288</v>
      </c>
      <c r="E51" t="s">
        <v>289</v>
      </c>
      <c r="F51" t="s">
        <v>165</v>
      </c>
      <c r="G51" s="1">
        <v>32702</v>
      </c>
      <c r="H51" s="1">
        <v>41855</v>
      </c>
      <c r="I51" t="str">
        <f>"41"</f>
        <v>41</v>
      </c>
      <c r="J51" t="s">
        <v>24</v>
      </c>
      <c r="K51" t="s">
        <v>25</v>
      </c>
      <c r="L51" t="s">
        <v>26</v>
      </c>
      <c r="M51" t="s">
        <v>27</v>
      </c>
      <c r="N51" s="1">
        <v>18629</v>
      </c>
      <c r="O51">
        <v>0</v>
      </c>
      <c r="P51">
        <v>0</v>
      </c>
      <c r="Q51" t="s">
        <v>37</v>
      </c>
      <c r="R51" t="s">
        <v>29</v>
      </c>
      <c r="S51" t="s">
        <v>290</v>
      </c>
      <c r="T51" t="s">
        <v>291</v>
      </c>
    </row>
    <row r="52" spans="1:20" x14ac:dyDescent="0.25">
      <c r="A52" t="s">
        <v>292</v>
      </c>
      <c r="B52" t="str">
        <f>"7389"</f>
        <v>7389</v>
      </c>
      <c r="C52" t="str">
        <f>"269027389"</f>
        <v>269027389</v>
      </c>
      <c r="D52" t="s">
        <v>293</v>
      </c>
      <c r="E52" t="s">
        <v>294</v>
      </c>
      <c r="F52" t="s">
        <v>239</v>
      </c>
      <c r="G52" s="1">
        <v>21855</v>
      </c>
      <c r="H52" s="1">
        <v>41855</v>
      </c>
      <c r="I52" t="str">
        <f>"41"</f>
        <v>41</v>
      </c>
      <c r="J52" t="s">
        <v>24</v>
      </c>
      <c r="K52" t="s">
        <v>25</v>
      </c>
      <c r="L52" t="s">
        <v>26</v>
      </c>
      <c r="M52" t="s">
        <v>27</v>
      </c>
      <c r="N52" s="1">
        <v>18629</v>
      </c>
      <c r="O52">
        <v>0</v>
      </c>
      <c r="P52">
        <v>0</v>
      </c>
      <c r="Q52" t="s">
        <v>37</v>
      </c>
      <c r="R52" t="s">
        <v>29</v>
      </c>
      <c r="S52" t="s">
        <v>215</v>
      </c>
      <c r="T52" t="s">
        <v>216</v>
      </c>
    </row>
    <row r="53" spans="1:20" x14ac:dyDescent="0.25">
      <c r="A53" t="s">
        <v>295</v>
      </c>
      <c r="B53" t="str">
        <f>"4641"</f>
        <v>4641</v>
      </c>
      <c r="C53" t="str">
        <f>"285644641"</f>
        <v>285644641</v>
      </c>
      <c r="D53" t="s">
        <v>296</v>
      </c>
      <c r="E53" t="s">
        <v>35</v>
      </c>
      <c r="F53" t="s">
        <v>97</v>
      </c>
      <c r="G53" s="1">
        <v>26108</v>
      </c>
      <c r="H53" s="1">
        <v>41855</v>
      </c>
      <c r="I53" t="str">
        <f>"08"</f>
        <v>08</v>
      </c>
      <c r="J53" t="s">
        <v>265</v>
      </c>
      <c r="K53" t="s">
        <v>98</v>
      </c>
      <c r="L53" t="s">
        <v>37</v>
      </c>
      <c r="M53" t="s">
        <v>257</v>
      </c>
      <c r="N53" s="1">
        <v>41617</v>
      </c>
      <c r="O53">
        <v>10753.08</v>
      </c>
      <c r="P53">
        <v>2688.4</v>
      </c>
      <c r="Q53" t="s">
        <v>28</v>
      </c>
      <c r="R53" t="s">
        <v>29</v>
      </c>
      <c r="S53" t="s">
        <v>266</v>
      </c>
      <c r="T53" t="s">
        <v>267</v>
      </c>
    </row>
    <row r="54" spans="1:20" x14ac:dyDescent="0.25">
      <c r="A54" t="s">
        <v>297</v>
      </c>
      <c r="B54" t="str">
        <f>"6596"</f>
        <v>6596</v>
      </c>
      <c r="C54" t="str">
        <f>"271726596"</f>
        <v>271726596</v>
      </c>
      <c r="D54" t="s">
        <v>298</v>
      </c>
      <c r="E54" t="s">
        <v>299</v>
      </c>
      <c r="G54" s="1">
        <v>24115</v>
      </c>
      <c r="H54" s="1">
        <v>41855</v>
      </c>
      <c r="I54" t="str">
        <f>"12"</f>
        <v>12</v>
      </c>
      <c r="J54" t="s">
        <v>245</v>
      </c>
      <c r="K54" t="s">
        <v>98</v>
      </c>
      <c r="L54" t="s">
        <v>37</v>
      </c>
      <c r="M54" t="s">
        <v>99</v>
      </c>
      <c r="N54" s="1">
        <v>41869</v>
      </c>
      <c r="O54">
        <v>14801.8</v>
      </c>
      <c r="P54">
        <v>3700.32</v>
      </c>
      <c r="Q54" t="s">
        <v>37</v>
      </c>
      <c r="R54" t="s">
        <v>29</v>
      </c>
      <c r="S54" t="s">
        <v>300</v>
      </c>
      <c r="T54" t="s">
        <v>301</v>
      </c>
    </row>
    <row r="55" spans="1:20" x14ac:dyDescent="0.25">
      <c r="A55" t="s">
        <v>302</v>
      </c>
      <c r="B55" t="str">
        <f>"2243"</f>
        <v>2243</v>
      </c>
      <c r="C55" t="str">
        <f>"281622243"</f>
        <v>281622243</v>
      </c>
      <c r="D55" t="s">
        <v>303</v>
      </c>
      <c r="E55" t="s">
        <v>304</v>
      </c>
      <c r="F55" t="s">
        <v>97</v>
      </c>
      <c r="G55" s="1">
        <v>25077</v>
      </c>
      <c r="H55" s="1">
        <v>41855</v>
      </c>
      <c r="I55" t="str">
        <f>"03"</f>
        <v>03</v>
      </c>
      <c r="J55" t="s">
        <v>70</v>
      </c>
      <c r="K55" t="s">
        <v>98</v>
      </c>
      <c r="L55" t="s">
        <v>37</v>
      </c>
      <c r="M55" t="s">
        <v>117</v>
      </c>
      <c r="N55" s="1">
        <v>41617</v>
      </c>
      <c r="O55">
        <v>4951.96</v>
      </c>
      <c r="P55">
        <v>1237.8599999999999</v>
      </c>
      <c r="Q55" t="s">
        <v>28</v>
      </c>
      <c r="R55" t="s">
        <v>71</v>
      </c>
      <c r="S55" t="s">
        <v>305</v>
      </c>
      <c r="T55" t="s">
        <v>306</v>
      </c>
    </row>
    <row r="56" spans="1:20" x14ac:dyDescent="0.25">
      <c r="A56" t="s">
        <v>307</v>
      </c>
      <c r="B56" t="str">
        <f>"7644"</f>
        <v>7644</v>
      </c>
      <c r="C56" t="str">
        <f>"295887644"</f>
        <v>295887644</v>
      </c>
      <c r="D56" t="s">
        <v>42</v>
      </c>
      <c r="E56" t="s">
        <v>308</v>
      </c>
      <c r="F56" t="s">
        <v>28</v>
      </c>
      <c r="G56" s="1">
        <v>32275</v>
      </c>
      <c r="H56" s="1">
        <v>41855</v>
      </c>
      <c r="I56" t="str">
        <f>"15"</f>
        <v>15</v>
      </c>
      <c r="J56" t="s">
        <v>36</v>
      </c>
      <c r="K56" t="s">
        <v>25</v>
      </c>
      <c r="L56" t="s">
        <v>37</v>
      </c>
      <c r="M56" t="s">
        <v>27</v>
      </c>
      <c r="N56" s="1">
        <v>18629</v>
      </c>
      <c r="O56">
        <v>0</v>
      </c>
      <c r="P56">
        <v>0</v>
      </c>
      <c r="Q56" t="s">
        <v>37</v>
      </c>
      <c r="R56" t="s">
        <v>29</v>
      </c>
      <c r="S56" t="s">
        <v>283</v>
      </c>
      <c r="T56" t="s">
        <v>284</v>
      </c>
    </row>
    <row r="57" spans="1:20" x14ac:dyDescent="0.25">
      <c r="A57" t="s">
        <v>309</v>
      </c>
      <c r="B57" t="str">
        <f>"2754"</f>
        <v>2754</v>
      </c>
      <c r="C57" t="str">
        <f>"415232754"</f>
        <v>415232754</v>
      </c>
      <c r="D57" t="s">
        <v>310</v>
      </c>
      <c r="E57" t="s">
        <v>311</v>
      </c>
      <c r="F57" t="s">
        <v>93</v>
      </c>
      <c r="G57" s="1">
        <v>25672</v>
      </c>
      <c r="H57" s="1">
        <v>41852</v>
      </c>
      <c r="I57" t="str">
        <f>"01"</f>
        <v>01</v>
      </c>
      <c r="J57" t="s">
        <v>116</v>
      </c>
      <c r="K57" t="s">
        <v>25</v>
      </c>
      <c r="L57" t="s">
        <v>37</v>
      </c>
      <c r="M57" t="s">
        <v>27</v>
      </c>
      <c r="N57" s="1">
        <v>18629</v>
      </c>
      <c r="O57">
        <v>0</v>
      </c>
      <c r="P57">
        <v>0</v>
      </c>
      <c r="Q57" t="s">
        <v>37</v>
      </c>
      <c r="R57" t="s">
        <v>312</v>
      </c>
      <c r="S57" t="s">
        <v>313</v>
      </c>
      <c r="T57" t="s">
        <v>314</v>
      </c>
    </row>
    <row r="58" spans="1:20" x14ac:dyDescent="0.25">
      <c r="A58" t="s">
        <v>315</v>
      </c>
      <c r="B58" t="str">
        <f>"9705"</f>
        <v>9705</v>
      </c>
      <c r="C58" t="str">
        <f>"059909705"</f>
        <v>059909705</v>
      </c>
      <c r="D58" t="s">
        <v>316</v>
      </c>
      <c r="E58" t="s">
        <v>109</v>
      </c>
      <c r="F58" t="s">
        <v>317</v>
      </c>
      <c r="G58" s="1">
        <v>29049</v>
      </c>
      <c r="H58" s="1">
        <v>41848</v>
      </c>
      <c r="I58" t="str">
        <f>"01"</f>
        <v>01</v>
      </c>
      <c r="J58" t="s">
        <v>116</v>
      </c>
      <c r="L58" t="s">
        <v>37</v>
      </c>
      <c r="M58" t="s">
        <v>143</v>
      </c>
      <c r="N58" s="1">
        <v>41855</v>
      </c>
      <c r="O58">
        <v>185.9</v>
      </c>
      <c r="P58">
        <v>-185.9</v>
      </c>
      <c r="Q58" t="s">
        <v>37</v>
      </c>
      <c r="R58" t="s">
        <v>51</v>
      </c>
      <c r="S58" s="2" t="s">
        <v>318</v>
      </c>
      <c r="T58" t="s">
        <v>319</v>
      </c>
    </row>
    <row r="59" spans="1:20" x14ac:dyDescent="0.25">
      <c r="A59" t="s">
        <v>320</v>
      </c>
      <c r="B59" t="str">
        <f>"9285"</f>
        <v>9285</v>
      </c>
      <c r="C59" t="str">
        <f>"294789285"</f>
        <v>294789285</v>
      </c>
      <c r="D59" t="s">
        <v>321</v>
      </c>
      <c r="E59" t="s">
        <v>322</v>
      </c>
      <c r="F59" t="s">
        <v>323</v>
      </c>
      <c r="G59" s="1">
        <v>27159</v>
      </c>
      <c r="H59" s="1">
        <v>41848</v>
      </c>
      <c r="I59" t="str">
        <f>"05"</f>
        <v>05</v>
      </c>
      <c r="J59" t="s">
        <v>58</v>
      </c>
      <c r="K59" t="s">
        <v>98</v>
      </c>
      <c r="L59" t="s">
        <v>37</v>
      </c>
      <c r="M59" t="s">
        <v>117</v>
      </c>
      <c r="N59" s="1">
        <v>41855</v>
      </c>
      <c r="O59">
        <v>4951.96</v>
      </c>
      <c r="P59">
        <v>1237.8599999999999</v>
      </c>
      <c r="Q59" t="s">
        <v>37</v>
      </c>
      <c r="R59" t="s">
        <v>51</v>
      </c>
      <c r="S59" s="2" t="s">
        <v>324</v>
      </c>
      <c r="T59" t="s">
        <v>325</v>
      </c>
    </row>
    <row r="60" spans="1:20" x14ac:dyDescent="0.25">
      <c r="A60" t="s">
        <v>326</v>
      </c>
      <c r="B60" t="str">
        <f>"3070"</f>
        <v>3070</v>
      </c>
      <c r="C60" t="str">
        <f>"291723070"</f>
        <v>291723070</v>
      </c>
      <c r="D60" t="s">
        <v>327</v>
      </c>
      <c r="E60" t="s">
        <v>328</v>
      </c>
      <c r="F60" t="s">
        <v>329</v>
      </c>
      <c r="G60" s="1">
        <v>25251</v>
      </c>
      <c r="H60" s="1">
        <v>41846</v>
      </c>
      <c r="I60" t="str">
        <f>"52"</f>
        <v>52</v>
      </c>
      <c r="J60" t="s">
        <v>330</v>
      </c>
      <c r="K60" t="s">
        <v>25</v>
      </c>
      <c r="L60" t="s">
        <v>26</v>
      </c>
      <c r="M60" t="s">
        <v>27</v>
      </c>
      <c r="N60" s="1">
        <v>18629</v>
      </c>
      <c r="O60">
        <v>0</v>
      </c>
      <c r="P60">
        <v>0</v>
      </c>
      <c r="Q60" t="s">
        <v>28</v>
      </c>
      <c r="R60" t="s">
        <v>29</v>
      </c>
      <c r="S60" t="s">
        <v>331</v>
      </c>
      <c r="T60" t="s">
        <v>332</v>
      </c>
    </row>
    <row r="61" spans="1:20" x14ac:dyDescent="0.25">
      <c r="A61" t="s">
        <v>333</v>
      </c>
      <c r="B61" t="str">
        <f>"5739"</f>
        <v>5739</v>
      </c>
      <c r="C61" t="str">
        <f>"271465739"</f>
        <v>271465739</v>
      </c>
      <c r="D61" t="s">
        <v>334</v>
      </c>
      <c r="E61" t="s">
        <v>335</v>
      </c>
      <c r="F61" t="s">
        <v>93</v>
      </c>
      <c r="G61" s="1">
        <v>19319</v>
      </c>
      <c r="H61" s="1">
        <v>41846</v>
      </c>
      <c r="I61" t="str">
        <f>"52"</f>
        <v>52</v>
      </c>
      <c r="J61" t="s">
        <v>330</v>
      </c>
      <c r="K61" t="s">
        <v>25</v>
      </c>
      <c r="L61" t="s">
        <v>26</v>
      </c>
      <c r="M61" t="s">
        <v>27</v>
      </c>
      <c r="N61" s="1">
        <v>18629</v>
      </c>
      <c r="O61">
        <v>0</v>
      </c>
      <c r="P61">
        <v>0</v>
      </c>
      <c r="Q61" t="s">
        <v>28</v>
      </c>
      <c r="R61" t="s">
        <v>71</v>
      </c>
      <c r="S61" t="s">
        <v>336</v>
      </c>
      <c r="T61" t="s">
        <v>337</v>
      </c>
    </row>
    <row r="62" spans="1:20" x14ac:dyDescent="0.25">
      <c r="A62" t="s">
        <v>338</v>
      </c>
      <c r="B62" t="str">
        <f>"4050"</f>
        <v>4050</v>
      </c>
      <c r="C62" t="str">
        <f>"278864050"</f>
        <v>278864050</v>
      </c>
      <c r="D62" t="s">
        <v>339</v>
      </c>
      <c r="E62" t="s">
        <v>34</v>
      </c>
      <c r="F62" t="s">
        <v>28</v>
      </c>
      <c r="G62" s="1">
        <v>29916</v>
      </c>
      <c r="H62" s="1">
        <v>41841</v>
      </c>
      <c r="I62" t="str">
        <f>"41"</f>
        <v>41</v>
      </c>
      <c r="J62" t="s">
        <v>24</v>
      </c>
      <c r="K62" t="s">
        <v>25</v>
      </c>
      <c r="L62" t="s">
        <v>26</v>
      </c>
      <c r="M62" t="s">
        <v>27</v>
      </c>
      <c r="N62" s="1">
        <v>18629</v>
      </c>
      <c r="O62">
        <v>0</v>
      </c>
      <c r="P62">
        <v>0</v>
      </c>
      <c r="Q62" t="s">
        <v>28</v>
      </c>
      <c r="R62" t="s">
        <v>71</v>
      </c>
      <c r="S62" t="s">
        <v>340</v>
      </c>
      <c r="T62" t="s">
        <v>341</v>
      </c>
    </row>
    <row r="63" spans="1:20" x14ac:dyDescent="0.25">
      <c r="A63" t="s">
        <v>342</v>
      </c>
      <c r="B63" t="str">
        <f>"6879"</f>
        <v>6879</v>
      </c>
      <c r="C63" t="str">
        <f>"299806879"</f>
        <v>299806879</v>
      </c>
      <c r="D63" t="s">
        <v>343</v>
      </c>
      <c r="E63" t="s">
        <v>344</v>
      </c>
      <c r="F63" t="s">
        <v>345</v>
      </c>
      <c r="G63" s="1">
        <v>30263</v>
      </c>
      <c r="H63" s="1">
        <v>41841</v>
      </c>
      <c r="I63" t="str">
        <f>"01"</f>
        <v>01</v>
      </c>
      <c r="J63" t="s">
        <v>116</v>
      </c>
      <c r="K63" t="s">
        <v>98</v>
      </c>
      <c r="L63" t="s">
        <v>37</v>
      </c>
      <c r="M63" t="s">
        <v>257</v>
      </c>
      <c r="N63" s="1">
        <v>41617</v>
      </c>
      <c r="O63">
        <v>10753.08</v>
      </c>
      <c r="P63">
        <v>2688.4</v>
      </c>
      <c r="Q63" t="s">
        <v>37</v>
      </c>
      <c r="R63" t="s">
        <v>346</v>
      </c>
      <c r="S63" t="s">
        <v>347</v>
      </c>
      <c r="T63" t="s">
        <v>348</v>
      </c>
    </row>
    <row r="64" spans="1:20" x14ac:dyDescent="0.25">
      <c r="A64" t="s">
        <v>349</v>
      </c>
      <c r="B64" t="str">
        <f>"9201"</f>
        <v>9201</v>
      </c>
      <c r="C64" t="str">
        <f>"407259201"</f>
        <v>407259201</v>
      </c>
      <c r="D64" t="s">
        <v>350</v>
      </c>
      <c r="E64" t="s">
        <v>351</v>
      </c>
      <c r="F64" t="s">
        <v>352</v>
      </c>
      <c r="G64" s="1">
        <v>30917</v>
      </c>
      <c r="H64" s="1">
        <v>41841</v>
      </c>
      <c r="I64" t="str">
        <f>"03"</f>
        <v>03</v>
      </c>
      <c r="J64" t="s">
        <v>70</v>
      </c>
      <c r="K64" t="s">
        <v>98</v>
      </c>
      <c r="L64" t="s">
        <v>37</v>
      </c>
      <c r="M64" t="s">
        <v>117</v>
      </c>
      <c r="N64" s="1">
        <v>41841</v>
      </c>
      <c r="O64">
        <v>4951.96</v>
      </c>
      <c r="P64">
        <v>1237.8599999999999</v>
      </c>
      <c r="Q64" t="s">
        <v>28</v>
      </c>
      <c r="R64" t="s">
        <v>38</v>
      </c>
      <c r="S64" t="s">
        <v>353</v>
      </c>
      <c r="T64" t="s">
        <v>354</v>
      </c>
    </row>
    <row r="65" spans="1:20" x14ac:dyDescent="0.25">
      <c r="A65" t="s">
        <v>355</v>
      </c>
      <c r="B65" t="str">
        <f>"0229"</f>
        <v>0229</v>
      </c>
      <c r="C65" t="str">
        <f>"285780229"</f>
        <v>285780229</v>
      </c>
      <c r="D65" t="s">
        <v>356</v>
      </c>
      <c r="E65" t="s">
        <v>357</v>
      </c>
      <c r="F65" t="s">
        <v>358</v>
      </c>
      <c r="G65" s="1">
        <v>29996</v>
      </c>
      <c r="H65" s="1">
        <v>41841</v>
      </c>
      <c r="I65" t="str">
        <f>"30"</f>
        <v>30</v>
      </c>
      <c r="J65" t="s">
        <v>50</v>
      </c>
      <c r="K65" t="s">
        <v>25</v>
      </c>
      <c r="L65" t="s">
        <v>26</v>
      </c>
      <c r="M65" t="s">
        <v>27</v>
      </c>
      <c r="N65" s="1">
        <v>18629</v>
      </c>
      <c r="O65">
        <v>0</v>
      </c>
      <c r="P65">
        <v>0</v>
      </c>
      <c r="Q65" t="s">
        <v>37</v>
      </c>
      <c r="R65" t="s">
        <v>51</v>
      </c>
      <c r="S65" s="2" t="s">
        <v>318</v>
      </c>
      <c r="T65" t="s">
        <v>319</v>
      </c>
    </row>
    <row r="66" spans="1:20" x14ac:dyDescent="0.25">
      <c r="A66" t="s">
        <v>359</v>
      </c>
      <c r="B66" t="str">
        <f>"8073"</f>
        <v>8073</v>
      </c>
      <c r="C66" t="str">
        <f>"206588073"</f>
        <v>206588073</v>
      </c>
      <c r="D66" t="s">
        <v>360</v>
      </c>
      <c r="E66" t="s">
        <v>250</v>
      </c>
      <c r="F66" t="s">
        <v>361</v>
      </c>
      <c r="G66" s="1">
        <v>28325</v>
      </c>
      <c r="H66" s="1">
        <v>41841</v>
      </c>
      <c r="I66" t="str">
        <f>"15"</f>
        <v>15</v>
      </c>
      <c r="J66" t="s">
        <v>36</v>
      </c>
      <c r="K66" t="s">
        <v>98</v>
      </c>
      <c r="L66" t="s">
        <v>37</v>
      </c>
      <c r="M66" t="s">
        <v>117</v>
      </c>
      <c r="N66" s="1">
        <v>41841</v>
      </c>
      <c r="O66">
        <v>4951.96</v>
      </c>
      <c r="P66">
        <v>1237.8599999999999</v>
      </c>
      <c r="Q66" t="s">
        <v>37</v>
      </c>
      <c r="R66" t="s">
        <v>51</v>
      </c>
      <c r="S66" s="2" t="s">
        <v>362</v>
      </c>
      <c r="T66" t="s">
        <v>363</v>
      </c>
    </row>
    <row r="67" spans="1:20" x14ac:dyDescent="0.25">
      <c r="A67" t="s">
        <v>364</v>
      </c>
      <c r="B67" t="str">
        <f>"7092"</f>
        <v>7092</v>
      </c>
      <c r="C67" t="str">
        <f>"293967092"</f>
        <v>293967092</v>
      </c>
      <c r="D67" t="s">
        <v>365</v>
      </c>
      <c r="E67" t="s">
        <v>366</v>
      </c>
      <c r="F67" t="s">
        <v>165</v>
      </c>
      <c r="G67" s="1">
        <v>34271</v>
      </c>
      <c r="H67" s="1">
        <v>41841</v>
      </c>
      <c r="I67" t="str">
        <f>"42"</f>
        <v>42</v>
      </c>
      <c r="J67" t="s">
        <v>367</v>
      </c>
      <c r="K67" t="s">
        <v>25</v>
      </c>
      <c r="L67" t="s">
        <v>26</v>
      </c>
      <c r="M67" t="s">
        <v>27</v>
      </c>
      <c r="N67" s="1">
        <v>18629</v>
      </c>
      <c r="O67">
        <v>0</v>
      </c>
      <c r="P67">
        <v>0</v>
      </c>
      <c r="Q67" t="s">
        <v>28</v>
      </c>
      <c r="R67" t="s">
        <v>29</v>
      </c>
      <c r="S67" t="s">
        <v>368</v>
      </c>
      <c r="T67" t="s">
        <v>369</v>
      </c>
    </row>
    <row r="68" spans="1:20" x14ac:dyDescent="0.25">
      <c r="A68" t="s">
        <v>370</v>
      </c>
      <c r="B68" t="str">
        <f>"2244"</f>
        <v>2244</v>
      </c>
      <c r="C68" t="str">
        <f>"287742244"</f>
        <v>287742244</v>
      </c>
      <c r="D68" t="s">
        <v>371</v>
      </c>
      <c r="E68" t="s">
        <v>372</v>
      </c>
      <c r="G68" s="1">
        <v>25963</v>
      </c>
      <c r="H68" s="1">
        <v>41841</v>
      </c>
      <c r="I68" t="str">
        <f>"05"</f>
        <v>05</v>
      </c>
      <c r="J68" t="s">
        <v>58</v>
      </c>
      <c r="K68" t="s">
        <v>98</v>
      </c>
      <c r="L68" t="s">
        <v>37</v>
      </c>
      <c r="M68" t="s">
        <v>117</v>
      </c>
      <c r="N68" s="1">
        <v>41855</v>
      </c>
      <c r="O68">
        <v>4951.96</v>
      </c>
      <c r="P68">
        <v>1237.8599999999999</v>
      </c>
      <c r="Q68" t="s">
        <v>37</v>
      </c>
      <c r="R68" t="s">
        <v>71</v>
      </c>
      <c r="S68" t="s">
        <v>373</v>
      </c>
      <c r="T68" t="s">
        <v>374</v>
      </c>
    </row>
    <row r="69" spans="1:20" x14ac:dyDescent="0.25">
      <c r="A69" t="s">
        <v>375</v>
      </c>
      <c r="B69" t="str">
        <f>"6998"</f>
        <v>6998</v>
      </c>
      <c r="C69" t="str">
        <f>"271726998"</f>
        <v>271726998</v>
      </c>
      <c r="D69" t="s">
        <v>376</v>
      </c>
      <c r="E69" t="s">
        <v>56</v>
      </c>
      <c r="G69" s="1">
        <v>21958</v>
      </c>
      <c r="H69" s="1">
        <v>41841</v>
      </c>
      <c r="I69" t="str">
        <f>"03"</f>
        <v>03</v>
      </c>
      <c r="J69" t="s">
        <v>70</v>
      </c>
      <c r="L69" t="s">
        <v>37</v>
      </c>
      <c r="M69" t="s">
        <v>143</v>
      </c>
      <c r="N69" s="1">
        <v>41841</v>
      </c>
      <c r="O69">
        <v>185.9</v>
      </c>
      <c r="P69">
        <v>-185.9</v>
      </c>
      <c r="Q69" t="s">
        <v>28</v>
      </c>
      <c r="R69" t="s">
        <v>71</v>
      </c>
      <c r="S69" t="s">
        <v>377</v>
      </c>
      <c r="T69" t="s">
        <v>378</v>
      </c>
    </row>
    <row r="70" spans="1:20" x14ac:dyDescent="0.25">
      <c r="A70" t="s">
        <v>379</v>
      </c>
      <c r="B70" t="str">
        <f>"2148"</f>
        <v>2148</v>
      </c>
      <c r="C70" t="str">
        <f>"281622148"</f>
        <v>281622148</v>
      </c>
      <c r="D70" t="s">
        <v>380</v>
      </c>
      <c r="E70" t="s">
        <v>381</v>
      </c>
      <c r="F70" t="s">
        <v>97</v>
      </c>
      <c r="G70" s="1">
        <v>23761</v>
      </c>
      <c r="H70" s="1">
        <v>41841</v>
      </c>
      <c r="I70" t="str">
        <f>"12"</f>
        <v>12</v>
      </c>
      <c r="J70" t="s">
        <v>245</v>
      </c>
      <c r="K70" t="s">
        <v>98</v>
      </c>
      <c r="L70" t="s">
        <v>37</v>
      </c>
      <c r="M70" t="s">
        <v>99</v>
      </c>
      <c r="N70" s="1">
        <v>41617</v>
      </c>
      <c r="O70">
        <v>14801.8</v>
      </c>
      <c r="P70">
        <v>3700.32</v>
      </c>
      <c r="Q70" t="s">
        <v>37</v>
      </c>
      <c r="R70" t="s">
        <v>100</v>
      </c>
      <c r="S70" t="s">
        <v>382</v>
      </c>
      <c r="T70" t="s">
        <v>383</v>
      </c>
    </row>
    <row r="71" spans="1:20" x14ac:dyDescent="0.25">
      <c r="A71" t="s">
        <v>384</v>
      </c>
      <c r="B71" t="str">
        <f>"1642"</f>
        <v>1642</v>
      </c>
      <c r="C71" t="str">
        <f>"272961642"</f>
        <v>272961642</v>
      </c>
      <c r="D71" t="s">
        <v>385</v>
      </c>
      <c r="E71" t="s">
        <v>386</v>
      </c>
      <c r="F71" t="s">
        <v>387</v>
      </c>
      <c r="G71" s="1">
        <v>33881</v>
      </c>
      <c r="H71" s="1">
        <v>41834</v>
      </c>
      <c r="I71" t="str">
        <f>"34"</f>
        <v>34</v>
      </c>
      <c r="J71" t="s">
        <v>388</v>
      </c>
      <c r="K71" t="s">
        <v>25</v>
      </c>
      <c r="L71" t="s">
        <v>26</v>
      </c>
      <c r="M71" t="s">
        <v>27</v>
      </c>
      <c r="N71" s="1">
        <v>18629</v>
      </c>
      <c r="O71">
        <v>0</v>
      </c>
      <c r="P71">
        <v>0</v>
      </c>
      <c r="Q71" t="s">
        <v>28</v>
      </c>
      <c r="R71" t="s">
        <v>38</v>
      </c>
      <c r="S71" t="s">
        <v>389</v>
      </c>
      <c r="T71" t="s">
        <v>390</v>
      </c>
    </row>
    <row r="72" spans="1:20" x14ac:dyDescent="0.25">
      <c r="A72" t="s">
        <v>391</v>
      </c>
      <c r="B72" t="str">
        <f>"3695"</f>
        <v>3695</v>
      </c>
      <c r="C72" t="str">
        <f>"275983695"</f>
        <v>275983695</v>
      </c>
      <c r="D72" t="s">
        <v>392</v>
      </c>
      <c r="E72" t="s">
        <v>393</v>
      </c>
      <c r="F72" t="s">
        <v>44</v>
      </c>
      <c r="G72" s="1">
        <v>34619</v>
      </c>
      <c r="H72" s="1">
        <v>41834</v>
      </c>
      <c r="I72" t="str">
        <f>"34"</f>
        <v>34</v>
      </c>
      <c r="J72" t="s">
        <v>388</v>
      </c>
      <c r="K72" t="s">
        <v>25</v>
      </c>
      <c r="L72" t="s">
        <v>26</v>
      </c>
      <c r="M72" t="s">
        <v>27</v>
      </c>
      <c r="N72" s="1">
        <v>18629</v>
      </c>
      <c r="O72">
        <v>0</v>
      </c>
      <c r="P72">
        <v>0</v>
      </c>
      <c r="Q72" t="s">
        <v>37</v>
      </c>
      <c r="R72" t="s">
        <v>38</v>
      </c>
      <c r="S72" t="s">
        <v>389</v>
      </c>
      <c r="T72" t="s">
        <v>390</v>
      </c>
    </row>
    <row r="73" spans="1:20" x14ac:dyDescent="0.25">
      <c r="A73" t="s">
        <v>394</v>
      </c>
      <c r="B73" t="str">
        <f>"8316"</f>
        <v>8316</v>
      </c>
      <c r="C73" t="str">
        <f>"284968316"</f>
        <v>284968316</v>
      </c>
      <c r="D73" t="s">
        <v>395</v>
      </c>
      <c r="E73" t="s">
        <v>396</v>
      </c>
      <c r="F73" t="s">
        <v>174</v>
      </c>
      <c r="G73" s="1">
        <v>34170</v>
      </c>
      <c r="H73" s="1">
        <v>41834</v>
      </c>
      <c r="I73" t="str">
        <f>"34"</f>
        <v>34</v>
      </c>
      <c r="J73" t="s">
        <v>388</v>
      </c>
      <c r="K73" t="s">
        <v>25</v>
      </c>
      <c r="L73" t="s">
        <v>26</v>
      </c>
      <c r="M73" t="s">
        <v>27</v>
      </c>
      <c r="N73" s="1">
        <v>18629</v>
      </c>
      <c r="O73">
        <v>0</v>
      </c>
      <c r="P73">
        <v>0</v>
      </c>
      <c r="Q73" t="s">
        <v>28</v>
      </c>
      <c r="R73" t="s">
        <v>38</v>
      </c>
      <c r="S73" t="s">
        <v>389</v>
      </c>
      <c r="T73" t="s">
        <v>390</v>
      </c>
    </row>
    <row r="74" spans="1:20" x14ac:dyDescent="0.25">
      <c r="A74" t="s">
        <v>397</v>
      </c>
      <c r="B74" t="str">
        <f>"4365"</f>
        <v>4365</v>
      </c>
      <c r="C74" t="str">
        <f>"276964365"</f>
        <v>276964365</v>
      </c>
      <c r="D74" t="s">
        <v>398</v>
      </c>
      <c r="E74" t="s">
        <v>399</v>
      </c>
      <c r="G74" s="1">
        <v>34129</v>
      </c>
      <c r="H74" s="1">
        <v>41834</v>
      </c>
      <c r="I74" t="str">
        <f>"34"</f>
        <v>34</v>
      </c>
      <c r="J74" t="s">
        <v>388</v>
      </c>
      <c r="K74" t="s">
        <v>25</v>
      </c>
      <c r="L74" t="s">
        <v>26</v>
      </c>
      <c r="M74" t="s">
        <v>27</v>
      </c>
      <c r="N74" s="1">
        <v>18629</v>
      </c>
      <c r="O74">
        <v>0</v>
      </c>
      <c r="P74">
        <v>0</v>
      </c>
      <c r="Q74" t="s">
        <v>37</v>
      </c>
      <c r="R74" t="s">
        <v>38</v>
      </c>
      <c r="S74" t="s">
        <v>389</v>
      </c>
      <c r="T74" t="s">
        <v>390</v>
      </c>
    </row>
    <row r="75" spans="1:20" x14ac:dyDescent="0.25">
      <c r="A75" t="s">
        <v>400</v>
      </c>
      <c r="B75" t="str">
        <f>"6311"</f>
        <v>6311</v>
      </c>
      <c r="C75" t="str">
        <f>"283426311"</f>
        <v>283426311</v>
      </c>
      <c r="D75" t="s">
        <v>401</v>
      </c>
      <c r="E75" t="s">
        <v>35</v>
      </c>
      <c r="G75" s="1">
        <v>19879</v>
      </c>
      <c r="H75" s="1">
        <v>41834</v>
      </c>
      <c r="I75" t="str">
        <f>"41"</f>
        <v>41</v>
      </c>
      <c r="J75" t="s">
        <v>24</v>
      </c>
      <c r="K75" t="s">
        <v>25</v>
      </c>
      <c r="L75" t="s">
        <v>26</v>
      </c>
      <c r="M75" t="s">
        <v>27</v>
      </c>
      <c r="N75" s="1">
        <v>18629</v>
      </c>
      <c r="O75">
        <v>0</v>
      </c>
      <c r="P75">
        <v>0</v>
      </c>
      <c r="Q75" t="s">
        <v>28</v>
      </c>
      <c r="R75" t="s">
        <v>71</v>
      </c>
      <c r="S75" t="s">
        <v>402</v>
      </c>
      <c r="T75" t="s">
        <v>403</v>
      </c>
    </row>
    <row r="76" spans="1:20" x14ac:dyDescent="0.25">
      <c r="A76" t="s">
        <v>404</v>
      </c>
      <c r="B76" t="str">
        <f>"2675"</f>
        <v>2675</v>
      </c>
      <c r="C76" t="str">
        <f>"287862675"</f>
        <v>287862675</v>
      </c>
      <c r="D76" t="s">
        <v>405</v>
      </c>
      <c r="E76" t="s">
        <v>406</v>
      </c>
      <c r="F76" t="s">
        <v>407</v>
      </c>
      <c r="G76" s="1">
        <v>31793</v>
      </c>
      <c r="H76" s="1">
        <v>41834</v>
      </c>
      <c r="I76" t="str">
        <f>"34"</f>
        <v>34</v>
      </c>
      <c r="J76" t="s">
        <v>388</v>
      </c>
      <c r="K76" t="s">
        <v>25</v>
      </c>
      <c r="L76" t="s">
        <v>26</v>
      </c>
      <c r="M76" t="s">
        <v>27</v>
      </c>
      <c r="N76" s="1">
        <v>18629</v>
      </c>
      <c r="O76">
        <v>0</v>
      </c>
      <c r="P76">
        <v>0</v>
      </c>
      <c r="Q76" t="s">
        <v>28</v>
      </c>
      <c r="R76" t="s">
        <v>38</v>
      </c>
      <c r="S76" t="s">
        <v>389</v>
      </c>
      <c r="T76" t="s">
        <v>390</v>
      </c>
    </row>
    <row r="77" spans="1:20" x14ac:dyDescent="0.25">
      <c r="A77" t="s">
        <v>408</v>
      </c>
      <c r="B77" t="str">
        <f>"1486"</f>
        <v>1486</v>
      </c>
      <c r="C77" t="str">
        <f>"270861486"</f>
        <v>270861486</v>
      </c>
      <c r="D77" t="s">
        <v>409</v>
      </c>
      <c r="E77" t="s">
        <v>410</v>
      </c>
      <c r="F77" t="s">
        <v>28</v>
      </c>
      <c r="G77" s="1">
        <v>26119</v>
      </c>
      <c r="H77" s="1">
        <v>41834</v>
      </c>
      <c r="I77" t="str">
        <f>"41"</f>
        <v>41</v>
      </c>
      <c r="J77" t="s">
        <v>24</v>
      </c>
      <c r="K77" t="s">
        <v>25</v>
      </c>
      <c r="L77" t="s">
        <v>26</v>
      </c>
      <c r="M77" t="s">
        <v>27</v>
      </c>
      <c r="N77" s="1">
        <v>18629</v>
      </c>
      <c r="O77">
        <v>0</v>
      </c>
      <c r="P77">
        <v>0</v>
      </c>
      <c r="Q77" t="s">
        <v>28</v>
      </c>
      <c r="R77" t="s">
        <v>71</v>
      </c>
      <c r="S77" t="s">
        <v>402</v>
      </c>
      <c r="T77" t="s">
        <v>403</v>
      </c>
    </row>
    <row r="78" spans="1:20" x14ac:dyDescent="0.25">
      <c r="A78" t="s">
        <v>411</v>
      </c>
      <c r="B78" t="str">
        <f>"3489"</f>
        <v>3489</v>
      </c>
      <c r="C78" t="str">
        <f>"302863489"</f>
        <v>302863489</v>
      </c>
      <c r="D78" t="s">
        <v>412</v>
      </c>
      <c r="E78" t="s">
        <v>413</v>
      </c>
      <c r="F78" t="s">
        <v>414</v>
      </c>
      <c r="G78" s="1">
        <v>31378</v>
      </c>
      <c r="H78" s="1">
        <v>41834</v>
      </c>
      <c r="I78" t="str">
        <f>"34"</f>
        <v>34</v>
      </c>
      <c r="J78" t="s">
        <v>388</v>
      </c>
      <c r="K78" t="s">
        <v>25</v>
      </c>
      <c r="L78" t="s">
        <v>26</v>
      </c>
      <c r="M78" t="s">
        <v>27</v>
      </c>
      <c r="N78" s="1">
        <v>18629</v>
      </c>
      <c r="O78">
        <v>0</v>
      </c>
      <c r="P78">
        <v>0</v>
      </c>
      <c r="Q78" t="s">
        <v>28</v>
      </c>
      <c r="R78" t="s">
        <v>38</v>
      </c>
      <c r="S78" t="s">
        <v>389</v>
      </c>
      <c r="T78" t="s">
        <v>390</v>
      </c>
    </row>
    <row r="79" spans="1:20" x14ac:dyDescent="0.25">
      <c r="A79" t="s">
        <v>415</v>
      </c>
      <c r="B79" t="str">
        <f>"7261"</f>
        <v>7261</v>
      </c>
      <c r="C79" t="str">
        <f>"284987261"</f>
        <v>284987261</v>
      </c>
      <c r="D79" t="s">
        <v>416</v>
      </c>
      <c r="E79" t="s">
        <v>417</v>
      </c>
      <c r="F79" t="s">
        <v>418</v>
      </c>
      <c r="G79" s="1">
        <v>34786</v>
      </c>
      <c r="H79" s="1">
        <v>41834</v>
      </c>
      <c r="I79" t="str">
        <f>"34"</f>
        <v>34</v>
      </c>
      <c r="J79" t="s">
        <v>388</v>
      </c>
      <c r="K79" t="s">
        <v>25</v>
      </c>
      <c r="L79" t="s">
        <v>26</v>
      </c>
      <c r="M79" t="s">
        <v>27</v>
      </c>
      <c r="N79" s="1">
        <v>18629</v>
      </c>
      <c r="O79">
        <v>0</v>
      </c>
      <c r="P79">
        <v>0</v>
      </c>
      <c r="Q79" t="s">
        <v>37</v>
      </c>
      <c r="R79" t="s">
        <v>29</v>
      </c>
      <c r="S79" t="s">
        <v>419</v>
      </c>
      <c r="T79" t="s">
        <v>420</v>
      </c>
    </row>
    <row r="80" spans="1:20" x14ac:dyDescent="0.25">
      <c r="A80" t="s">
        <v>421</v>
      </c>
      <c r="B80" t="str">
        <f>"5703"</f>
        <v>5703</v>
      </c>
      <c r="C80" t="str">
        <f>"074845703"</f>
        <v>074845703</v>
      </c>
      <c r="D80" t="s">
        <v>422</v>
      </c>
      <c r="E80" t="s">
        <v>423</v>
      </c>
      <c r="F80" t="s">
        <v>424</v>
      </c>
      <c r="G80" s="1">
        <v>34623</v>
      </c>
      <c r="H80" s="1">
        <v>41834</v>
      </c>
      <c r="I80" t="str">
        <f>"34"</f>
        <v>34</v>
      </c>
      <c r="J80" t="s">
        <v>388</v>
      </c>
      <c r="K80" t="s">
        <v>25</v>
      </c>
      <c r="L80" t="s">
        <v>26</v>
      </c>
      <c r="M80" t="s">
        <v>27</v>
      </c>
      <c r="N80" s="1">
        <v>18629</v>
      </c>
      <c r="O80">
        <v>0</v>
      </c>
      <c r="P80">
        <v>0</v>
      </c>
      <c r="Q80" t="s">
        <v>37</v>
      </c>
      <c r="R80" t="s">
        <v>38</v>
      </c>
      <c r="S80" t="s">
        <v>389</v>
      </c>
      <c r="T80" t="s">
        <v>390</v>
      </c>
    </row>
    <row r="81" spans="1:20" x14ac:dyDescent="0.25">
      <c r="A81" t="s">
        <v>425</v>
      </c>
      <c r="B81" t="str">
        <f>"7243"</f>
        <v>7243</v>
      </c>
      <c r="C81" t="str">
        <f>"292967243"</f>
        <v>292967243</v>
      </c>
      <c r="D81" t="s">
        <v>426</v>
      </c>
      <c r="E81" t="s">
        <v>427</v>
      </c>
      <c r="F81" t="s">
        <v>28</v>
      </c>
      <c r="G81" s="1">
        <v>34239</v>
      </c>
      <c r="H81" s="1">
        <v>41834</v>
      </c>
      <c r="I81" t="str">
        <f>"34"</f>
        <v>34</v>
      </c>
      <c r="J81" t="s">
        <v>388</v>
      </c>
      <c r="K81" t="s">
        <v>25</v>
      </c>
      <c r="L81" t="s">
        <v>26</v>
      </c>
      <c r="M81" t="s">
        <v>27</v>
      </c>
      <c r="N81" s="1">
        <v>18629</v>
      </c>
      <c r="O81">
        <v>0</v>
      </c>
      <c r="P81">
        <v>0</v>
      </c>
      <c r="Q81" t="s">
        <v>37</v>
      </c>
      <c r="R81" t="s">
        <v>38</v>
      </c>
      <c r="S81" t="s">
        <v>389</v>
      </c>
      <c r="T81" t="s">
        <v>390</v>
      </c>
    </row>
    <row r="82" spans="1:20" x14ac:dyDescent="0.25">
      <c r="A82" t="s">
        <v>428</v>
      </c>
      <c r="B82" t="str">
        <f>"3243"</f>
        <v>3243</v>
      </c>
      <c r="C82" t="str">
        <f>"302843243"</f>
        <v>302843243</v>
      </c>
      <c r="D82" t="s">
        <v>429</v>
      </c>
      <c r="E82" t="s">
        <v>430</v>
      </c>
      <c r="F82" t="s">
        <v>431</v>
      </c>
      <c r="G82" s="1">
        <v>31413</v>
      </c>
      <c r="H82" s="1">
        <v>41834</v>
      </c>
      <c r="I82" t="str">
        <f>"41"</f>
        <v>41</v>
      </c>
      <c r="J82" t="s">
        <v>24</v>
      </c>
      <c r="K82" t="s">
        <v>25</v>
      </c>
      <c r="L82" t="s">
        <v>26</v>
      </c>
      <c r="M82" t="s">
        <v>27</v>
      </c>
      <c r="N82" s="1">
        <v>18629</v>
      </c>
      <c r="O82">
        <v>0</v>
      </c>
      <c r="P82">
        <v>0</v>
      </c>
      <c r="Q82" t="s">
        <v>28</v>
      </c>
      <c r="R82" t="s">
        <v>71</v>
      </c>
      <c r="S82" t="s">
        <v>402</v>
      </c>
      <c r="T82" t="s">
        <v>403</v>
      </c>
    </row>
    <row r="83" spans="1:20" x14ac:dyDescent="0.25">
      <c r="A83" t="s">
        <v>432</v>
      </c>
      <c r="B83" t="str">
        <f>"8878"</f>
        <v>8878</v>
      </c>
      <c r="C83" t="str">
        <f>"271588878"</f>
        <v>271588878</v>
      </c>
      <c r="D83" t="s">
        <v>433</v>
      </c>
      <c r="E83" t="s">
        <v>434</v>
      </c>
      <c r="F83" t="s">
        <v>165</v>
      </c>
      <c r="G83" s="1">
        <v>22453</v>
      </c>
      <c r="H83" s="1">
        <v>41834</v>
      </c>
      <c r="I83" t="str">
        <f>"41"</f>
        <v>41</v>
      </c>
      <c r="J83" t="s">
        <v>24</v>
      </c>
      <c r="K83" t="s">
        <v>25</v>
      </c>
      <c r="L83" t="s">
        <v>26</v>
      </c>
      <c r="M83" t="s">
        <v>27</v>
      </c>
      <c r="N83" s="1">
        <v>18629</v>
      </c>
      <c r="O83">
        <v>0</v>
      </c>
      <c r="P83">
        <v>0</v>
      </c>
      <c r="Q83" t="s">
        <v>28</v>
      </c>
      <c r="R83" t="s">
        <v>71</v>
      </c>
      <c r="S83" t="s">
        <v>402</v>
      </c>
      <c r="T83" t="s">
        <v>403</v>
      </c>
    </row>
    <row r="84" spans="1:20" x14ac:dyDescent="0.25">
      <c r="A84" t="s">
        <v>435</v>
      </c>
      <c r="B84" t="str">
        <f>"3329"</f>
        <v>3329</v>
      </c>
      <c r="C84" t="str">
        <f>"283963329"</f>
        <v>283963329</v>
      </c>
      <c r="D84" t="s">
        <v>436</v>
      </c>
      <c r="E84" t="s">
        <v>437</v>
      </c>
      <c r="F84" t="s">
        <v>438</v>
      </c>
      <c r="G84" s="1">
        <v>34120</v>
      </c>
      <c r="H84" s="1">
        <v>41834</v>
      </c>
      <c r="I84" t="str">
        <f>"34"</f>
        <v>34</v>
      </c>
      <c r="J84" t="s">
        <v>388</v>
      </c>
      <c r="K84" t="s">
        <v>25</v>
      </c>
      <c r="L84" t="s">
        <v>26</v>
      </c>
      <c r="M84" t="s">
        <v>27</v>
      </c>
      <c r="N84" s="1">
        <v>18629</v>
      </c>
      <c r="O84">
        <v>0</v>
      </c>
      <c r="P84">
        <v>0</v>
      </c>
      <c r="Q84" t="s">
        <v>37</v>
      </c>
      <c r="R84" t="s">
        <v>38</v>
      </c>
      <c r="S84" t="s">
        <v>389</v>
      </c>
      <c r="T84" t="s">
        <v>390</v>
      </c>
    </row>
    <row r="85" spans="1:20" x14ac:dyDescent="0.25">
      <c r="A85" t="s">
        <v>439</v>
      </c>
      <c r="B85" t="str">
        <f>"7376"</f>
        <v>7376</v>
      </c>
      <c r="C85" t="str">
        <f>"279947376"</f>
        <v>279947376</v>
      </c>
      <c r="D85" t="s">
        <v>440</v>
      </c>
      <c r="E85" t="s">
        <v>441</v>
      </c>
      <c r="F85" t="s">
        <v>442</v>
      </c>
      <c r="G85" s="1">
        <v>33569</v>
      </c>
      <c r="H85" s="1">
        <v>41834</v>
      </c>
      <c r="I85" t="str">
        <f>"34"</f>
        <v>34</v>
      </c>
      <c r="J85" t="s">
        <v>388</v>
      </c>
      <c r="K85" t="s">
        <v>25</v>
      </c>
      <c r="L85" t="s">
        <v>26</v>
      </c>
      <c r="M85" t="s">
        <v>27</v>
      </c>
      <c r="N85" s="1">
        <v>18629</v>
      </c>
      <c r="O85">
        <v>0</v>
      </c>
      <c r="P85">
        <v>0</v>
      </c>
      <c r="Q85" t="s">
        <v>28</v>
      </c>
      <c r="R85" t="s">
        <v>38</v>
      </c>
      <c r="S85" t="s">
        <v>389</v>
      </c>
      <c r="T85" t="s">
        <v>390</v>
      </c>
    </row>
    <row r="86" spans="1:20" x14ac:dyDescent="0.25">
      <c r="A86" t="s">
        <v>443</v>
      </c>
      <c r="B86" t="str">
        <f>"2982"</f>
        <v>2982</v>
      </c>
      <c r="C86" t="str">
        <f>"275882982"</f>
        <v>275882982</v>
      </c>
      <c r="D86" t="s">
        <v>444</v>
      </c>
      <c r="E86" t="s">
        <v>197</v>
      </c>
      <c r="F86" t="s">
        <v>445</v>
      </c>
      <c r="G86" s="1">
        <v>30855</v>
      </c>
      <c r="H86" s="1">
        <v>41834</v>
      </c>
      <c r="I86" t="str">
        <f>"41"</f>
        <v>41</v>
      </c>
      <c r="J86" t="s">
        <v>24</v>
      </c>
      <c r="K86" t="s">
        <v>25</v>
      </c>
      <c r="L86" t="s">
        <v>26</v>
      </c>
      <c r="M86" t="s">
        <v>27</v>
      </c>
      <c r="N86" s="1">
        <v>18629</v>
      </c>
      <c r="O86">
        <v>0</v>
      </c>
      <c r="P86">
        <v>0</v>
      </c>
      <c r="Q86" t="s">
        <v>28</v>
      </c>
      <c r="R86" t="s">
        <v>71</v>
      </c>
      <c r="S86" t="s">
        <v>402</v>
      </c>
      <c r="T86" t="s">
        <v>403</v>
      </c>
    </row>
    <row r="87" spans="1:20" x14ac:dyDescent="0.25">
      <c r="A87" t="s">
        <v>446</v>
      </c>
      <c r="B87" t="str">
        <f>"2851"</f>
        <v>2851</v>
      </c>
      <c r="C87" t="str">
        <f>"271942851"</f>
        <v>271942851</v>
      </c>
      <c r="D87" t="s">
        <v>122</v>
      </c>
      <c r="E87" t="s">
        <v>447</v>
      </c>
      <c r="F87" t="s">
        <v>448</v>
      </c>
      <c r="G87" s="1">
        <v>33116</v>
      </c>
      <c r="H87" s="1">
        <v>41834</v>
      </c>
      <c r="I87" t="str">
        <f>"34"</f>
        <v>34</v>
      </c>
      <c r="J87" t="s">
        <v>388</v>
      </c>
      <c r="K87" t="s">
        <v>25</v>
      </c>
      <c r="L87" t="s">
        <v>26</v>
      </c>
      <c r="M87" t="s">
        <v>27</v>
      </c>
      <c r="N87" s="1">
        <v>18629</v>
      </c>
      <c r="O87">
        <v>0</v>
      </c>
      <c r="P87">
        <v>0</v>
      </c>
      <c r="Q87" t="s">
        <v>37</v>
      </c>
      <c r="R87" t="s">
        <v>38</v>
      </c>
      <c r="S87" t="s">
        <v>389</v>
      </c>
      <c r="T87" t="s">
        <v>390</v>
      </c>
    </row>
    <row r="88" spans="1:20" x14ac:dyDescent="0.25">
      <c r="A88" t="s">
        <v>449</v>
      </c>
      <c r="B88" t="str">
        <f>"8971"</f>
        <v>8971</v>
      </c>
      <c r="C88" t="str">
        <f>"297968971"</f>
        <v>297968971</v>
      </c>
      <c r="D88" t="s">
        <v>122</v>
      </c>
      <c r="E88" t="s">
        <v>450</v>
      </c>
      <c r="F88" t="s">
        <v>414</v>
      </c>
      <c r="G88" s="1">
        <v>34377</v>
      </c>
      <c r="H88" s="1">
        <v>41834</v>
      </c>
      <c r="I88" t="str">
        <f>"34"</f>
        <v>34</v>
      </c>
      <c r="J88" t="s">
        <v>388</v>
      </c>
      <c r="K88" t="s">
        <v>25</v>
      </c>
      <c r="L88" t="s">
        <v>26</v>
      </c>
      <c r="M88" t="s">
        <v>27</v>
      </c>
      <c r="N88" s="1">
        <v>18629</v>
      </c>
      <c r="O88">
        <v>0</v>
      </c>
      <c r="P88">
        <v>0</v>
      </c>
      <c r="Q88" t="s">
        <v>28</v>
      </c>
      <c r="R88" t="s">
        <v>38</v>
      </c>
      <c r="S88" t="s">
        <v>389</v>
      </c>
      <c r="T88" t="s">
        <v>390</v>
      </c>
    </row>
    <row r="89" spans="1:20" x14ac:dyDescent="0.25">
      <c r="A89" t="s">
        <v>451</v>
      </c>
      <c r="B89" t="str">
        <f>"5563"</f>
        <v>5563</v>
      </c>
      <c r="C89" t="str">
        <f>"296885563"</f>
        <v>296885563</v>
      </c>
      <c r="D89" t="s">
        <v>452</v>
      </c>
      <c r="E89" t="s">
        <v>453</v>
      </c>
      <c r="F89" t="s">
        <v>165</v>
      </c>
      <c r="G89" s="1">
        <v>32291</v>
      </c>
      <c r="H89" s="1">
        <v>41834</v>
      </c>
      <c r="I89" t="str">
        <f>"34"</f>
        <v>34</v>
      </c>
      <c r="J89" t="s">
        <v>388</v>
      </c>
      <c r="K89" t="s">
        <v>25</v>
      </c>
      <c r="L89" t="s">
        <v>26</v>
      </c>
      <c r="M89" t="s">
        <v>27</v>
      </c>
      <c r="N89" s="1">
        <v>18629</v>
      </c>
      <c r="O89">
        <v>0</v>
      </c>
      <c r="P89">
        <v>0</v>
      </c>
      <c r="Q89" t="s">
        <v>28</v>
      </c>
      <c r="R89" t="s">
        <v>38</v>
      </c>
      <c r="S89" t="s">
        <v>389</v>
      </c>
      <c r="T89" t="s">
        <v>390</v>
      </c>
    </row>
    <row r="90" spans="1:20" x14ac:dyDescent="0.25">
      <c r="A90" t="s">
        <v>454</v>
      </c>
      <c r="B90" t="str">
        <f>"8094"</f>
        <v>8094</v>
      </c>
      <c r="C90" t="str">
        <f>"287968094"</f>
        <v>287968094</v>
      </c>
      <c r="D90" t="s">
        <v>455</v>
      </c>
      <c r="E90" t="s">
        <v>456</v>
      </c>
      <c r="F90" t="s">
        <v>264</v>
      </c>
      <c r="G90" s="1">
        <v>34173</v>
      </c>
      <c r="H90" s="1">
        <v>41834</v>
      </c>
      <c r="I90" t="str">
        <f>"34"</f>
        <v>34</v>
      </c>
      <c r="J90" t="s">
        <v>388</v>
      </c>
      <c r="K90" t="s">
        <v>25</v>
      </c>
      <c r="L90" t="s">
        <v>26</v>
      </c>
      <c r="M90" t="s">
        <v>27</v>
      </c>
      <c r="N90" s="1">
        <v>18629</v>
      </c>
      <c r="O90">
        <v>0</v>
      </c>
      <c r="P90">
        <v>0</v>
      </c>
      <c r="Q90" t="s">
        <v>28</v>
      </c>
      <c r="R90" t="s">
        <v>29</v>
      </c>
      <c r="S90" t="s">
        <v>389</v>
      </c>
      <c r="T90" t="s">
        <v>390</v>
      </c>
    </row>
    <row r="91" spans="1:20" x14ac:dyDescent="0.25">
      <c r="A91" t="s">
        <v>457</v>
      </c>
      <c r="B91" t="str">
        <f>"2746"</f>
        <v>2746</v>
      </c>
      <c r="C91" t="str">
        <f>"297942746"</f>
        <v>297942746</v>
      </c>
      <c r="D91" t="s">
        <v>114</v>
      </c>
      <c r="E91" t="s">
        <v>458</v>
      </c>
      <c r="F91" t="s">
        <v>438</v>
      </c>
      <c r="G91" s="1">
        <v>33666</v>
      </c>
      <c r="H91" s="1">
        <v>41834</v>
      </c>
      <c r="I91" t="str">
        <f>"34"</f>
        <v>34</v>
      </c>
      <c r="J91" t="s">
        <v>388</v>
      </c>
      <c r="K91" t="s">
        <v>25</v>
      </c>
      <c r="L91" t="s">
        <v>26</v>
      </c>
      <c r="M91" t="s">
        <v>27</v>
      </c>
      <c r="N91" s="1">
        <v>18629</v>
      </c>
      <c r="O91">
        <v>0</v>
      </c>
      <c r="P91">
        <v>0</v>
      </c>
      <c r="Q91" t="s">
        <v>28</v>
      </c>
      <c r="R91" t="s">
        <v>38</v>
      </c>
      <c r="S91" t="s">
        <v>389</v>
      </c>
      <c r="T91" t="s">
        <v>390</v>
      </c>
    </row>
    <row r="92" spans="1:20" x14ac:dyDescent="0.25">
      <c r="A92" t="s">
        <v>459</v>
      </c>
      <c r="B92" t="str">
        <f>"4667"</f>
        <v>4667</v>
      </c>
      <c r="C92" t="str">
        <f>"300684667"</f>
        <v>300684667</v>
      </c>
      <c r="D92" t="s">
        <v>460</v>
      </c>
      <c r="E92" t="s">
        <v>430</v>
      </c>
      <c r="F92" t="s">
        <v>179</v>
      </c>
      <c r="G92" s="1">
        <v>23933</v>
      </c>
      <c r="H92" s="1">
        <v>41832</v>
      </c>
      <c r="I92" t="str">
        <f>"52"</f>
        <v>52</v>
      </c>
      <c r="J92" t="s">
        <v>330</v>
      </c>
      <c r="K92" t="s">
        <v>25</v>
      </c>
      <c r="L92" t="s">
        <v>26</v>
      </c>
      <c r="M92" t="s">
        <v>27</v>
      </c>
      <c r="N92" s="1">
        <v>18629</v>
      </c>
      <c r="O92">
        <v>0</v>
      </c>
      <c r="P92">
        <v>0</v>
      </c>
      <c r="Q92" t="s">
        <v>28</v>
      </c>
      <c r="R92" t="s">
        <v>258</v>
      </c>
      <c r="S92" t="s">
        <v>331</v>
      </c>
      <c r="T92" t="s">
        <v>332</v>
      </c>
    </row>
    <row r="93" spans="1:20" x14ac:dyDescent="0.25">
      <c r="A93" t="s">
        <v>461</v>
      </c>
      <c r="B93" t="str">
        <f>"4841"</f>
        <v>4841</v>
      </c>
      <c r="C93" t="str">
        <f>"272884841"</f>
        <v>272884841</v>
      </c>
      <c r="D93" t="s">
        <v>462</v>
      </c>
      <c r="E93" t="s">
        <v>463</v>
      </c>
      <c r="F93" t="s">
        <v>93</v>
      </c>
      <c r="G93" s="1">
        <v>25336</v>
      </c>
      <c r="H93" s="1">
        <v>41832</v>
      </c>
      <c r="I93" t="str">
        <f>"52"</f>
        <v>52</v>
      </c>
      <c r="J93" t="s">
        <v>330</v>
      </c>
      <c r="K93" t="s">
        <v>25</v>
      </c>
      <c r="L93" t="s">
        <v>26</v>
      </c>
      <c r="M93" t="s">
        <v>27</v>
      </c>
      <c r="N93" s="1">
        <v>18629</v>
      </c>
      <c r="O93">
        <v>0</v>
      </c>
      <c r="P93">
        <v>0</v>
      </c>
      <c r="Q93" t="s">
        <v>28</v>
      </c>
      <c r="R93" t="s">
        <v>258</v>
      </c>
      <c r="S93" t="s">
        <v>331</v>
      </c>
      <c r="T93" t="s">
        <v>332</v>
      </c>
    </row>
    <row r="94" spans="1:20" x14ac:dyDescent="0.25">
      <c r="A94" t="s">
        <v>464</v>
      </c>
      <c r="B94" t="str">
        <f>"8490"</f>
        <v>8490</v>
      </c>
      <c r="C94" t="str">
        <f>"293808490"</f>
        <v>293808490</v>
      </c>
      <c r="D94" t="s">
        <v>465</v>
      </c>
      <c r="E94" t="s">
        <v>213</v>
      </c>
      <c r="F94" t="s">
        <v>466</v>
      </c>
      <c r="G94" s="1">
        <v>30545</v>
      </c>
      <c r="H94" s="1">
        <v>41832</v>
      </c>
      <c r="I94" t="str">
        <f>"52"</f>
        <v>52</v>
      </c>
      <c r="J94" t="s">
        <v>330</v>
      </c>
      <c r="K94" t="s">
        <v>25</v>
      </c>
      <c r="L94" t="s">
        <v>26</v>
      </c>
      <c r="M94" t="s">
        <v>27</v>
      </c>
      <c r="N94" s="1">
        <v>18629</v>
      </c>
      <c r="O94">
        <v>0</v>
      </c>
      <c r="P94">
        <v>0</v>
      </c>
      <c r="Q94" t="s">
        <v>28</v>
      </c>
      <c r="R94" t="s">
        <v>258</v>
      </c>
      <c r="S94" t="s">
        <v>331</v>
      </c>
      <c r="T94" t="s">
        <v>332</v>
      </c>
    </row>
    <row r="95" spans="1:20" x14ac:dyDescent="0.25">
      <c r="A95" t="s">
        <v>467</v>
      </c>
      <c r="B95" t="str">
        <f>"8515"</f>
        <v>8515</v>
      </c>
      <c r="C95" t="str">
        <f>"281888515"</f>
        <v>281888515</v>
      </c>
      <c r="D95" t="s">
        <v>468</v>
      </c>
      <c r="E95" t="s">
        <v>469</v>
      </c>
      <c r="F95" t="s">
        <v>470</v>
      </c>
      <c r="G95" s="1">
        <v>30991</v>
      </c>
      <c r="H95" s="1">
        <v>41830</v>
      </c>
      <c r="I95" t="str">
        <f>"51"</f>
        <v>51</v>
      </c>
      <c r="J95" t="s">
        <v>471</v>
      </c>
      <c r="K95" t="s">
        <v>25</v>
      </c>
      <c r="L95" t="s">
        <v>26</v>
      </c>
      <c r="M95" t="s">
        <v>27</v>
      </c>
      <c r="N95" s="1">
        <v>18629</v>
      </c>
      <c r="O95">
        <v>0</v>
      </c>
      <c r="P95">
        <v>0</v>
      </c>
      <c r="Q95" t="s">
        <v>37</v>
      </c>
      <c r="R95" t="s">
        <v>29</v>
      </c>
      <c r="S95" t="s">
        <v>472</v>
      </c>
      <c r="T95" t="s">
        <v>473</v>
      </c>
    </row>
    <row r="96" spans="1:20" x14ac:dyDescent="0.25">
      <c r="A96" t="s">
        <v>474</v>
      </c>
      <c r="B96" t="str">
        <f>"5629"</f>
        <v>5629</v>
      </c>
      <c r="C96" t="str">
        <f>"291685629"</f>
        <v>291685629</v>
      </c>
      <c r="D96" t="s">
        <v>475</v>
      </c>
      <c r="E96" t="s">
        <v>476</v>
      </c>
      <c r="F96" t="s">
        <v>44</v>
      </c>
      <c r="G96" s="1">
        <v>23803</v>
      </c>
      <c r="H96" s="1">
        <v>41827</v>
      </c>
      <c r="I96" t="str">
        <f>"15"</f>
        <v>15</v>
      </c>
      <c r="J96" t="s">
        <v>36</v>
      </c>
      <c r="K96" t="s">
        <v>98</v>
      </c>
      <c r="L96" t="s">
        <v>37</v>
      </c>
      <c r="M96" t="s">
        <v>257</v>
      </c>
      <c r="N96" s="1">
        <v>41841</v>
      </c>
      <c r="O96">
        <v>10753.08</v>
      </c>
      <c r="P96">
        <v>2688.4</v>
      </c>
      <c r="Q96" t="s">
        <v>37</v>
      </c>
      <c r="R96" t="s">
        <v>71</v>
      </c>
      <c r="S96" t="s">
        <v>477</v>
      </c>
      <c r="T96" t="s">
        <v>478</v>
      </c>
    </row>
    <row r="97" spans="1:20" x14ac:dyDescent="0.25">
      <c r="A97" t="s">
        <v>479</v>
      </c>
      <c r="B97" t="str">
        <f>"2169"</f>
        <v>2169</v>
      </c>
      <c r="C97" t="str">
        <f>"278862169"</f>
        <v>278862169</v>
      </c>
      <c r="D97" t="s">
        <v>480</v>
      </c>
      <c r="E97" t="s">
        <v>481</v>
      </c>
      <c r="F97" t="s">
        <v>69</v>
      </c>
      <c r="G97" s="1">
        <v>31849</v>
      </c>
      <c r="H97" s="1">
        <v>41827</v>
      </c>
      <c r="I97" t="str">
        <f>"03"</f>
        <v>03</v>
      </c>
      <c r="J97" t="s">
        <v>70</v>
      </c>
      <c r="K97" t="s">
        <v>98</v>
      </c>
      <c r="L97" t="s">
        <v>37</v>
      </c>
      <c r="M97" t="s">
        <v>117</v>
      </c>
      <c r="N97" s="1">
        <v>41827</v>
      </c>
      <c r="O97">
        <v>4951.96</v>
      </c>
      <c r="P97">
        <v>1237.8599999999999</v>
      </c>
      <c r="Q97" t="s">
        <v>28</v>
      </c>
      <c r="R97" t="s">
        <v>110</v>
      </c>
      <c r="S97" t="s">
        <v>482</v>
      </c>
      <c r="T97" t="s">
        <v>483</v>
      </c>
    </row>
    <row r="98" spans="1:20" x14ac:dyDescent="0.25">
      <c r="A98" t="s">
        <v>484</v>
      </c>
      <c r="B98" t="str">
        <f>"5523"</f>
        <v>5523</v>
      </c>
      <c r="C98" t="str">
        <f>"293765523"</f>
        <v>293765523</v>
      </c>
      <c r="D98" t="s">
        <v>485</v>
      </c>
      <c r="E98" t="s">
        <v>486</v>
      </c>
      <c r="F98" t="s">
        <v>308</v>
      </c>
      <c r="G98" s="1">
        <v>24009</v>
      </c>
      <c r="H98" s="1">
        <v>41827</v>
      </c>
      <c r="I98" t="str">
        <f>"30"</f>
        <v>30</v>
      </c>
      <c r="J98" t="s">
        <v>50</v>
      </c>
      <c r="K98" t="s">
        <v>25</v>
      </c>
      <c r="L98" t="s">
        <v>26</v>
      </c>
      <c r="M98" t="s">
        <v>27</v>
      </c>
      <c r="N98" s="1">
        <v>18629</v>
      </c>
      <c r="O98">
        <v>0</v>
      </c>
      <c r="P98">
        <v>0</v>
      </c>
      <c r="Q98" t="s">
        <v>37</v>
      </c>
      <c r="R98" t="s">
        <v>51</v>
      </c>
      <c r="S98" t="s">
        <v>487</v>
      </c>
      <c r="T98" t="s">
        <v>488</v>
      </c>
    </row>
    <row r="99" spans="1:20" x14ac:dyDescent="0.25">
      <c r="A99" t="s">
        <v>489</v>
      </c>
      <c r="B99" t="str">
        <f>"1287"</f>
        <v>1287</v>
      </c>
      <c r="C99" t="str">
        <f>"298941287"</f>
        <v>298941287</v>
      </c>
      <c r="D99" t="s">
        <v>327</v>
      </c>
      <c r="E99" t="s">
        <v>490</v>
      </c>
      <c r="F99" t="s">
        <v>239</v>
      </c>
      <c r="G99" s="1">
        <v>32426</v>
      </c>
      <c r="H99" s="1">
        <v>41827</v>
      </c>
      <c r="I99" t="str">
        <f>"30"</f>
        <v>30</v>
      </c>
      <c r="J99" t="s">
        <v>50</v>
      </c>
      <c r="K99" t="s">
        <v>25</v>
      </c>
      <c r="L99" t="s">
        <v>26</v>
      </c>
      <c r="M99" t="s">
        <v>27</v>
      </c>
      <c r="N99" s="1">
        <v>18629</v>
      </c>
      <c r="O99">
        <v>0</v>
      </c>
      <c r="P99">
        <v>0</v>
      </c>
      <c r="Q99" t="s">
        <v>37</v>
      </c>
      <c r="R99" t="s">
        <v>100</v>
      </c>
      <c r="S99" t="s">
        <v>491</v>
      </c>
      <c r="T99" t="s">
        <v>492</v>
      </c>
    </row>
    <row r="100" spans="1:20" x14ac:dyDescent="0.25">
      <c r="A100" t="s">
        <v>493</v>
      </c>
      <c r="B100" t="str">
        <f>"8379"</f>
        <v>8379</v>
      </c>
      <c r="C100" t="str">
        <f>"298868379"</f>
        <v>298868379</v>
      </c>
      <c r="D100" t="s">
        <v>494</v>
      </c>
      <c r="E100" t="s">
        <v>430</v>
      </c>
      <c r="F100" t="s">
        <v>28</v>
      </c>
      <c r="G100" s="1">
        <v>29087</v>
      </c>
      <c r="H100" s="1">
        <v>41827</v>
      </c>
      <c r="I100" t="str">
        <f>"12"</f>
        <v>12</v>
      </c>
      <c r="J100" t="s">
        <v>245</v>
      </c>
      <c r="K100" t="s">
        <v>98</v>
      </c>
      <c r="L100" t="s">
        <v>37</v>
      </c>
      <c r="M100" t="s">
        <v>99</v>
      </c>
      <c r="N100" s="1">
        <v>41827</v>
      </c>
      <c r="O100">
        <v>14801.8</v>
      </c>
      <c r="P100">
        <v>3700.32</v>
      </c>
      <c r="Q100" t="s">
        <v>28</v>
      </c>
      <c r="R100" t="s">
        <v>100</v>
      </c>
      <c r="S100" t="s">
        <v>495</v>
      </c>
      <c r="T100" t="s">
        <v>496</v>
      </c>
    </row>
    <row r="101" spans="1:20" x14ac:dyDescent="0.25">
      <c r="A101" t="s">
        <v>497</v>
      </c>
      <c r="B101" t="str">
        <f>"9087"</f>
        <v>9087</v>
      </c>
      <c r="C101" t="str">
        <f>"287829087"</f>
        <v>287829087</v>
      </c>
      <c r="D101" t="s">
        <v>498</v>
      </c>
      <c r="E101" t="s">
        <v>499</v>
      </c>
      <c r="F101" t="s">
        <v>56</v>
      </c>
      <c r="G101" s="1">
        <v>30904</v>
      </c>
      <c r="H101" s="1">
        <v>41827</v>
      </c>
      <c r="I101" t="str">
        <f>"03"</f>
        <v>03</v>
      </c>
      <c r="J101" t="s">
        <v>70</v>
      </c>
      <c r="K101" t="s">
        <v>98</v>
      </c>
      <c r="L101" t="s">
        <v>37</v>
      </c>
      <c r="M101" t="s">
        <v>117</v>
      </c>
      <c r="N101" s="1">
        <v>41827</v>
      </c>
      <c r="O101">
        <v>4951.96</v>
      </c>
      <c r="P101">
        <v>1237.8599999999999</v>
      </c>
      <c r="Q101" t="s">
        <v>28</v>
      </c>
      <c r="R101" t="s">
        <v>51</v>
      </c>
      <c r="S101" t="s">
        <v>500</v>
      </c>
      <c r="T101" t="s">
        <v>501</v>
      </c>
    </row>
    <row r="102" spans="1:20" x14ac:dyDescent="0.25">
      <c r="A102" t="s">
        <v>502</v>
      </c>
      <c r="B102" t="str">
        <f>"2717"</f>
        <v>2717</v>
      </c>
      <c r="C102" t="str">
        <f>"301962717"</f>
        <v>301962717</v>
      </c>
      <c r="D102" t="s">
        <v>503</v>
      </c>
      <c r="E102" t="s">
        <v>504</v>
      </c>
      <c r="G102" s="1">
        <v>34308</v>
      </c>
      <c r="H102" s="1">
        <v>41827</v>
      </c>
      <c r="I102" t="str">
        <f>"41"</f>
        <v>41</v>
      </c>
      <c r="J102" t="s">
        <v>24</v>
      </c>
      <c r="K102" t="s">
        <v>25</v>
      </c>
      <c r="L102" t="s">
        <v>26</v>
      </c>
      <c r="M102" t="s">
        <v>27</v>
      </c>
      <c r="N102" s="1">
        <v>18629</v>
      </c>
      <c r="O102">
        <v>0</v>
      </c>
      <c r="P102">
        <v>0</v>
      </c>
      <c r="Q102" t="s">
        <v>37</v>
      </c>
      <c r="R102" t="s">
        <v>71</v>
      </c>
      <c r="S102" t="s">
        <v>505</v>
      </c>
      <c r="T102" t="s">
        <v>506</v>
      </c>
    </row>
    <row r="103" spans="1:20" x14ac:dyDescent="0.25">
      <c r="A103" t="s">
        <v>507</v>
      </c>
      <c r="B103" t="str">
        <f>"1853"</f>
        <v>1853</v>
      </c>
      <c r="C103" t="str">
        <f>"225391853"</f>
        <v>225391853</v>
      </c>
      <c r="D103" t="s">
        <v>508</v>
      </c>
      <c r="E103" t="s">
        <v>173</v>
      </c>
      <c r="F103" t="s">
        <v>509</v>
      </c>
      <c r="G103" s="1">
        <v>31604</v>
      </c>
      <c r="H103" s="1">
        <v>41827</v>
      </c>
      <c r="I103" t="str">
        <f>"03"</f>
        <v>03</v>
      </c>
      <c r="J103" t="s">
        <v>70</v>
      </c>
      <c r="K103" t="s">
        <v>510</v>
      </c>
      <c r="L103" t="s">
        <v>37</v>
      </c>
      <c r="M103" t="s">
        <v>117</v>
      </c>
      <c r="N103" s="1">
        <v>41827</v>
      </c>
      <c r="O103">
        <v>6477.12</v>
      </c>
      <c r="P103">
        <v>1619.28</v>
      </c>
      <c r="Q103" t="s">
        <v>37</v>
      </c>
      <c r="R103" t="s">
        <v>100</v>
      </c>
      <c r="S103" t="s">
        <v>118</v>
      </c>
      <c r="T103" t="s">
        <v>119</v>
      </c>
    </row>
    <row r="104" spans="1:20" x14ac:dyDescent="0.25">
      <c r="A104" t="s">
        <v>511</v>
      </c>
      <c r="B104" t="str">
        <f>"8574"</f>
        <v>8574</v>
      </c>
      <c r="C104" t="str">
        <f>"493888574"</f>
        <v>493888574</v>
      </c>
      <c r="D104" t="s">
        <v>512</v>
      </c>
      <c r="E104" t="s">
        <v>513</v>
      </c>
      <c r="F104" t="s">
        <v>264</v>
      </c>
      <c r="G104" s="1">
        <v>24840</v>
      </c>
      <c r="H104" s="1">
        <v>41827</v>
      </c>
      <c r="I104" t="str">
        <f>"01"</f>
        <v>01</v>
      </c>
      <c r="J104" t="s">
        <v>116</v>
      </c>
      <c r="K104" t="s">
        <v>175</v>
      </c>
      <c r="L104" t="s">
        <v>37</v>
      </c>
      <c r="M104" t="s">
        <v>257</v>
      </c>
      <c r="N104" s="1">
        <v>41617</v>
      </c>
      <c r="O104">
        <v>11847.94</v>
      </c>
      <c r="P104">
        <v>2961.92</v>
      </c>
      <c r="Q104" t="s">
        <v>37</v>
      </c>
      <c r="R104" t="s">
        <v>29</v>
      </c>
      <c r="S104" t="s">
        <v>514</v>
      </c>
      <c r="T104" t="s">
        <v>515</v>
      </c>
    </row>
    <row r="105" spans="1:20" x14ac:dyDescent="0.25">
      <c r="A105" t="s">
        <v>516</v>
      </c>
      <c r="B105" t="str">
        <f>"2964"</f>
        <v>2964</v>
      </c>
      <c r="C105" t="str">
        <f>"270722964"</f>
        <v>270722964</v>
      </c>
      <c r="D105" t="s">
        <v>517</v>
      </c>
      <c r="E105" t="s">
        <v>518</v>
      </c>
      <c r="F105" t="s">
        <v>28</v>
      </c>
      <c r="G105" s="1">
        <v>23551</v>
      </c>
      <c r="H105" s="1">
        <v>41827</v>
      </c>
      <c r="I105" t="str">
        <f>"15"</f>
        <v>15</v>
      </c>
      <c r="J105" t="s">
        <v>36</v>
      </c>
      <c r="K105" t="s">
        <v>175</v>
      </c>
      <c r="L105" t="s">
        <v>37</v>
      </c>
      <c r="M105" t="s">
        <v>117</v>
      </c>
      <c r="N105" s="1">
        <v>41841</v>
      </c>
      <c r="O105">
        <v>5288.66</v>
      </c>
      <c r="P105">
        <v>1322.1</v>
      </c>
      <c r="Q105" t="s">
        <v>37</v>
      </c>
      <c r="R105" t="s">
        <v>29</v>
      </c>
      <c r="S105" t="s">
        <v>30</v>
      </c>
      <c r="T105" t="s">
        <v>31</v>
      </c>
    </row>
    <row r="106" spans="1:20" x14ac:dyDescent="0.25">
      <c r="A106" t="s">
        <v>519</v>
      </c>
      <c r="B106" t="str">
        <f>"5710"</f>
        <v>5710</v>
      </c>
      <c r="C106" t="str">
        <f>"280865710"</f>
        <v>280865710</v>
      </c>
      <c r="D106" t="s">
        <v>520</v>
      </c>
      <c r="E106" t="s">
        <v>521</v>
      </c>
      <c r="F106" t="s">
        <v>28</v>
      </c>
      <c r="G106" s="1">
        <v>27563</v>
      </c>
      <c r="H106" s="1">
        <v>41827</v>
      </c>
      <c r="I106" t="str">
        <f>"30"</f>
        <v>30</v>
      </c>
      <c r="J106" t="s">
        <v>50</v>
      </c>
      <c r="K106" t="s">
        <v>25</v>
      </c>
      <c r="L106" t="s">
        <v>26</v>
      </c>
      <c r="M106" t="s">
        <v>27</v>
      </c>
      <c r="N106" s="1">
        <v>18629</v>
      </c>
      <c r="O106">
        <v>0</v>
      </c>
      <c r="P106">
        <v>0</v>
      </c>
      <c r="Q106" t="s">
        <v>37</v>
      </c>
      <c r="R106" t="s">
        <v>71</v>
      </c>
      <c r="S106" t="s">
        <v>522</v>
      </c>
      <c r="T106" t="s">
        <v>523</v>
      </c>
    </row>
    <row r="107" spans="1:20" x14ac:dyDescent="0.25">
      <c r="A107" t="s">
        <v>524</v>
      </c>
      <c r="B107" t="str">
        <f>"5589"</f>
        <v>5589</v>
      </c>
      <c r="C107" t="str">
        <f>"295545589"</f>
        <v>295545589</v>
      </c>
      <c r="D107" t="s">
        <v>525</v>
      </c>
      <c r="E107" t="s">
        <v>526</v>
      </c>
      <c r="F107" t="s">
        <v>470</v>
      </c>
      <c r="G107" s="1">
        <v>23032</v>
      </c>
      <c r="H107" s="1">
        <v>41827</v>
      </c>
      <c r="I107" t="str">
        <f>"01"</f>
        <v>01</v>
      </c>
      <c r="J107" t="s">
        <v>116</v>
      </c>
      <c r="K107" t="s">
        <v>98</v>
      </c>
      <c r="L107" t="s">
        <v>37</v>
      </c>
      <c r="M107" t="s">
        <v>99</v>
      </c>
      <c r="N107" s="1">
        <v>41617</v>
      </c>
      <c r="O107">
        <v>14801.8</v>
      </c>
      <c r="P107">
        <v>3700.32</v>
      </c>
      <c r="Q107" t="s">
        <v>37</v>
      </c>
      <c r="R107" t="s">
        <v>29</v>
      </c>
      <c r="S107" t="s">
        <v>527</v>
      </c>
      <c r="T107" t="s">
        <v>528</v>
      </c>
    </row>
    <row r="108" spans="1:20" x14ac:dyDescent="0.25">
      <c r="A108" t="s">
        <v>529</v>
      </c>
      <c r="B108" t="str">
        <f>"5958"</f>
        <v>5958</v>
      </c>
      <c r="C108" t="str">
        <f>"198625958"</f>
        <v>198625958</v>
      </c>
      <c r="D108" t="s">
        <v>530</v>
      </c>
      <c r="E108" t="s">
        <v>531</v>
      </c>
      <c r="F108" t="s">
        <v>532</v>
      </c>
      <c r="G108" s="1">
        <v>29966</v>
      </c>
      <c r="H108" s="1">
        <v>41827</v>
      </c>
      <c r="I108" t="str">
        <f>"41"</f>
        <v>41</v>
      </c>
      <c r="J108" t="s">
        <v>24</v>
      </c>
      <c r="K108" t="s">
        <v>25</v>
      </c>
      <c r="L108" t="s">
        <v>26</v>
      </c>
      <c r="M108" t="s">
        <v>27</v>
      </c>
      <c r="N108" s="1">
        <v>18629</v>
      </c>
      <c r="O108">
        <v>0</v>
      </c>
      <c r="P108">
        <v>0</v>
      </c>
      <c r="Q108" t="s">
        <v>28</v>
      </c>
      <c r="R108" t="s">
        <v>258</v>
      </c>
      <c r="S108" t="s">
        <v>533</v>
      </c>
      <c r="T108" t="s">
        <v>534</v>
      </c>
    </row>
    <row r="109" spans="1:20" x14ac:dyDescent="0.25">
      <c r="A109" t="s">
        <v>535</v>
      </c>
      <c r="B109" t="str">
        <f>"3264"</f>
        <v>3264</v>
      </c>
      <c r="C109" t="str">
        <f>"297903264"</f>
        <v>297903264</v>
      </c>
      <c r="D109" t="s">
        <v>536</v>
      </c>
      <c r="E109" t="s">
        <v>537</v>
      </c>
      <c r="F109" t="s">
        <v>93</v>
      </c>
      <c r="G109" s="1">
        <v>31679</v>
      </c>
      <c r="H109" s="1">
        <v>41827</v>
      </c>
      <c r="I109" t="str">
        <f>"41"</f>
        <v>41</v>
      </c>
      <c r="J109" t="s">
        <v>24</v>
      </c>
      <c r="K109" t="s">
        <v>25</v>
      </c>
      <c r="L109" t="s">
        <v>26</v>
      </c>
      <c r="M109" t="s">
        <v>27</v>
      </c>
      <c r="N109" s="1">
        <v>18629</v>
      </c>
      <c r="O109">
        <v>0</v>
      </c>
      <c r="P109">
        <v>0</v>
      </c>
      <c r="Q109" t="s">
        <v>37</v>
      </c>
      <c r="R109" t="s">
        <v>51</v>
      </c>
      <c r="S109" t="s">
        <v>118</v>
      </c>
      <c r="T109" t="s">
        <v>119</v>
      </c>
    </row>
    <row r="110" spans="1:20" x14ac:dyDescent="0.25">
      <c r="A110" t="s">
        <v>538</v>
      </c>
      <c r="B110" t="str">
        <f>"5280"</f>
        <v>5280</v>
      </c>
      <c r="C110" t="str">
        <f>"271725280"</f>
        <v>271725280</v>
      </c>
      <c r="D110" t="s">
        <v>539</v>
      </c>
      <c r="E110" t="s">
        <v>540</v>
      </c>
      <c r="F110" t="s">
        <v>44</v>
      </c>
      <c r="G110" s="1">
        <v>23750</v>
      </c>
      <c r="H110" s="1">
        <v>41827</v>
      </c>
      <c r="I110" t="str">
        <f>"05"</f>
        <v>05</v>
      </c>
      <c r="J110" t="s">
        <v>58</v>
      </c>
      <c r="K110" t="s">
        <v>98</v>
      </c>
      <c r="L110" t="s">
        <v>37</v>
      </c>
      <c r="M110" t="s">
        <v>99</v>
      </c>
      <c r="N110" s="1">
        <v>41617</v>
      </c>
      <c r="O110">
        <v>14801.8</v>
      </c>
      <c r="P110">
        <v>3700.32</v>
      </c>
      <c r="Q110" t="s">
        <v>28</v>
      </c>
      <c r="R110" t="s">
        <v>51</v>
      </c>
      <c r="S110" t="s">
        <v>541</v>
      </c>
      <c r="T110" t="s">
        <v>542</v>
      </c>
    </row>
    <row r="111" spans="1:20" x14ac:dyDescent="0.25">
      <c r="A111" t="s">
        <v>543</v>
      </c>
      <c r="B111" t="str">
        <f>"2564"</f>
        <v>2564</v>
      </c>
      <c r="C111" t="str">
        <f>"289942564"</f>
        <v>289942564</v>
      </c>
      <c r="D111" t="s">
        <v>122</v>
      </c>
      <c r="E111" t="s">
        <v>544</v>
      </c>
      <c r="F111" t="s">
        <v>146</v>
      </c>
      <c r="G111" s="1">
        <v>33532</v>
      </c>
      <c r="H111" s="1">
        <v>41827</v>
      </c>
      <c r="I111" t="str">
        <f>"15"</f>
        <v>15</v>
      </c>
      <c r="J111" t="s">
        <v>36</v>
      </c>
      <c r="K111" t="s">
        <v>98</v>
      </c>
      <c r="L111" t="s">
        <v>37</v>
      </c>
      <c r="M111" t="s">
        <v>117</v>
      </c>
      <c r="N111" s="1">
        <v>41827</v>
      </c>
      <c r="O111">
        <v>4951.96</v>
      </c>
      <c r="P111">
        <v>1237.8599999999999</v>
      </c>
      <c r="Q111" t="s">
        <v>37</v>
      </c>
      <c r="R111" t="s">
        <v>38</v>
      </c>
      <c r="S111" t="s">
        <v>545</v>
      </c>
      <c r="T111" t="s">
        <v>546</v>
      </c>
    </row>
    <row r="112" spans="1:20" x14ac:dyDescent="0.25">
      <c r="A112" t="s">
        <v>547</v>
      </c>
      <c r="B112" t="str">
        <f>"7035"</f>
        <v>7035</v>
      </c>
      <c r="C112" t="str">
        <f>"282027035"</f>
        <v>282027035</v>
      </c>
      <c r="D112" t="s">
        <v>548</v>
      </c>
      <c r="E112" t="s">
        <v>549</v>
      </c>
      <c r="F112" t="s">
        <v>28</v>
      </c>
      <c r="G112" s="1">
        <v>35636</v>
      </c>
      <c r="H112" s="1">
        <v>41821</v>
      </c>
      <c r="I112" t="str">
        <f>"41"</f>
        <v>41</v>
      </c>
      <c r="J112" t="s">
        <v>24</v>
      </c>
      <c r="K112" t="s">
        <v>25</v>
      </c>
      <c r="L112" t="s">
        <v>26</v>
      </c>
      <c r="M112" t="s">
        <v>27</v>
      </c>
      <c r="N112" s="1">
        <v>18629</v>
      </c>
      <c r="O112">
        <v>0</v>
      </c>
      <c r="P112">
        <v>0</v>
      </c>
      <c r="Q112" t="s">
        <v>28</v>
      </c>
      <c r="R112" t="s">
        <v>29</v>
      </c>
      <c r="S112" t="s">
        <v>550</v>
      </c>
      <c r="T112" t="s">
        <v>551</v>
      </c>
    </row>
    <row r="113" spans="1:20" x14ac:dyDescent="0.25">
      <c r="A113" t="s">
        <v>552</v>
      </c>
      <c r="B113" t="str">
        <f>"0579"</f>
        <v>0579</v>
      </c>
      <c r="C113" t="str">
        <f>"269740579"</f>
        <v>269740579</v>
      </c>
      <c r="D113" t="s">
        <v>553</v>
      </c>
      <c r="E113" t="s">
        <v>554</v>
      </c>
      <c r="F113" t="s">
        <v>264</v>
      </c>
      <c r="G113" s="1">
        <v>22905</v>
      </c>
      <c r="H113" s="1">
        <v>41820</v>
      </c>
      <c r="I113" t="str">
        <f>"52"</f>
        <v>52</v>
      </c>
      <c r="J113" t="s">
        <v>330</v>
      </c>
      <c r="K113" t="s">
        <v>25</v>
      </c>
      <c r="L113" t="s">
        <v>26</v>
      </c>
      <c r="M113" t="s">
        <v>27</v>
      </c>
      <c r="N113" s="1">
        <v>18629</v>
      </c>
      <c r="O113">
        <v>0</v>
      </c>
      <c r="P113">
        <v>0</v>
      </c>
      <c r="Q113" t="s">
        <v>37</v>
      </c>
      <c r="R113" t="s">
        <v>71</v>
      </c>
      <c r="S113" t="s">
        <v>336</v>
      </c>
      <c r="T113" t="s">
        <v>337</v>
      </c>
    </row>
    <row r="114" spans="1:20" x14ac:dyDescent="0.25">
      <c r="A114" t="s">
        <v>555</v>
      </c>
      <c r="B114" t="str">
        <f>"7406"</f>
        <v>7406</v>
      </c>
      <c r="C114" t="str">
        <f>"261767406"</f>
        <v>261767406</v>
      </c>
      <c r="D114" t="s">
        <v>335</v>
      </c>
      <c r="E114" t="s">
        <v>179</v>
      </c>
      <c r="F114" t="s">
        <v>556</v>
      </c>
      <c r="G114" s="1">
        <v>16860</v>
      </c>
      <c r="H114" s="1">
        <v>41820</v>
      </c>
      <c r="I114" t="str">
        <f>"01"</f>
        <v>01</v>
      </c>
      <c r="J114" t="s">
        <v>116</v>
      </c>
      <c r="K114" t="s">
        <v>98</v>
      </c>
      <c r="L114" t="s">
        <v>37</v>
      </c>
      <c r="M114" t="s">
        <v>117</v>
      </c>
      <c r="N114" s="1">
        <v>41841</v>
      </c>
      <c r="O114">
        <v>4951.96</v>
      </c>
      <c r="P114">
        <v>1237.8599999999999</v>
      </c>
      <c r="Q114" t="s">
        <v>28</v>
      </c>
      <c r="R114" t="s">
        <v>29</v>
      </c>
      <c r="S114" t="s">
        <v>557</v>
      </c>
      <c r="T114" t="s">
        <v>558</v>
      </c>
    </row>
    <row r="115" spans="1:20" x14ac:dyDescent="0.25">
      <c r="A115" t="s">
        <v>559</v>
      </c>
      <c r="B115" t="str">
        <f>"5030"</f>
        <v>5030</v>
      </c>
      <c r="C115" t="str">
        <f>"302765030"</f>
        <v>302765030</v>
      </c>
      <c r="D115" t="s">
        <v>560</v>
      </c>
      <c r="E115" t="s">
        <v>561</v>
      </c>
      <c r="F115" t="s">
        <v>97</v>
      </c>
      <c r="G115" s="1">
        <v>26703</v>
      </c>
      <c r="H115" s="1">
        <v>41820</v>
      </c>
      <c r="I115" t="str">
        <f>"41"</f>
        <v>41</v>
      </c>
      <c r="J115" t="s">
        <v>24</v>
      </c>
      <c r="K115" t="s">
        <v>25</v>
      </c>
      <c r="L115" t="s">
        <v>26</v>
      </c>
      <c r="M115" t="s">
        <v>27</v>
      </c>
      <c r="N115" s="1">
        <v>18629</v>
      </c>
      <c r="O115">
        <v>0</v>
      </c>
      <c r="P115">
        <v>0</v>
      </c>
      <c r="Q115" t="s">
        <v>37</v>
      </c>
      <c r="R115" t="s">
        <v>71</v>
      </c>
      <c r="S115" t="s">
        <v>203</v>
      </c>
      <c r="T115" t="s">
        <v>204</v>
      </c>
    </row>
    <row r="116" spans="1:20" x14ac:dyDescent="0.25">
      <c r="A116" t="s">
        <v>562</v>
      </c>
      <c r="B116" t="str">
        <f>"8367"</f>
        <v>8367</v>
      </c>
      <c r="C116" t="str">
        <f>"288748367"</f>
        <v>288748367</v>
      </c>
      <c r="D116" t="s">
        <v>563</v>
      </c>
      <c r="E116" t="s">
        <v>564</v>
      </c>
      <c r="F116" t="s">
        <v>565</v>
      </c>
      <c r="G116" s="1">
        <v>28672</v>
      </c>
      <c r="H116" s="1">
        <v>41820</v>
      </c>
      <c r="I116" t="str">
        <f>"12"</f>
        <v>12</v>
      </c>
      <c r="J116" t="s">
        <v>245</v>
      </c>
      <c r="K116" t="s">
        <v>98</v>
      </c>
      <c r="L116" t="s">
        <v>37</v>
      </c>
      <c r="M116" t="s">
        <v>117</v>
      </c>
      <c r="N116" s="1">
        <v>41617</v>
      </c>
      <c r="O116">
        <v>4951.96</v>
      </c>
      <c r="P116">
        <v>1237.8599999999999</v>
      </c>
      <c r="Q116" t="s">
        <v>37</v>
      </c>
      <c r="R116" t="s">
        <v>38</v>
      </c>
      <c r="S116" t="s">
        <v>566</v>
      </c>
      <c r="T116" t="s">
        <v>567</v>
      </c>
    </row>
    <row r="117" spans="1:20" x14ac:dyDescent="0.25">
      <c r="A117" t="s">
        <v>568</v>
      </c>
      <c r="B117" t="str">
        <f>"2895"</f>
        <v>2895</v>
      </c>
      <c r="C117" t="str">
        <f>"284962895"</f>
        <v>284962895</v>
      </c>
      <c r="D117" t="s">
        <v>475</v>
      </c>
      <c r="E117" t="s">
        <v>569</v>
      </c>
      <c r="F117" t="s">
        <v>264</v>
      </c>
      <c r="G117" s="1">
        <v>34175</v>
      </c>
      <c r="H117" s="1">
        <v>41813</v>
      </c>
      <c r="I117" t="str">
        <f>"34"</f>
        <v>34</v>
      </c>
      <c r="J117" t="s">
        <v>388</v>
      </c>
      <c r="K117" t="s">
        <v>25</v>
      </c>
      <c r="L117" t="s">
        <v>26</v>
      </c>
      <c r="M117" t="s">
        <v>27</v>
      </c>
      <c r="N117" s="1">
        <v>18629</v>
      </c>
      <c r="O117">
        <v>0</v>
      </c>
      <c r="P117">
        <v>0</v>
      </c>
      <c r="Q117" t="s">
        <v>28</v>
      </c>
      <c r="R117" t="s">
        <v>71</v>
      </c>
      <c r="S117" t="s">
        <v>570</v>
      </c>
      <c r="T117" t="s">
        <v>571</v>
      </c>
    </row>
    <row r="118" spans="1:20" x14ac:dyDescent="0.25">
      <c r="A118" t="s">
        <v>572</v>
      </c>
      <c r="B118" t="str">
        <f>"5802"</f>
        <v>5802</v>
      </c>
      <c r="C118" t="str">
        <f>"274765802"</f>
        <v>274765802</v>
      </c>
      <c r="D118" t="s">
        <v>573</v>
      </c>
      <c r="E118" t="s">
        <v>574</v>
      </c>
      <c r="F118" t="s">
        <v>358</v>
      </c>
      <c r="G118" s="1">
        <v>29288</v>
      </c>
      <c r="H118" s="1">
        <v>41813</v>
      </c>
      <c r="I118" t="str">
        <f>"03"</f>
        <v>03</v>
      </c>
      <c r="J118" t="s">
        <v>70</v>
      </c>
      <c r="L118" t="s">
        <v>37</v>
      </c>
      <c r="M118" t="s">
        <v>143</v>
      </c>
      <c r="N118" s="1">
        <v>41827</v>
      </c>
      <c r="O118">
        <v>185.9</v>
      </c>
      <c r="P118">
        <v>-185.9</v>
      </c>
      <c r="Q118" t="s">
        <v>37</v>
      </c>
      <c r="R118" t="s">
        <v>51</v>
      </c>
      <c r="S118" t="s">
        <v>118</v>
      </c>
      <c r="T118" t="s">
        <v>119</v>
      </c>
    </row>
    <row r="119" spans="1:20" x14ac:dyDescent="0.25">
      <c r="A119" t="s">
        <v>575</v>
      </c>
      <c r="B119" t="str">
        <f>"1773"</f>
        <v>1773</v>
      </c>
      <c r="C119" t="str">
        <f>"290801773"</f>
        <v>290801773</v>
      </c>
      <c r="D119" t="s">
        <v>576</v>
      </c>
      <c r="E119" t="s">
        <v>178</v>
      </c>
      <c r="F119" t="s">
        <v>93</v>
      </c>
      <c r="G119" s="1">
        <v>30100</v>
      </c>
      <c r="H119" s="1">
        <v>41813</v>
      </c>
      <c r="I119" t="str">
        <f>"03"</f>
        <v>03</v>
      </c>
      <c r="J119" t="s">
        <v>70</v>
      </c>
      <c r="K119" t="s">
        <v>98</v>
      </c>
      <c r="L119" t="s">
        <v>37</v>
      </c>
      <c r="M119" t="s">
        <v>117</v>
      </c>
      <c r="N119" s="1">
        <v>41617</v>
      </c>
      <c r="O119">
        <v>4951.96</v>
      </c>
      <c r="P119">
        <v>1237.8599999999999</v>
      </c>
      <c r="Q119" t="s">
        <v>28</v>
      </c>
      <c r="R119" t="s">
        <v>71</v>
      </c>
      <c r="S119" t="s">
        <v>118</v>
      </c>
      <c r="T119" t="s">
        <v>119</v>
      </c>
    </row>
    <row r="120" spans="1:20" x14ac:dyDescent="0.25">
      <c r="A120" t="s">
        <v>577</v>
      </c>
      <c r="B120" t="str">
        <f>"4666"</f>
        <v>4666</v>
      </c>
      <c r="C120" t="str">
        <f>"293464666"</f>
        <v>293464666</v>
      </c>
      <c r="D120" t="s">
        <v>578</v>
      </c>
      <c r="E120" t="s">
        <v>35</v>
      </c>
      <c r="G120" s="1">
        <v>18780</v>
      </c>
      <c r="H120" s="1">
        <v>41813</v>
      </c>
      <c r="I120" t="str">
        <f>"12"</f>
        <v>12</v>
      </c>
      <c r="J120" t="s">
        <v>245</v>
      </c>
      <c r="K120" t="s">
        <v>98</v>
      </c>
      <c r="L120" t="s">
        <v>37</v>
      </c>
      <c r="M120" t="s">
        <v>99</v>
      </c>
      <c r="N120" s="1">
        <v>41813</v>
      </c>
      <c r="O120">
        <v>14801.8</v>
      </c>
      <c r="P120">
        <v>3700.32</v>
      </c>
      <c r="Q120" t="s">
        <v>28</v>
      </c>
      <c r="R120" t="s">
        <v>51</v>
      </c>
      <c r="S120" t="s">
        <v>579</v>
      </c>
      <c r="T120" t="s">
        <v>580</v>
      </c>
    </row>
    <row r="121" spans="1:20" x14ac:dyDescent="0.25">
      <c r="A121" t="s">
        <v>581</v>
      </c>
      <c r="B121" t="str">
        <f>"6629"</f>
        <v>6629</v>
      </c>
      <c r="C121" t="str">
        <f>"288886629"</f>
        <v>288886629</v>
      </c>
      <c r="D121" t="s">
        <v>582</v>
      </c>
      <c r="E121" t="s">
        <v>583</v>
      </c>
      <c r="F121" t="s">
        <v>414</v>
      </c>
      <c r="G121" s="1">
        <v>29614</v>
      </c>
      <c r="H121" s="1">
        <v>41813</v>
      </c>
      <c r="I121" t="str">
        <f>"03"</f>
        <v>03</v>
      </c>
      <c r="J121" t="s">
        <v>70</v>
      </c>
      <c r="L121" t="s">
        <v>37</v>
      </c>
      <c r="M121" t="s">
        <v>143</v>
      </c>
      <c r="N121" s="1">
        <v>41659</v>
      </c>
      <c r="O121">
        <v>185.9</v>
      </c>
      <c r="P121">
        <v>-185.9</v>
      </c>
      <c r="Q121" t="s">
        <v>37</v>
      </c>
      <c r="R121" t="s">
        <v>29</v>
      </c>
      <c r="S121" t="s">
        <v>584</v>
      </c>
      <c r="T121" t="s">
        <v>585</v>
      </c>
    </row>
    <row r="122" spans="1:20" x14ac:dyDescent="0.25">
      <c r="A122" t="s">
        <v>586</v>
      </c>
      <c r="B122" t="str">
        <f>"5813"</f>
        <v>5813</v>
      </c>
      <c r="C122" t="str">
        <f>"291845813"</f>
        <v>291845813</v>
      </c>
      <c r="D122" t="s">
        <v>587</v>
      </c>
      <c r="E122" t="s">
        <v>588</v>
      </c>
      <c r="F122" t="s">
        <v>26</v>
      </c>
      <c r="G122" s="1">
        <v>27695</v>
      </c>
      <c r="H122" s="1">
        <v>41813</v>
      </c>
      <c r="I122" t="str">
        <f>"41"</f>
        <v>41</v>
      </c>
      <c r="J122" t="s">
        <v>24</v>
      </c>
      <c r="K122" t="s">
        <v>25</v>
      </c>
      <c r="L122" t="s">
        <v>26</v>
      </c>
      <c r="M122" t="s">
        <v>27</v>
      </c>
      <c r="N122" s="1">
        <v>18629</v>
      </c>
      <c r="O122">
        <v>0</v>
      </c>
      <c r="P122">
        <v>0</v>
      </c>
      <c r="Q122" t="s">
        <v>28</v>
      </c>
      <c r="R122" t="s">
        <v>29</v>
      </c>
      <c r="S122" t="s">
        <v>589</v>
      </c>
      <c r="T122" t="s">
        <v>590</v>
      </c>
    </row>
    <row r="123" spans="1:20" x14ac:dyDescent="0.25">
      <c r="A123" t="s">
        <v>591</v>
      </c>
      <c r="B123" t="str">
        <f>"5328"</f>
        <v>5328</v>
      </c>
      <c r="C123" t="str">
        <f>"132425328"</f>
        <v>132425328</v>
      </c>
      <c r="D123" t="s">
        <v>592</v>
      </c>
      <c r="E123" t="s">
        <v>593</v>
      </c>
      <c r="F123" t="s">
        <v>97</v>
      </c>
      <c r="G123" s="1">
        <v>21349</v>
      </c>
      <c r="H123" s="1">
        <v>41813</v>
      </c>
      <c r="I123" t="str">
        <f>"05"</f>
        <v>05</v>
      </c>
      <c r="J123" t="s">
        <v>58</v>
      </c>
      <c r="L123" t="s">
        <v>37</v>
      </c>
      <c r="M123" t="s">
        <v>143</v>
      </c>
      <c r="N123" s="1">
        <v>41841</v>
      </c>
      <c r="O123">
        <v>185.9</v>
      </c>
      <c r="P123">
        <v>-185.9</v>
      </c>
      <c r="Q123" t="s">
        <v>28</v>
      </c>
      <c r="R123" t="s">
        <v>29</v>
      </c>
      <c r="S123" t="s">
        <v>594</v>
      </c>
      <c r="T123" t="s">
        <v>595</v>
      </c>
    </row>
    <row r="124" spans="1:20" x14ac:dyDescent="0.25">
      <c r="A124" t="s">
        <v>596</v>
      </c>
      <c r="B124" t="str">
        <f>"2636"</f>
        <v>2636</v>
      </c>
      <c r="C124" t="str">
        <f>"301782636"</f>
        <v>301782636</v>
      </c>
      <c r="D124" t="s">
        <v>597</v>
      </c>
      <c r="E124" t="s">
        <v>598</v>
      </c>
      <c r="F124" t="s">
        <v>28</v>
      </c>
      <c r="G124" s="1">
        <v>29995</v>
      </c>
      <c r="H124" s="1">
        <v>41806</v>
      </c>
      <c r="I124" t="str">
        <f>"12"</f>
        <v>12</v>
      </c>
      <c r="J124" t="s">
        <v>245</v>
      </c>
      <c r="K124" t="s">
        <v>98</v>
      </c>
      <c r="L124" t="s">
        <v>37</v>
      </c>
      <c r="M124" t="s">
        <v>117</v>
      </c>
      <c r="N124" s="1">
        <v>41813</v>
      </c>
      <c r="O124">
        <v>4951.96</v>
      </c>
      <c r="P124">
        <v>1237.8599999999999</v>
      </c>
      <c r="Q124" t="s">
        <v>37</v>
      </c>
      <c r="R124" t="s">
        <v>599</v>
      </c>
      <c r="S124" t="s">
        <v>600</v>
      </c>
      <c r="T124" t="s">
        <v>601</v>
      </c>
    </row>
    <row r="125" spans="1:20" x14ac:dyDescent="0.25">
      <c r="A125" t="s">
        <v>602</v>
      </c>
      <c r="B125" t="str">
        <f>"3905"</f>
        <v>3905</v>
      </c>
      <c r="C125" t="str">
        <f>"363663905"</f>
        <v>363663905</v>
      </c>
      <c r="D125" t="s">
        <v>603</v>
      </c>
      <c r="E125" t="s">
        <v>604</v>
      </c>
      <c r="G125" s="1">
        <v>25039</v>
      </c>
      <c r="H125" s="1">
        <v>41806</v>
      </c>
      <c r="I125" t="str">
        <f>"01"</f>
        <v>01</v>
      </c>
      <c r="J125" t="s">
        <v>116</v>
      </c>
      <c r="K125" t="s">
        <v>510</v>
      </c>
      <c r="L125" t="s">
        <v>37</v>
      </c>
      <c r="M125" t="s">
        <v>99</v>
      </c>
      <c r="N125" s="1">
        <v>41813</v>
      </c>
      <c r="O125">
        <v>19521.84</v>
      </c>
      <c r="P125">
        <v>4880.46</v>
      </c>
      <c r="Q125" t="s">
        <v>37</v>
      </c>
      <c r="R125" t="s">
        <v>258</v>
      </c>
      <c r="S125" t="s">
        <v>605</v>
      </c>
      <c r="T125" t="s">
        <v>606</v>
      </c>
    </row>
    <row r="126" spans="1:20" x14ac:dyDescent="0.25">
      <c r="A126" t="s">
        <v>607</v>
      </c>
      <c r="B126" t="str">
        <f>"3798"</f>
        <v>3798</v>
      </c>
      <c r="C126" t="str">
        <f>"271543798"</f>
        <v>271543798</v>
      </c>
      <c r="D126" t="s">
        <v>608</v>
      </c>
      <c r="E126" t="s">
        <v>609</v>
      </c>
      <c r="F126" t="s">
        <v>438</v>
      </c>
      <c r="G126" s="1">
        <v>20164</v>
      </c>
      <c r="H126" s="1">
        <v>41806</v>
      </c>
      <c r="I126" t="str">
        <f>"41"</f>
        <v>41</v>
      </c>
      <c r="J126" t="s">
        <v>24</v>
      </c>
      <c r="K126" t="s">
        <v>25</v>
      </c>
      <c r="L126" t="s">
        <v>26</v>
      </c>
      <c r="M126" t="s">
        <v>27</v>
      </c>
      <c r="N126" s="1">
        <v>18629</v>
      </c>
      <c r="O126">
        <v>0</v>
      </c>
      <c r="P126">
        <v>0</v>
      </c>
      <c r="Q126" t="s">
        <v>28</v>
      </c>
      <c r="R126" t="s">
        <v>71</v>
      </c>
      <c r="S126" t="s">
        <v>610</v>
      </c>
      <c r="T126" t="s">
        <v>611</v>
      </c>
    </row>
    <row r="127" spans="1:20" x14ac:dyDescent="0.25">
      <c r="A127" t="s">
        <v>612</v>
      </c>
      <c r="B127" t="str">
        <f>"9554"</f>
        <v>9554</v>
      </c>
      <c r="C127" t="str">
        <f>"301949554"</f>
        <v>301949554</v>
      </c>
      <c r="D127" t="s">
        <v>613</v>
      </c>
      <c r="E127" t="s">
        <v>614</v>
      </c>
      <c r="F127" t="s">
        <v>44</v>
      </c>
      <c r="G127" s="1">
        <v>33766</v>
      </c>
      <c r="H127" s="1">
        <v>41806</v>
      </c>
      <c r="I127" t="str">
        <f>"34"</f>
        <v>34</v>
      </c>
      <c r="J127" t="s">
        <v>388</v>
      </c>
      <c r="K127" t="s">
        <v>25</v>
      </c>
      <c r="L127" t="s">
        <v>26</v>
      </c>
      <c r="M127" t="s">
        <v>27</v>
      </c>
      <c r="N127" s="1">
        <v>18629</v>
      </c>
      <c r="O127">
        <v>0</v>
      </c>
      <c r="P127">
        <v>0</v>
      </c>
      <c r="Q127" t="s">
        <v>37</v>
      </c>
      <c r="R127" t="s">
        <v>258</v>
      </c>
      <c r="S127" t="s">
        <v>615</v>
      </c>
      <c r="T127" t="s">
        <v>616</v>
      </c>
    </row>
    <row r="128" spans="1:20" x14ac:dyDescent="0.25">
      <c r="A128" t="s">
        <v>617</v>
      </c>
      <c r="B128" t="str">
        <f>"1968"</f>
        <v>1968</v>
      </c>
      <c r="C128" t="str">
        <f>"286781968"</f>
        <v>286781968</v>
      </c>
      <c r="D128" t="s">
        <v>618</v>
      </c>
      <c r="E128" t="s">
        <v>619</v>
      </c>
      <c r="F128" t="s">
        <v>44</v>
      </c>
      <c r="G128" s="1">
        <v>29780</v>
      </c>
      <c r="H128" s="1">
        <v>41806</v>
      </c>
      <c r="I128" t="str">
        <f>"05"</f>
        <v>05</v>
      </c>
      <c r="J128" t="s">
        <v>58</v>
      </c>
      <c r="K128" t="s">
        <v>98</v>
      </c>
      <c r="L128" t="s">
        <v>37</v>
      </c>
      <c r="M128" t="s">
        <v>117</v>
      </c>
      <c r="N128" s="1">
        <v>41827</v>
      </c>
      <c r="O128">
        <v>4951.96</v>
      </c>
      <c r="P128">
        <v>1237.8599999999999</v>
      </c>
      <c r="Q128" t="s">
        <v>37</v>
      </c>
      <c r="R128" t="s">
        <v>51</v>
      </c>
      <c r="S128" t="s">
        <v>620</v>
      </c>
      <c r="T128" t="s">
        <v>621</v>
      </c>
    </row>
    <row r="129" spans="1:20" x14ac:dyDescent="0.25">
      <c r="A129" t="s">
        <v>622</v>
      </c>
      <c r="B129" t="str">
        <f>"0774"</f>
        <v>0774</v>
      </c>
      <c r="C129" t="str">
        <f>"280960774"</f>
        <v>280960774</v>
      </c>
      <c r="D129" t="s">
        <v>623</v>
      </c>
      <c r="E129" t="s">
        <v>624</v>
      </c>
      <c r="F129" t="s">
        <v>625</v>
      </c>
      <c r="G129" s="1">
        <v>34080</v>
      </c>
      <c r="H129" s="1">
        <v>41806</v>
      </c>
      <c r="I129" t="str">
        <f>"34"</f>
        <v>34</v>
      </c>
      <c r="J129" t="s">
        <v>388</v>
      </c>
      <c r="K129" t="s">
        <v>25</v>
      </c>
      <c r="L129" t="s">
        <v>26</v>
      </c>
      <c r="M129" t="s">
        <v>27</v>
      </c>
      <c r="N129" s="1">
        <v>18629</v>
      </c>
      <c r="O129">
        <v>0</v>
      </c>
      <c r="P129">
        <v>0</v>
      </c>
      <c r="Q129" t="s">
        <v>28</v>
      </c>
      <c r="R129" t="s">
        <v>258</v>
      </c>
      <c r="S129" t="s">
        <v>615</v>
      </c>
      <c r="T129" t="s">
        <v>616</v>
      </c>
    </row>
    <row r="130" spans="1:20" x14ac:dyDescent="0.25">
      <c r="A130" t="s">
        <v>626</v>
      </c>
      <c r="B130" t="str">
        <f>"9937"</f>
        <v>9937</v>
      </c>
      <c r="C130" t="str">
        <f>"335909937"</f>
        <v>335909937</v>
      </c>
      <c r="D130" t="s">
        <v>627</v>
      </c>
      <c r="E130" t="s">
        <v>628</v>
      </c>
      <c r="F130" t="s">
        <v>629</v>
      </c>
      <c r="G130" s="1">
        <v>34496</v>
      </c>
      <c r="H130" s="1">
        <v>41806</v>
      </c>
      <c r="I130" t="str">
        <f>"34"</f>
        <v>34</v>
      </c>
      <c r="J130" t="s">
        <v>388</v>
      </c>
      <c r="K130" t="s">
        <v>25</v>
      </c>
      <c r="L130" t="s">
        <v>26</v>
      </c>
      <c r="M130" t="s">
        <v>27</v>
      </c>
      <c r="N130" s="1">
        <v>18629</v>
      </c>
      <c r="O130">
        <v>0</v>
      </c>
      <c r="P130">
        <v>0</v>
      </c>
      <c r="Q130" t="s">
        <v>37</v>
      </c>
      <c r="R130" t="s">
        <v>29</v>
      </c>
      <c r="S130" t="s">
        <v>630</v>
      </c>
      <c r="T130" t="s">
        <v>631</v>
      </c>
    </row>
    <row r="131" spans="1:20" x14ac:dyDescent="0.25">
      <c r="A131" t="s">
        <v>632</v>
      </c>
      <c r="B131" t="str">
        <f>"8847"</f>
        <v>8847</v>
      </c>
      <c r="C131" t="str">
        <f>"286688847"</f>
        <v>286688847</v>
      </c>
      <c r="D131" t="s">
        <v>633</v>
      </c>
      <c r="E131" t="s">
        <v>634</v>
      </c>
      <c r="F131" t="s">
        <v>37</v>
      </c>
      <c r="G131" s="1">
        <v>23801</v>
      </c>
      <c r="H131" s="1">
        <v>41801</v>
      </c>
      <c r="I131" t="str">
        <f>"15"</f>
        <v>15</v>
      </c>
      <c r="J131" t="s">
        <v>36</v>
      </c>
      <c r="K131" t="s">
        <v>98</v>
      </c>
      <c r="L131" t="s">
        <v>37</v>
      </c>
      <c r="M131" t="s">
        <v>117</v>
      </c>
      <c r="N131" s="1">
        <v>41813</v>
      </c>
      <c r="O131">
        <v>4951.96</v>
      </c>
      <c r="P131">
        <v>1237.8599999999999</v>
      </c>
      <c r="Q131" t="s">
        <v>37</v>
      </c>
      <c r="R131" t="s">
        <v>110</v>
      </c>
      <c r="S131" t="s">
        <v>635</v>
      </c>
      <c r="T131" t="s">
        <v>636</v>
      </c>
    </row>
    <row r="132" spans="1:20" x14ac:dyDescent="0.25">
      <c r="A132" t="s">
        <v>637</v>
      </c>
      <c r="B132" t="str">
        <f>"6779"</f>
        <v>6779</v>
      </c>
      <c r="C132" t="str">
        <f>"296966779"</f>
        <v>296966779</v>
      </c>
      <c r="D132" t="s">
        <v>638</v>
      </c>
      <c r="E132" t="s">
        <v>639</v>
      </c>
      <c r="F132" t="s">
        <v>69</v>
      </c>
      <c r="G132" s="1">
        <v>34373</v>
      </c>
      <c r="H132" s="1">
        <v>41799</v>
      </c>
      <c r="I132" t="str">
        <f>"34"</f>
        <v>34</v>
      </c>
      <c r="J132" t="s">
        <v>388</v>
      </c>
      <c r="K132" t="s">
        <v>25</v>
      </c>
      <c r="L132" t="s">
        <v>26</v>
      </c>
      <c r="M132" t="s">
        <v>27</v>
      </c>
      <c r="N132" s="1">
        <v>18629</v>
      </c>
      <c r="O132">
        <v>0</v>
      </c>
      <c r="P132">
        <v>0</v>
      </c>
      <c r="Q132" t="s">
        <v>37</v>
      </c>
      <c r="R132" t="s">
        <v>38</v>
      </c>
      <c r="S132" t="s">
        <v>389</v>
      </c>
      <c r="T132" t="s">
        <v>390</v>
      </c>
    </row>
    <row r="133" spans="1:20" x14ac:dyDescent="0.25">
      <c r="A133" t="s">
        <v>640</v>
      </c>
      <c r="B133" t="str">
        <f>"8181"</f>
        <v>8181</v>
      </c>
      <c r="C133" t="str">
        <f>"275568181"</f>
        <v>275568181</v>
      </c>
      <c r="D133" t="s">
        <v>641</v>
      </c>
      <c r="E133" t="s">
        <v>642</v>
      </c>
      <c r="G133" s="1">
        <v>20620</v>
      </c>
      <c r="H133" s="1">
        <v>41799</v>
      </c>
      <c r="I133" t="str">
        <f>"41"</f>
        <v>41</v>
      </c>
      <c r="J133" t="s">
        <v>24</v>
      </c>
      <c r="K133" t="s">
        <v>25</v>
      </c>
      <c r="L133" t="s">
        <v>26</v>
      </c>
      <c r="M133" t="s">
        <v>27</v>
      </c>
      <c r="N133" s="1">
        <v>18629</v>
      </c>
      <c r="O133">
        <v>0</v>
      </c>
      <c r="P133">
        <v>0</v>
      </c>
      <c r="Q133" t="s">
        <v>28</v>
      </c>
      <c r="R133" t="s">
        <v>29</v>
      </c>
      <c r="S133" t="s">
        <v>30</v>
      </c>
      <c r="T133" t="s">
        <v>31</v>
      </c>
    </row>
    <row r="134" spans="1:20" x14ac:dyDescent="0.25">
      <c r="A134" t="s">
        <v>643</v>
      </c>
      <c r="B134" t="str">
        <f>"6551"</f>
        <v>6551</v>
      </c>
      <c r="C134" t="str">
        <f>"286526551"</f>
        <v>286526551</v>
      </c>
      <c r="D134" t="s">
        <v>644</v>
      </c>
      <c r="E134" t="s">
        <v>49</v>
      </c>
      <c r="F134" t="s">
        <v>219</v>
      </c>
      <c r="G134" s="1">
        <v>19808</v>
      </c>
      <c r="H134" s="1">
        <v>41799</v>
      </c>
      <c r="I134" t="str">
        <f>"51"</f>
        <v>51</v>
      </c>
      <c r="J134" t="s">
        <v>471</v>
      </c>
      <c r="K134" t="s">
        <v>25</v>
      </c>
      <c r="L134" t="s">
        <v>26</v>
      </c>
      <c r="M134" t="s">
        <v>27</v>
      </c>
      <c r="N134" s="1">
        <v>18629</v>
      </c>
      <c r="O134">
        <v>0</v>
      </c>
      <c r="P134">
        <v>0</v>
      </c>
      <c r="Q134" t="s">
        <v>37</v>
      </c>
      <c r="R134" t="s">
        <v>71</v>
      </c>
      <c r="S134" t="s">
        <v>645</v>
      </c>
      <c r="T134" t="s">
        <v>646</v>
      </c>
    </row>
    <row r="135" spans="1:20" x14ac:dyDescent="0.25">
      <c r="A135" t="s">
        <v>647</v>
      </c>
      <c r="B135" t="str">
        <f>"3734"</f>
        <v>3734</v>
      </c>
      <c r="C135" t="str">
        <f>"286503734"</f>
        <v>286503734</v>
      </c>
      <c r="D135" t="s">
        <v>648</v>
      </c>
      <c r="E135" t="s">
        <v>649</v>
      </c>
      <c r="F135" t="s">
        <v>26</v>
      </c>
      <c r="G135" s="1">
        <v>18611</v>
      </c>
      <c r="H135" s="1">
        <v>41799</v>
      </c>
      <c r="I135" t="str">
        <f>"08"</f>
        <v>08</v>
      </c>
      <c r="J135" t="s">
        <v>265</v>
      </c>
      <c r="K135" t="s">
        <v>98</v>
      </c>
      <c r="L135" t="s">
        <v>37</v>
      </c>
      <c r="M135" t="s">
        <v>257</v>
      </c>
      <c r="N135" s="1">
        <v>41813</v>
      </c>
      <c r="O135">
        <v>10753.08</v>
      </c>
      <c r="P135">
        <v>2688.4</v>
      </c>
      <c r="Q135" t="s">
        <v>28</v>
      </c>
      <c r="R135" t="s">
        <v>51</v>
      </c>
      <c r="S135" t="s">
        <v>650</v>
      </c>
      <c r="T135" t="s">
        <v>651</v>
      </c>
    </row>
    <row r="136" spans="1:20" x14ac:dyDescent="0.25">
      <c r="A136" t="s">
        <v>652</v>
      </c>
      <c r="B136" t="str">
        <f>"3399"</f>
        <v>3399</v>
      </c>
      <c r="C136" t="str">
        <f>"259373399"</f>
        <v>259373399</v>
      </c>
      <c r="D136" t="s">
        <v>653</v>
      </c>
      <c r="E136" t="s">
        <v>654</v>
      </c>
      <c r="G136" s="1">
        <v>24880</v>
      </c>
      <c r="H136" s="1">
        <v>41799</v>
      </c>
      <c r="I136" t="str">
        <f>"30"</f>
        <v>30</v>
      </c>
      <c r="J136" t="s">
        <v>50</v>
      </c>
      <c r="K136" t="s">
        <v>25</v>
      </c>
      <c r="L136" t="s">
        <v>26</v>
      </c>
      <c r="M136" t="s">
        <v>27</v>
      </c>
      <c r="N136" s="1">
        <v>18629</v>
      </c>
      <c r="O136">
        <v>0</v>
      </c>
      <c r="P136">
        <v>0</v>
      </c>
      <c r="Q136" t="s">
        <v>37</v>
      </c>
      <c r="R136" t="s">
        <v>100</v>
      </c>
      <c r="S136" t="s">
        <v>655</v>
      </c>
      <c r="T136" t="s">
        <v>656</v>
      </c>
    </row>
    <row r="137" spans="1:20" x14ac:dyDescent="0.25">
      <c r="A137" t="s">
        <v>657</v>
      </c>
      <c r="B137" t="str">
        <f>"6995"</f>
        <v>6995</v>
      </c>
      <c r="C137" t="str">
        <f>"302906995"</f>
        <v>302906995</v>
      </c>
      <c r="D137" t="s">
        <v>658</v>
      </c>
      <c r="E137" t="s">
        <v>659</v>
      </c>
      <c r="F137" t="s">
        <v>438</v>
      </c>
      <c r="G137" s="1">
        <v>32089</v>
      </c>
      <c r="H137" s="1">
        <v>41799</v>
      </c>
      <c r="I137" t="str">
        <f>"05"</f>
        <v>05</v>
      </c>
      <c r="J137" t="s">
        <v>58</v>
      </c>
      <c r="K137" t="s">
        <v>98</v>
      </c>
      <c r="L137" t="s">
        <v>37</v>
      </c>
      <c r="M137" t="s">
        <v>99</v>
      </c>
      <c r="N137" s="1">
        <v>41799</v>
      </c>
      <c r="O137">
        <v>14801.8</v>
      </c>
      <c r="P137">
        <v>3700.32</v>
      </c>
      <c r="Q137" t="s">
        <v>37</v>
      </c>
      <c r="R137" t="s">
        <v>71</v>
      </c>
      <c r="S137" t="s">
        <v>660</v>
      </c>
      <c r="T137" t="s">
        <v>661</v>
      </c>
    </row>
    <row r="138" spans="1:20" x14ac:dyDescent="0.25">
      <c r="A138" t="s">
        <v>662</v>
      </c>
      <c r="B138" t="str">
        <f>"7744"</f>
        <v>7744</v>
      </c>
      <c r="C138" t="str">
        <f>"325907744"</f>
        <v>325907744</v>
      </c>
      <c r="D138" t="s">
        <v>663</v>
      </c>
      <c r="E138" t="s">
        <v>664</v>
      </c>
      <c r="G138" s="1">
        <v>34377</v>
      </c>
      <c r="H138" s="1">
        <v>41799</v>
      </c>
      <c r="I138" t="str">
        <f>"34"</f>
        <v>34</v>
      </c>
      <c r="J138" t="s">
        <v>388</v>
      </c>
      <c r="K138" t="s">
        <v>25</v>
      </c>
      <c r="L138" t="s">
        <v>26</v>
      </c>
      <c r="M138" t="s">
        <v>27</v>
      </c>
      <c r="N138" s="1">
        <v>18629</v>
      </c>
      <c r="O138">
        <v>0</v>
      </c>
      <c r="P138">
        <v>0</v>
      </c>
      <c r="Q138" t="s">
        <v>28</v>
      </c>
      <c r="R138" t="s">
        <v>29</v>
      </c>
      <c r="S138" t="s">
        <v>630</v>
      </c>
      <c r="T138" t="s">
        <v>631</v>
      </c>
    </row>
    <row r="139" spans="1:20" x14ac:dyDescent="0.25">
      <c r="A139" t="s">
        <v>665</v>
      </c>
      <c r="B139" t="str">
        <f>"9035"</f>
        <v>9035</v>
      </c>
      <c r="C139" t="str">
        <f>"285509035"</f>
        <v>285509035</v>
      </c>
      <c r="D139" t="s">
        <v>666</v>
      </c>
      <c r="E139" t="s">
        <v>667</v>
      </c>
      <c r="F139" t="s">
        <v>214</v>
      </c>
      <c r="G139" s="1">
        <v>22278</v>
      </c>
      <c r="H139" s="1">
        <v>41799</v>
      </c>
      <c r="I139" t="str">
        <f>"42"</f>
        <v>42</v>
      </c>
      <c r="J139" t="s">
        <v>367</v>
      </c>
      <c r="K139" t="s">
        <v>25</v>
      </c>
      <c r="L139" t="s">
        <v>26</v>
      </c>
      <c r="M139" t="s">
        <v>27</v>
      </c>
      <c r="N139" s="1">
        <v>18629</v>
      </c>
      <c r="O139">
        <v>0</v>
      </c>
      <c r="P139">
        <v>0</v>
      </c>
      <c r="Q139" t="s">
        <v>28</v>
      </c>
      <c r="R139" t="s">
        <v>599</v>
      </c>
      <c r="S139" t="s">
        <v>668</v>
      </c>
      <c r="T139" t="s">
        <v>669</v>
      </c>
    </row>
    <row r="140" spans="1:20" x14ac:dyDescent="0.25">
      <c r="A140" t="s">
        <v>670</v>
      </c>
      <c r="B140" t="str">
        <f>"7383"</f>
        <v>7383</v>
      </c>
      <c r="C140" t="str">
        <f>"296967383"</f>
        <v>296967383</v>
      </c>
      <c r="D140" t="s">
        <v>671</v>
      </c>
      <c r="E140" t="s">
        <v>672</v>
      </c>
      <c r="F140" t="s">
        <v>609</v>
      </c>
      <c r="G140" s="1">
        <v>34354</v>
      </c>
      <c r="H140" s="1">
        <v>41799</v>
      </c>
      <c r="I140" t="str">
        <f>"42"</f>
        <v>42</v>
      </c>
      <c r="J140" t="s">
        <v>367</v>
      </c>
      <c r="K140" t="s">
        <v>25</v>
      </c>
      <c r="L140" t="s">
        <v>26</v>
      </c>
      <c r="M140" t="s">
        <v>27</v>
      </c>
      <c r="N140" s="1">
        <v>18629</v>
      </c>
      <c r="O140">
        <v>0</v>
      </c>
      <c r="P140">
        <v>0</v>
      </c>
      <c r="Q140" t="s">
        <v>28</v>
      </c>
      <c r="R140" t="s">
        <v>71</v>
      </c>
      <c r="S140" t="s">
        <v>570</v>
      </c>
      <c r="T140" t="s">
        <v>571</v>
      </c>
    </row>
    <row r="141" spans="1:20" x14ac:dyDescent="0.25">
      <c r="A141" t="s">
        <v>673</v>
      </c>
      <c r="B141" t="str">
        <f>"6417"</f>
        <v>6417</v>
      </c>
      <c r="C141" t="str">
        <f>"298266417"</f>
        <v>298266417</v>
      </c>
      <c r="D141" t="s">
        <v>674</v>
      </c>
      <c r="E141" t="s">
        <v>675</v>
      </c>
      <c r="F141" t="s">
        <v>256</v>
      </c>
      <c r="G141" s="1">
        <v>11621</v>
      </c>
      <c r="H141" s="1">
        <v>41799</v>
      </c>
      <c r="I141" t="str">
        <f>"33"</f>
        <v>33</v>
      </c>
      <c r="J141" t="s">
        <v>45</v>
      </c>
      <c r="K141" t="s">
        <v>25</v>
      </c>
      <c r="L141" t="s">
        <v>26</v>
      </c>
      <c r="M141" t="s">
        <v>27</v>
      </c>
      <c r="N141" s="1">
        <v>18629</v>
      </c>
      <c r="O141">
        <v>0</v>
      </c>
      <c r="P141">
        <v>0</v>
      </c>
      <c r="Q141" t="s">
        <v>37</v>
      </c>
      <c r="R141" t="s">
        <v>71</v>
      </c>
      <c r="S141" t="s">
        <v>203</v>
      </c>
      <c r="T141" t="s">
        <v>204</v>
      </c>
    </row>
    <row r="142" spans="1:20" x14ac:dyDescent="0.25">
      <c r="A142" t="s">
        <v>676</v>
      </c>
      <c r="B142" t="str">
        <f>"8551"</f>
        <v>8551</v>
      </c>
      <c r="C142" t="str">
        <f>"295728551"</f>
        <v>295728551</v>
      </c>
      <c r="D142" t="s">
        <v>677</v>
      </c>
      <c r="E142" t="s">
        <v>197</v>
      </c>
      <c r="F142" t="s">
        <v>174</v>
      </c>
      <c r="G142" s="1">
        <v>26352</v>
      </c>
      <c r="H142" s="1">
        <v>41799</v>
      </c>
      <c r="I142" t="str">
        <f>"01"</f>
        <v>01</v>
      </c>
      <c r="J142" t="s">
        <v>116</v>
      </c>
      <c r="K142" t="s">
        <v>98</v>
      </c>
      <c r="L142" t="s">
        <v>37</v>
      </c>
      <c r="M142" t="s">
        <v>117</v>
      </c>
      <c r="N142" s="1">
        <v>41785</v>
      </c>
      <c r="O142">
        <v>4951.96</v>
      </c>
      <c r="P142">
        <v>1237.8599999999999</v>
      </c>
      <c r="Q142" t="s">
        <v>28</v>
      </c>
      <c r="R142" t="s">
        <v>29</v>
      </c>
      <c r="S142" t="s">
        <v>678</v>
      </c>
      <c r="T142" t="s">
        <v>679</v>
      </c>
    </row>
    <row r="143" spans="1:20" x14ac:dyDescent="0.25">
      <c r="A143" t="s">
        <v>680</v>
      </c>
      <c r="B143" t="str">
        <f>"7484"</f>
        <v>7484</v>
      </c>
      <c r="C143" t="str">
        <f>"268567484"</f>
        <v>268567484</v>
      </c>
      <c r="D143" t="s">
        <v>681</v>
      </c>
      <c r="E143" t="s">
        <v>682</v>
      </c>
      <c r="F143" t="s">
        <v>28</v>
      </c>
      <c r="G143" s="1">
        <v>20019</v>
      </c>
      <c r="H143" s="1">
        <v>41799</v>
      </c>
      <c r="I143" t="str">
        <f>"05"</f>
        <v>05</v>
      </c>
      <c r="J143" t="s">
        <v>58</v>
      </c>
      <c r="K143" t="s">
        <v>98</v>
      </c>
      <c r="L143" t="s">
        <v>37</v>
      </c>
      <c r="M143" t="s">
        <v>117</v>
      </c>
      <c r="N143" s="1">
        <v>41813</v>
      </c>
      <c r="O143">
        <v>4951.96</v>
      </c>
      <c r="P143">
        <v>1237.8599999999999</v>
      </c>
      <c r="Q143" t="s">
        <v>37</v>
      </c>
      <c r="R143" t="s">
        <v>51</v>
      </c>
      <c r="S143" s="2" t="s">
        <v>683</v>
      </c>
      <c r="T143" t="s">
        <v>684</v>
      </c>
    </row>
    <row r="144" spans="1:20" x14ac:dyDescent="0.25">
      <c r="A144" t="s">
        <v>685</v>
      </c>
      <c r="B144" t="str">
        <f>"8875"</f>
        <v>8875</v>
      </c>
      <c r="C144" t="str">
        <f>"765508875"</f>
        <v>765508875</v>
      </c>
      <c r="D144" t="s">
        <v>686</v>
      </c>
      <c r="E144" t="s">
        <v>687</v>
      </c>
      <c r="G144" s="1">
        <v>20041</v>
      </c>
      <c r="H144" s="1">
        <v>41792</v>
      </c>
      <c r="I144" t="str">
        <f>"52"</f>
        <v>52</v>
      </c>
      <c r="J144" t="s">
        <v>330</v>
      </c>
      <c r="K144" t="s">
        <v>25</v>
      </c>
      <c r="L144" t="s">
        <v>26</v>
      </c>
      <c r="M144" t="s">
        <v>27</v>
      </c>
      <c r="N144" s="1">
        <v>18629</v>
      </c>
      <c r="O144">
        <v>0</v>
      </c>
      <c r="P144">
        <v>0</v>
      </c>
      <c r="Q144" t="s">
        <v>37</v>
      </c>
      <c r="R144" t="s">
        <v>29</v>
      </c>
      <c r="S144" t="s">
        <v>300</v>
      </c>
      <c r="T144" t="s">
        <v>301</v>
      </c>
    </row>
    <row r="145" spans="1:20" x14ac:dyDescent="0.25">
      <c r="A145" t="s">
        <v>688</v>
      </c>
      <c r="B145" t="str">
        <f>"6642"</f>
        <v>6642</v>
      </c>
      <c r="C145" t="str">
        <f>"275926642"</f>
        <v>275926642</v>
      </c>
      <c r="D145" t="s">
        <v>689</v>
      </c>
      <c r="E145" t="s">
        <v>690</v>
      </c>
      <c r="G145" s="1">
        <v>32834</v>
      </c>
      <c r="H145" s="1">
        <v>41792</v>
      </c>
      <c r="I145" t="str">
        <f>"52"</f>
        <v>52</v>
      </c>
      <c r="J145" t="s">
        <v>330</v>
      </c>
      <c r="K145" t="s">
        <v>25</v>
      </c>
      <c r="L145" t="s">
        <v>26</v>
      </c>
      <c r="M145" t="s">
        <v>27</v>
      </c>
      <c r="N145" s="1">
        <v>18629</v>
      </c>
      <c r="O145">
        <v>0</v>
      </c>
      <c r="P145">
        <v>0</v>
      </c>
      <c r="Q145" t="s">
        <v>37</v>
      </c>
      <c r="R145" t="s">
        <v>29</v>
      </c>
      <c r="S145" t="s">
        <v>691</v>
      </c>
      <c r="T145" t="s">
        <v>692</v>
      </c>
    </row>
    <row r="146" spans="1:20" x14ac:dyDescent="0.25">
      <c r="A146" t="s">
        <v>693</v>
      </c>
      <c r="B146" t="str">
        <f>"6283"</f>
        <v>6283</v>
      </c>
      <c r="C146" t="str">
        <f>"180466283"</f>
        <v>180466283</v>
      </c>
      <c r="D146" t="s">
        <v>694</v>
      </c>
      <c r="E146" t="s">
        <v>609</v>
      </c>
      <c r="F146" t="s">
        <v>282</v>
      </c>
      <c r="G146" s="1">
        <v>19759</v>
      </c>
      <c r="H146" s="1">
        <v>41792</v>
      </c>
      <c r="I146" t="str">
        <f>"52"</f>
        <v>52</v>
      </c>
      <c r="J146" t="s">
        <v>330</v>
      </c>
      <c r="K146" t="s">
        <v>25</v>
      </c>
      <c r="L146" t="s">
        <v>26</v>
      </c>
      <c r="M146" t="s">
        <v>27</v>
      </c>
      <c r="N146" s="1">
        <v>18629</v>
      </c>
      <c r="O146">
        <v>0</v>
      </c>
      <c r="P146">
        <v>0</v>
      </c>
      <c r="Q146" t="s">
        <v>28</v>
      </c>
      <c r="R146" t="s">
        <v>29</v>
      </c>
      <c r="S146" t="s">
        <v>695</v>
      </c>
      <c r="T146" t="s">
        <v>696</v>
      </c>
    </row>
    <row r="147" spans="1:20" x14ac:dyDescent="0.25">
      <c r="A147" t="s">
        <v>697</v>
      </c>
      <c r="B147" t="str">
        <f>"5497"</f>
        <v>5497</v>
      </c>
      <c r="C147" t="str">
        <f>"068415497"</f>
        <v>068415497</v>
      </c>
      <c r="D147" t="s">
        <v>698</v>
      </c>
      <c r="E147" t="s">
        <v>699</v>
      </c>
      <c r="G147" s="1">
        <v>31280</v>
      </c>
      <c r="H147" s="1">
        <v>41792</v>
      </c>
      <c r="I147" t="str">
        <f>"52"</f>
        <v>52</v>
      </c>
      <c r="J147" t="s">
        <v>330</v>
      </c>
      <c r="K147" t="s">
        <v>25</v>
      </c>
      <c r="L147" t="s">
        <v>26</v>
      </c>
      <c r="M147" t="s">
        <v>27</v>
      </c>
      <c r="N147" s="1">
        <v>18629</v>
      </c>
      <c r="O147">
        <v>0</v>
      </c>
      <c r="P147">
        <v>0</v>
      </c>
      <c r="Q147" t="s">
        <v>37</v>
      </c>
      <c r="R147" t="s">
        <v>29</v>
      </c>
      <c r="S147" t="s">
        <v>691</v>
      </c>
      <c r="T147" t="s">
        <v>692</v>
      </c>
    </row>
    <row r="148" spans="1:20" x14ac:dyDescent="0.25">
      <c r="A148" t="s">
        <v>700</v>
      </c>
      <c r="B148" t="str">
        <f>"4534"</f>
        <v>4534</v>
      </c>
      <c r="C148" t="str">
        <f>"291864534"</f>
        <v>291864534</v>
      </c>
      <c r="D148" t="s">
        <v>663</v>
      </c>
      <c r="E148" t="s">
        <v>701</v>
      </c>
      <c r="F148" t="s">
        <v>44</v>
      </c>
      <c r="G148" s="1">
        <v>31962</v>
      </c>
      <c r="H148" s="1">
        <v>41792</v>
      </c>
      <c r="I148" t="str">
        <f>"52"</f>
        <v>52</v>
      </c>
      <c r="J148" t="s">
        <v>330</v>
      </c>
      <c r="K148" t="s">
        <v>25</v>
      </c>
      <c r="L148" t="s">
        <v>26</v>
      </c>
      <c r="M148" t="s">
        <v>27</v>
      </c>
      <c r="N148" s="1">
        <v>18629</v>
      </c>
      <c r="O148">
        <v>0</v>
      </c>
      <c r="P148">
        <v>0</v>
      </c>
      <c r="Q148" t="s">
        <v>37</v>
      </c>
      <c r="R148" t="s">
        <v>258</v>
      </c>
      <c r="S148" t="s">
        <v>678</v>
      </c>
      <c r="T148" t="s">
        <v>679</v>
      </c>
    </row>
    <row r="149" spans="1:20" x14ac:dyDescent="0.25">
      <c r="A149" t="s">
        <v>702</v>
      </c>
      <c r="B149" t="str">
        <f>"2652"</f>
        <v>2652</v>
      </c>
      <c r="C149" t="str">
        <f>"269702652"</f>
        <v>269702652</v>
      </c>
      <c r="D149" t="s">
        <v>703</v>
      </c>
      <c r="E149" t="s">
        <v>704</v>
      </c>
      <c r="F149" t="s">
        <v>264</v>
      </c>
      <c r="G149" s="1">
        <v>27772</v>
      </c>
      <c r="H149" s="1">
        <v>41792</v>
      </c>
      <c r="I149" t="str">
        <f>"51"</f>
        <v>51</v>
      </c>
      <c r="J149" t="s">
        <v>471</v>
      </c>
      <c r="K149" t="s">
        <v>25</v>
      </c>
      <c r="L149" t="s">
        <v>26</v>
      </c>
      <c r="M149" t="s">
        <v>27</v>
      </c>
      <c r="N149" s="1">
        <v>18629</v>
      </c>
      <c r="O149">
        <v>0</v>
      </c>
      <c r="P149">
        <v>0</v>
      </c>
      <c r="Q149" t="s">
        <v>28</v>
      </c>
      <c r="R149" t="s">
        <v>29</v>
      </c>
      <c r="S149" t="s">
        <v>472</v>
      </c>
      <c r="T149" t="s">
        <v>473</v>
      </c>
    </row>
    <row r="150" spans="1:20" x14ac:dyDescent="0.25">
      <c r="A150" t="s">
        <v>705</v>
      </c>
      <c r="B150" t="str">
        <f>"1048"</f>
        <v>1048</v>
      </c>
      <c r="C150" t="str">
        <f>"275321048"</f>
        <v>275321048</v>
      </c>
      <c r="D150" t="s">
        <v>706</v>
      </c>
      <c r="E150" t="s">
        <v>33</v>
      </c>
      <c r="F150" t="s">
        <v>26</v>
      </c>
      <c r="G150" s="1">
        <v>14074</v>
      </c>
      <c r="H150" s="1">
        <v>41792</v>
      </c>
      <c r="I150" t="str">
        <f>"52"</f>
        <v>52</v>
      </c>
      <c r="J150" t="s">
        <v>330</v>
      </c>
      <c r="K150" t="s">
        <v>25</v>
      </c>
      <c r="L150" t="s">
        <v>26</v>
      </c>
      <c r="M150" t="s">
        <v>27</v>
      </c>
      <c r="N150" s="1">
        <v>18629</v>
      </c>
      <c r="O150">
        <v>0</v>
      </c>
      <c r="P150">
        <v>0</v>
      </c>
      <c r="Q150" t="s">
        <v>28</v>
      </c>
      <c r="R150" t="s">
        <v>258</v>
      </c>
      <c r="S150" t="s">
        <v>695</v>
      </c>
      <c r="T150" t="s">
        <v>696</v>
      </c>
    </row>
    <row r="151" spans="1:20" x14ac:dyDescent="0.25">
      <c r="A151" t="s">
        <v>707</v>
      </c>
      <c r="B151" t="str">
        <f>"8004"</f>
        <v>8004</v>
      </c>
      <c r="C151" t="str">
        <f>"136648004"</f>
        <v>136648004</v>
      </c>
      <c r="D151" t="s">
        <v>708</v>
      </c>
      <c r="E151" t="s">
        <v>709</v>
      </c>
      <c r="F151" t="s">
        <v>710</v>
      </c>
      <c r="G151" s="1">
        <v>27815</v>
      </c>
      <c r="H151" s="1">
        <v>41792</v>
      </c>
      <c r="I151" t="str">
        <f>"52"</f>
        <v>52</v>
      </c>
      <c r="J151" t="s">
        <v>330</v>
      </c>
      <c r="K151" t="s">
        <v>25</v>
      </c>
      <c r="L151" t="s">
        <v>26</v>
      </c>
      <c r="M151" t="s">
        <v>27</v>
      </c>
      <c r="N151" s="1">
        <v>18629</v>
      </c>
      <c r="O151">
        <v>0</v>
      </c>
      <c r="P151">
        <v>0</v>
      </c>
      <c r="Q151" t="s">
        <v>37</v>
      </c>
      <c r="R151" t="s">
        <v>258</v>
      </c>
      <c r="S151" t="s">
        <v>678</v>
      </c>
      <c r="T151" t="s">
        <v>679</v>
      </c>
    </row>
    <row r="152" spans="1:20" x14ac:dyDescent="0.25">
      <c r="A152" t="s">
        <v>711</v>
      </c>
      <c r="B152" t="str">
        <f>"5555"</f>
        <v>5555</v>
      </c>
      <c r="C152" t="str">
        <f>"296745555"</f>
        <v>296745555</v>
      </c>
      <c r="D152" t="s">
        <v>712</v>
      </c>
      <c r="E152" t="s">
        <v>713</v>
      </c>
      <c r="F152" t="s">
        <v>93</v>
      </c>
      <c r="G152" s="1">
        <v>28211</v>
      </c>
      <c r="H152" s="1">
        <v>41792</v>
      </c>
      <c r="I152" t="str">
        <f>"52"</f>
        <v>52</v>
      </c>
      <c r="J152" t="s">
        <v>330</v>
      </c>
      <c r="K152" t="s">
        <v>25</v>
      </c>
      <c r="L152" t="s">
        <v>26</v>
      </c>
      <c r="M152" t="s">
        <v>27</v>
      </c>
      <c r="N152" s="1">
        <v>18629</v>
      </c>
      <c r="O152">
        <v>0</v>
      </c>
      <c r="P152">
        <v>0</v>
      </c>
      <c r="Q152" t="s">
        <v>37</v>
      </c>
      <c r="R152" t="s">
        <v>258</v>
      </c>
      <c r="S152" t="s">
        <v>678</v>
      </c>
      <c r="T152" t="s">
        <v>679</v>
      </c>
    </row>
    <row r="153" spans="1:20" x14ac:dyDescent="0.25">
      <c r="A153" t="s">
        <v>714</v>
      </c>
      <c r="B153" t="str">
        <f>"3442"</f>
        <v>3442</v>
      </c>
      <c r="C153" t="str">
        <f>"138803442"</f>
        <v>138803442</v>
      </c>
      <c r="D153" t="s">
        <v>715</v>
      </c>
      <c r="E153" t="s">
        <v>716</v>
      </c>
      <c r="F153" t="s">
        <v>329</v>
      </c>
      <c r="G153" s="1">
        <v>22382</v>
      </c>
      <c r="H153" s="1">
        <v>41792</v>
      </c>
      <c r="I153" t="str">
        <f>"01"</f>
        <v>01</v>
      </c>
      <c r="J153" t="s">
        <v>116</v>
      </c>
      <c r="K153" t="s">
        <v>98</v>
      </c>
      <c r="L153" t="s">
        <v>37</v>
      </c>
      <c r="M153" t="s">
        <v>99</v>
      </c>
      <c r="N153" s="1">
        <v>41813</v>
      </c>
      <c r="O153">
        <v>14801.8</v>
      </c>
      <c r="P153">
        <v>3700.32</v>
      </c>
      <c r="Q153" t="s">
        <v>28</v>
      </c>
      <c r="R153" t="s">
        <v>29</v>
      </c>
      <c r="S153" t="s">
        <v>717</v>
      </c>
      <c r="T153" t="s">
        <v>718</v>
      </c>
    </row>
    <row r="154" spans="1:20" x14ac:dyDescent="0.25">
      <c r="A154" t="s">
        <v>719</v>
      </c>
      <c r="B154" t="str">
        <f>"1991"</f>
        <v>1991</v>
      </c>
      <c r="C154" t="str">
        <f>"269941991"</f>
        <v>269941991</v>
      </c>
      <c r="D154" t="s">
        <v>720</v>
      </c>
      <c r="E154" t="s">
        <v>721</v>
      </c>
      <c r="F154" t="s">
        <v>722</v>
      </c>
      <c r="G154" s="1">
        <v>33389</v>
      </c>
      <c r="H154" s="1">
        <v>41791</v>
      </c>
      <c r="I154" t="str">
        <f>"41"</f>
        <v>41</v>
      </c>
      <c r="J154" t="s">
        <v>24</v>
      </c>
      <c r="K154" t="s">
        <v>25</v>
      </c>
      <c r="L154" t="s">
        <v>26</v>
      </c>
      <c r="M154" t="s">
        <v>27</v>
      </c>
      <c r="N154" s="1">
        <v>18629</v>
      </c>
      <c r="O154">
        <v>0</v>
      </c>
      <c r="P154">
        <v>0</v>
      </c>
      <c r="Q154" t="s">
        <v>28</v>
      </c>
      <c r="R154" t="s">
        <v>71</v>
      </c>
      <c r="S154" t="s">
        <v>402</v>
      </c>
      <c r="T154" t="s">
        <v>403</v>
      </c>
    </row>
    <row r="155" spans="1:20" x14ac:dyDescent="0.25">
      <c r="A155" t="s">
        <v>723</v>
      </c>
      <c r="B155" t="str">
        <f>"5536"</f>
        <v>5536</v>
      </c>
      <c r="C155" t="str">
        <f>"291965536"</f>
        <v>291965536</v>
      </c>
      <c r="D155" t="s">
        <v>724</v>
      </c>
      <c r="E155" t="s">
        <v>725</v>
      </c>
      <c r="F155" t="s">
        <v>282</v>
      </c>
      <c r="G155" s="1">
        <v>34410</v>
      </c>
      <c r="H155" s="1">
        <v>41789</v>
      </c>
      <c r="I155" t="str">
        <f>"34"</f>
        <v>34</v>
      </c>
      <c r="J155" t="s">
        <v>388</v>
      </c>
      <c r="K155" t="s">
        <v>25</v>
      </c>
      <c r="L155" t="s">
        <v>26</v>
      </c>
      <c r="M155" t="s">
        <v>27</v>
      </c>
      <c r="N155" s="1">
        <v>18629</v>
      </c>
      <c r="O155">
        <v>0</v>
      </c>
      <c r="P155">
        <v>0</v>
      </c>
      <c r="Q155" t="s">
        <v>28</v>
      </c>
      <c r="R155" t="s">
        <v>258</v>
      </c>
      <c r="S155" t="s">
        <v>419</v>
      </c>
      <c r="T155" t="s">
        <v>420</v>
      </c>
    </row>
    <row r="156" spans="1:20" x14ac:dyDescent="0.25">
      <c r="A156" t="s">
        <v>726</v>
      </c>
      <c r="B156" t="str">
        <f>"5744"</f>
        <v>5744</v>
      </c>
      <c r="C156" t="str">
        <f>"302325744"</f>
        <v>302325744</v>
      </c>
      <c r="D156" t="s">
        <v>727</v>
      </c>
      <c r="E156" t="s">
        <v>721</v>
      </c>
      <c r="G156" s="1">
        <v>13706</v>
      </c>
      <c r="H156" s="1">
        <v>41787</v>
      </c>
      <c r="I156" t="str">
        <f>"51"</f>
        <v>51</v>
      </c>
      <c r="J156" t="s">
        <v>471</v>
      </c>
      <c r="K156" t="s">
        <v>25</v>
      </c>
      <c r="L156" t="s">
        <v>26</v>
      </c>
      <c r="M156" t="s">
        <v>27</v>
      </c>
      <c r="N156" s="1">
        <v>18629</v>
      </c>
      <c r="O156">
        <v>0</v>
      </c>
      <c r="P156">
        <v>0</v>
      </c>
      <c r="Q156" t="s">
        <v>28</v>
      </c>
      <c r="R156" t="s">
        <v>100</v>
      </c>
      <c r="S156" t="s">
        <v>728</v>
      </c>
      <c r="T156" t="s">
        <v>729</v>
      </c>
    </row>
    <row r="157" spans="1:20" x14ac:dyDescent="0.25">
      <c r="A157" t="s">
        <v>730</v>
      </c>
      <c r="B157" t="str">
        <f>"5492"</f>
        <v>5492</v>
      </c>
      <c r="C157" t="str">
        <f>"619145492"</f>
        <v>619145492</v>
      </c>
      <c r="D157" t="s">
        <v>731</v>
      </c>
      <c r="E157" t="s">
        <v>732</v>
      </c>
      <c r="F157" t="s">
        <v>438</v>
      </c>
      <c r="G157" s="1">
        <v>28394</v>
      </c>
      <c r="H157" s="1">
        <v>41786</v>
      </c>
      <c r="I157" t="str">
        <f>"51"</f>
        <v>51</v>
      </c>
      <c r="J157" t="s">
        <v>471</v>
      </c>
      <c r="K157" t="s">
        <v>25</v>
      </c>
      <c r="L157" t="s">
        <v>26</v>
      </c>
      <c r="M157" t="s">
        <v>27</v>
      </c>
      <c r="N157" s="1">
        <v>18629</v>
      </c>
      <c r="O157">
        <v>0</v>
      </c>
      <c r="P157">
        <v>0</v>
      </c>
      <c r="Q157" t="s">
        <v>28</v>
      </c>
      <c r="R157" t="s">
        <v>29</v>
      </c>
      <c r="S157" t="s">
        <v>733</v>
      </c>
      <c r="T157" t="s">
        <v>734</v>
      </c>
    </row>
    <row r="158" spans="1:20" x14ac:dyDescent="0.25">
      <c r="A158" t="s">
        <v>735</v>
      </c>
      <c r="B158" t="str">
        <f>"2320"</f>
        <v>2320</v>
      </c>
      <c r="C158" t="str">
        <f>"270902320"</f>
        <v>270902320</v>
      </c>
      <c r="D158" t="s">
        <v>736</v>
      </c>
      <c r="E158" t="s">
        <v>106</v>
      </c>
      <c r="F158" t="s">
        <v>56</v>
      </c>
      <c r="G158" s="1">
        <v>32434</v>
      </c>
      <c r="H158" s="1">
        <v>41786</v>
      </c>
      <c r="I158" t="str">
        <f>"30"</f>
        <v>30</v>
      </c>
      <c r="J158" t="s">
        <v>50</v>
      </c>
      <c r="K158" t="s">
        <v>25</v>
      </c>
      <c r="L158" t="s">
        <v>26</v>
      </c>
      <c r="M158" t="s">
        <v>27</v>
      </c>
      <c r="N158" s="1">
        <v>18629</v>
      </c>
      <c r="O158">
        <v>0</v>
      </c>
      <c r="P158">
        <v>0</v>
      </c>
      <c r="Q158" t="s">
        <v>28</v>
      </c>
      <c r="R158" t="s">
        <v>71</v>
      </c>
      <c r="S158" t="s">
        <v>737</v>
      </c>
      <c r="T158" t="s">
        <v>738</v>
      </c>
    </row>
    <row r="159" spans="1:20" x14ac:dyDescent="0.25">
      <c r="A159" t="s">
        <v>739</v>
      </c>
      <c r="B159" t="str">
        <f>"9225"</f>
        <v>9225</v>
      </c>
      <c r="C159" t="str">
        <f>"771829225"</f>
        <v>771829225</v>
      </c>
      <c r="D159" t="s">
        <v>740</v>
      </c>
      <c r="E159" t="s">
        <v>741</v>
      </c>
      <c r="G159" s="1">
        <v>28361</v>
      </c>
      <c r="H159" s="1">
        <v>41786</v>
      </c>
      <c r="I159" t="str">
        <f>"51"</f>
        <v>51</v>
      </c>
      <c r="J159" t="s">
        <v>471</v>
      </c>
      <c r="K159" t="s">
        <v>25</v>
      </c>
      <c r="L159" t="s">
        <v>26</v>
      </c>
      <c r="M159" t="s">
        <v>27</v>
      </c>
      <c r="N159" s="1">
        <v>18629</v>
      </c>
      <c r="O159">
        <v>0</v>
      </c>
      <c r="P159">
        <v>0</v>
      </c>
      <c r="Q159" t="s">
        <v>37</v>
      </c>
      <c r="R159" t="s">
        <v>51</v>
      </c>
      <c r="S159" s="2" t="s">
        <v>742</v>
      </c>
      <c r="T159" t="s">
        <v>743</v>
      </c>
    </row>
    <row r="160" spans="1:20" x14ac:dyDescent="0.25">
      <c r="A160" t="s">
        <v>744</v>
      </c>
      <c r="B160" t="str">
        <f>"4756"</f>
        <v>4756</v>
      </c>
      <c r="C160" t="str">
        <f>"276804756"</f>
        <v>276804756</v>
      </c>
      <c r="D160" t="s">
        <v>745</v>
      </c>
      <c r="E160" t="s">
        <v>746</v>
      </c>
      <c r="F160" t="s">
        <v>44</v>
      </c>
      <c r="G160" s="1">
        <v>25524</v>
      </c>
      <c r="H160" s="1">
        <v>41786</v>
      </c>
      <c r="I160" t="str">
        <f>"51"</f>
        <v>51</v>
      </c>
      <c r="J160" t="s">
        <v>471</v>
      </c>
      <c r="K160" t="s">
        <v>25</v>
      </c>
      <c r="L160" t="s">
        <v>26</v>
      </c>
      <c r="M160" t="s">
        <v>27</v>
      </c>
      <c r="N160" s="1">
        <v>18629</v>
      </c>
      <c r="O160">
        <v>0</v>
      </c>
      <c r="P160">
        <v>0</v>
      </c>
      <c r="Q160" t="s">
        <v>37</v>
      </c>
      <c r="R160" t="s">
        <v>29</v>
      </c>
      <c r="S160" t="s">
        <v>191</v>
      </c>
      <c r="T160" t="s">
        <v>192</v>
      </c>
    </row>
    <row r="161" spans="1:20" x14ac:dyDescent="0.25">
      <c r="A161" t="s">
        <v>747</v>
      </c>
      <c r="B161" t="str">
        <f>"3122"</f>
        <v>3122</v>
      </c>
      <c r="C161" t="str">
        <f>"272643122"</f>
        <v>272643122</v>
      </c>
      <c r="D161" t="s">
        <v>748</v>
      </c>
      <c r="E161" t="s">
        <v>749</v>
      </c>
      <c r="G161" s="1">
        <v>26159</v>
      </c>
      <c r="H161" s="1">
        <v>41786</v>
      </c>
      <c r="I161" t="str">
        <f>"52"</f>
        <v>52</v>
      </c>
      <c r="J161" t="s">
        <v>330</v>
      </c>
      <c r="K161" t="s">
        <v>25</v>
      </c>
      <c r="L161" t="s">
        <v>26</v>
      </c>
      <c r="M161" t="s">
        <v>27</v>
      </c>
      <c r="N161" s="1">
        <v>18629</v>
      </c>
      <c r="O161">
        <v>0</v>
      </c>
      <c r="P161">
        <v>0</v>
      </c>
      <c r="Q161" t="s">
        <v>37</v>
      </c>
      <c r="R161" t="s">
        <v>29</v>
      </c>
      <c r="S161" t="s">
        <v>300</v>
      </c>
      <c r="T161" t="s">
        <v>301</v>
      </c>
    </row>
    <row r="162" spans="1:20" x14ac:dyDescent="0.25">
      <c r="A162" t="s">
        <v>750</v>
      </c>
      <c r="B162" t="str">
        <f>"6447"</f>
        <v>6447</v>
      </c>
      <c r="C162" t="str">
        <f>"302966447"</f>
        <v>302966447</v>
      </c>
      <c r="D162" t="s">
        <v>751</v>
      </c>
      <c r="E162" t="s">
        <v>752</v>
      </c>
      <c r="F162" t="s">
        <v>753</v>
      </c>
      <c r="G162" s="1">
        <v>34598</v>
      </c>
      <c r="H162" s="1">
        <v>41786</v>
      </c>
      <c r="I162" t="str">
        <f>"34"</f>
        <v>34</v>
      </c>
      <c r="J162" t="s">
        <v>388</v>
      </c>
      <c r="K162" t="s">
        <v>25</v>
      </c>
      <c r="L162" t="s">
        <v>26</v>
      </c>
      <c r="M162" t="s">
        <v>27</v>
      </c>
      <c r="N162" s="1">
        <v>18629</v>
      </c>
      <c r="O162">
        <v>0</v>
      </c>
      <c r="P162">
        <v>0</v>
      </c>
      <c r="Q162" t="s">
        <v>28</v>
      </c>
      <c r="R162" t="s">
        <v>38</v>
      </c>
      <c r="S162" t="s">
        <v>389</v>
      </c>
      <c r="T162" t="s">
        <v>390</v>
      </c>
    </row>
    <row r="163" spans="1:20" x14ac:dyDescent="0.25">
      <c r="A163" t="s">
        <v>754</v>
      </c>
      <c r="B163" t="str">
        <f>"2842"</f>
        <v>2842</v>
      </c>
      <c r="C163" t="str">
        <f>"026362842"</f>
        <v>026362842</v>
      </c>
      <c r="D163" t="s">
        <v>755</v>
      </c>
      <c r="E163" t="s">
        <v>756</v>
      </c>
      <c r="F163" t="s">
        <v>28</v>
      </c>
      <c r="G163" s="1">
        <v>21113</v>
      </c>
      <c r="H163" s="1">
        <v>41786</v>
      </c>
      <c r="I163" t="str">
        <f>"33"</f>
        <v>33</v>
      </c>
      <c r="J163" t="s">
        <v>45</v>
      </c>
      <c r="K163" t="s">
        <v>25</v>
      </c>
      <c r="L163" t="s">
        <v>26</v>
      </c>
      <c r="M163" t="s">
        <v>27</v>
      </c>
      <c r="N163" s="1">
        <v>18629</v>
      </c>
      <c r="O163">
        <v>0</v>
      </c>
      <c r="P163">
        <v>0</v>
      </c>
      <c r="Q163" t="s">
        <v>37</v>
      </c>
      <c r="R163" t="s">
        <v>100</v>
      </c>
      <c r="S163" t="s">
        <v>757</v>
      </c>
      <c r="T163" t="s">
        <v>758</v>
      </c>
    </row>
    <row r="164" spans="1:20" x14ac:dyDescent="0.25">
      <c r="A164" t="s">
        <v>759</v>
      </c>
      <c r="B164" t="str">
        <f>"6278"</f>
        <v>6278</v>
      </c>
      <c r="C164" t="str">
        <f>"298926278"</f>
        <v>298926278</v>
      </c>
      <c r="D164" t="s">
        <v>760</v>
      </c>
      <c r="E164" t="s">
        <v>761</v>
      </c>
      <c r="F164" t="s">
        <v>174</v>
      </c>
      <c r="G164" s="1">
        <v>33293</v>
      </c>
      <c r="H164" s="1">
        <v>41786</v>
      </c>
      <c r="I164" t="str">
        <f>"34"</f>
        <v>34</v>
      </c>
      <c r="J164" t="s">
        <v>388</v>
      </c>
      <c r="K164" t="s">
        <v>25</v>
      </c>
      <c r="L164" t="s">
        <v>26</v>
      </c>
      <c r="M164" t="s">
        <v>27</v>
      </c>
      <c r="N164" s="1">
        <v>18629</v>
      </c>
      <c r="O164">
        <v>0</v>
      </c>
      <c r="P164">
        <v>0</v>
      </c>
      <c r="Q164" t="s">
        <v>28</v>
      </c>
      <c r="R164" t="s">
        <v>38</v>
      </c>
      <c r="S164" t="s">
        <v>389</v>
      </c>
      <c r="T164" t="s">
        <v>390</v>
      </c>
    </row>
    <row r="165" spans="1:20" x14ac:dyDescent="0.25">
      <c r="A165" t="s">
        <v>762</v>
      </c>
      <c r="B165" t="str">
        <f>"4704"</f>
        <v>4704</v>
      </c>
      <c r="C165" t="str">
        <f>"279864704"</f>
        <v>279864704</v>
      </c>
      <c r="D165" t="s">
        <v>763</v>
      </c>
      <c r="E165" t="s">
        <v>764</v>
      </c>
      <c r="F165" t="s">
        <v>44</v>
      </c>
      <c r="G165" s="1">
        <v>30447</v>
      </c>
      <c r="H165" s="1">
        <v>41786</v>
      </c>
      <c r="I165" t="str">
        <f>"51"</f>
        <v>51</v>
      </c>
      <c r="J165" t="s">
        <v>471</v>
      </c>
      <c r="K165" t="s">
        <v>25</v>
      </c>
      <c r="L165" t="s">
        <v>26</v>
      </c>
      <c r="M165" t="s">
        <v>27</v>
      </c>
      <c r="N165" s="1">
        <v>18629</v>
      </c>
      <c r="O165">
        <v>0</v>
      </c>
      <c r="P165">
        <v>0</v>
      </c>
      <c r="Q165" t="s">
        <v>37</v>
      </c>
      <c r="R165" t="s">
        <v>29</v>
      </c>
      <c r="S165" t="s">
        <v>765</v>
      </c>
      <c r="T165" t="s">
        <v>766</v>
      </c>
    </row>
    <row r="166" spans="1:20" x14ac:dyDescent="0.25">
      <c r="A166" t="s">
        <v>767</v>
      </c>
      <c r="B166" t="str">
        <f>"2086"</f>
        <v>2086</v>
      </c>
      <c r="C166" t="str">
        <f>"292742086"</f>
        <v>292742086</v>
      </c>
      <c r="D166" t="s">
        <v>768</v>
      </c>
      <c r="E166" t="s">
        <v>769</v>
      </c>
      <c r="F166" t="s">
        <v>97</v>
      </c>
      <c r="G166" s="1">
        <v>23424</v>
      </c>
      <c r="H166" s="1">
        <v>41786</v>
      </c>
      <c r="I166" t="str">
        <f>"03"</f>
        <v>03</v>
      </c>
      <c r="J166" t="s">
        <v>70</v>
      </c>
      <c r="K166" t="s">
        <v>98</v>
      </c>
      <c r="L166" t="s">
        <v>37</v>
      </c>
      <c r="M166" t="s">
        <v>99</v>
      </c>
      <c r="N166" s="1">
        <v>41799</v>
      </c>
      <c r="O166">
        <v>14801.8</v>
      </c>
      <c r="P166">
        <v>3700.32</v>
      </c>
      <c r="Q166" t="s">
        <v>37</v>
      </c>
      <c r="R166" t="s">
        <v>71</v>
      </c>
      <c r="S166" t="s">
        <v>770</v>
      </c>
      <c r="T166" t="s">
        <v>771</v>
      </c>
    </row>
    <row r="167" spans="1:20" x14ac:dyDescent="0.25">
      <c r="A167" t="s">
        <v>772</v>
      </c>
      <c r="B167" t="str">
        <f>"2999"</f>
        <v>2999</v>
      </c>
      <c r="C167" t="str">
        <f>"283882999"</f>
        <v>283882999</v>
      </c>
      <c r="D167" t="s">
        <v>773</v>
      </c>
      <c r="E167" t="s">
        <v>466</v>
      </c>
      <c r="F167" t="s">
        <v>345</v>
      </c>
      <c r="G167" s="1">
        <v>27630</v>
      </c>
      <c r="H167" s="1">
        <v>41786</v>
      </c>
      <c r="I167" t="str">
        <f>"51"</f>
        <v>51</v>
      </c>
      <c r="J167" t="s">
        <v>471</v>
      </c>
      <c r="K167" t="s">
        <v>25</v>
      </c>
      <c r="L167" t="s">
        <v>26</v>
      </c>
      <c r="M167" t="s">
        <v>27</v>
      </c>
      <c r="N167" s="1">
        <v>18629</v>
      </c>
      <c r="O167">
        <v>0</v>
      </c>
      <c r="P167">
        <v>0</v>
      </c>
      <c r="Q167" t="s">
        <v>28</v>
      </c>
      <c r="R167" t="s">
        <v>51</v>
      </c>
      <c r="S167" s="2" t="s">
        <v>774</v>
      </c>
      <c r="T167" t="s">
        <v>775</v>
      </c>
    </row>
    <row r="168" spans="1:20" x14ac:dyDescent="0.25">
      <c r="A168" t="s">
        <v>776</v>
      </c>
      <c r="B168" t="str">
        <f>"7324"</f>
        <v>7324</v>
      </c>
      <c r="C168" t="str">
        <f>"290927324"</f>
        <v>290927324</v>
      </c>
      <c r="D168" t="s">
        <v>777</v>
      </c>
      <c r="E168" t="s">
        <v>778</v>
      </c>
      <c r="F168" t="s">
        <v>44</v>
      </c>
      <c r="G168" s="1">
        <v>32499</v>
      </c>
      <c r="H168" s="1">
        <v>41786</v>
      </c>
      <c r="I168" t="str">
        <f>"34"</f>
        <v>34</v>
      </c>
      <c r="J168" t="s">
        <v>388</v>
      </c>
      <c r="K168" t="s">
        <v>25</v>
      </c>
      <c r="L168" t="s">
        <v>26</v>
      </c>
      <c r="M168" t="s">
        <v>27</v>
      </c>
      <c r="N168" s="1">
        <v>18629</v>
      </c>
      <c r="O168">
        <v>0</v>
      </c>
      <c r="P168">
        <v>0</v>
      </c>
      <c r="Q168" t="s">
        <v>37</v>
      </c>
      <c r="R168" t="s">
        <v>38</v>
      </c>
      <c r="S168" t="s">
        <v>389</v>
      </c>
      <c r="T168" t="s">
        <v>390</v>
      </c>
    </row>
    <row r="169" spans="1:20" x14ac:dyDescent="0.25">
      <c r="A169" t="s">
        <v>779</v>
      </c>
      <c r="B169" t="str">
        <f>"1055"</f>
        <v>1055</v>
      </c>
      <c r="C169" t="str">
        <f>"285941055"</f>
        <v>285941055</v>
      </c>
      <c r="D169" t="s">
        <v>663</v>
      </c>
      <c r="E169" t="s">
        <v>780</v>
      </c>
      <c r="F169" t="s">
        <v>414</v>
      </c>
      <c r="G169" s="1">
        <v>33460</v>
      </c>
      <c r="H169" s="1">
        <v>41786</v>
      </c>
      <c r="I169" t="str">
        <f>"34"</f>
        <v>34</v>
      </c>
      <c r="J169" t="s">
        <v>388</v>
      </c>
      <c r="K169" t="s">
        <v>25</v>
      </c>
      <c r="L169" t="s">
        <v>26</v>
      </c>
      <c r="M169" t="s">
        <v>27</v>
      </c>
      <c r="N169" s="1">
        <v>18629</v>
      </c>
      <c r="O169">
        <v>0</v>
      </c>
      <c r="P169">
        <v>0</v>
      </c>
      <c r="Q169" t="s">
        <v>28</v>
      </c>
      <c r="R169" t="s">
        <v>38</v>
      </c>
      <c r="S169" t="s">
        <v>389</v>
      </c>
      <c r="T169" t="s">
        <v>390</v>
      </c>
    </row>
    <row r="170" spans="1:20" x14ac:dyDescent="0.25">
      <c r="A170" t="s">
        <v>781</v>
      </c>
      <c r="B170" t="str">
        <f>"5919"</f>
        <v>5919</v>
      </c>
      <c r="C170" t="str">
        <f>"275925919"</f>
        <v>275925919</v>
      </c>
      <c r="D170" t="s">
        <v>782</v>
      </c>
      <c r="E170" t="s">
        <v>783</v>
      </c>
      <c r="F170" t="s">
        <v>28</v>
      </c>
      <c r="G170" s="1">
        <v>32938</v>
      </c>
      <c r="H170" s="1">
        <v>41786</v>
      </c>
      <c r="I170" t="str">
        <f>"34"</f>
        <v>34</v>
      </c>
      <c r="J170" t="s">
        <v>388</v>
      </c>
      <c r="K170" t="s">
        <v>25</v>
      </c>
      <c r="L170" t="s">
        <v>26</v>
      </c>
      <c r="M170" t="s">
        <v>27</v>
      </c>
      <c r="N170" s="1">
        <v>18629</v>
      </c>
      <c r="O170">
        <v>0</v>
      </c>
      <c r="P170">
        <v>0</v>
      </c>
      <c r="Q170" t="s">
        <v>37</v>
      </c>
      <c r="R170" t="s">
        <v>38</v>
      </c>
      <c r="S170" t="s">
        <v>389</v>
      </c>
      <c r="T170" t="s">
        <v>390</v>
      </c>
    </row>
    <row r="171" spans="1:20" x14ac:dyDescent="0.25">
      <c r="A171" t="s">
        <v>784</v>
      </c>
      <c r="B171" t="str">
        <f>"1807"</f>
        <v>1807</v>
      </c>
      <c r="C171" t="str">
        <f>"285061807"</f>
        <v>285061807</v>
      </c>
      <c r="D171" t="s">
        <v>785</v>
      </c>
      <c r="E171" t="s">
        <v>786</v>
      </c>
      <c r="G171" s="1">
        <v>22348</v>
      </c>
      <c r="H171" s="1">
        <v>41786</v>
      </c>
      <c r="I171" t="str">
        <f>"52"</f>
        <v>52</v>
      </c>
      <c r="J171" t="s">
        <v>330</v>
      </c>
      <c r="K171" t="s">
        <v>25</v>
      </c>
      <c r="L171" t="s">
        <v>26</v>
      </c>
      <c r="M171" t="s">
        <v>27</v>
      </c>
      <c r="N171" s="1">
        <v>18629</v>
      </c>
      <c r="O171">
        <v>0</v>
      </c>
      <c r="P171">
        <v>0</v>
      </c>
      <c r="Q171" t="s">
        <v>37</v>
      </c>
      <c r="R171" t="s">
        <v>29</v>
      </c>
      <c r="S171" t="s">
        <v>300</v>
      </c>
      <c r="T171" t="s">
        <v>301</v>
      </c>
    </row>
    <row r="172" spans="1:20" x14ac:dyDescent="0.25">
      <c r="A172" t="s">
        <v>787</v>
      </c>
      <c r="B172" t="str">
        <f>"9389"</f>
        <v>9389</v>
      </c>
      <c r="C172" t="str">
        <f>"435359389"</f>
        <v>435359389</v>
      </c>
      <c r="D172" t="s">
        <v>788</v>
      </c>
      <c r="E172" t="s">
        <v>789</v>
      </c>
      <c r="F172" t="s">
        <v>93</v>
      </c>
      <c r="G172" s="1">
        <v>28657</v>
      </c>
      <c r="H172" s="1">
        <v>41786</v>
      </c>
      <c r="I172" t="str">
        <f>"51"</f>
        <v>51</v>
      </c>
      <c r="J172" t="s">
        <v>471</v>
      </c>
      <c r="K172" t="s">
        <v>25</v>
      </c>
      <c r="L172" t="s">
        <v>26</v>
      </c>
      <c r="M172" t="s">
        <v>27</v>
      </c>
      <c r="N172" s="1">
        <v>18629</v>
      </c>
      <c r="O172">
        <v>0</v>
      </c>
      <c r="P172">
        <v>0</v>
      </c>
      <c r="Q172" t="s">
        <v>37</v>
      </c>
      <c r="R172" t="s">
        <v>71</v>
      </c>
      <c r="S172" t="s">
        <v>790</v>
      </c>
      <c r="T172" t="s">
        <v>791</v>
      </c>
    </row>
    <row r="173" spans="1:20" x14ac:dyDescent="0.25">
      <c r="A173" t="s">
        <v>792</v>
      </c>
      <c r="B173" t="str">
        <f>"4212"</f>
        <v>4212</v>
      </c>
      <c r="C173" t="str">
        <f>"283444212"</f>
        <v>283444212</v>
      </c>
      <c r="D173" t="s">
        <v>793</v>
      </c>
      <c r="E173" t="s">
        <v>794</v>
      </c>
      <c r="F173" t="s">
        <v>97</v>
      </c>
      <c r="G173" s="1">
        <v>20614</v>
      </c>
      <c r="H173" s="1">
        <v>41786</v>
      </c>
      <c r="I173" t="str">
        <f>"33"</f>
        <v>33</v>
      </c>
      <c r="J173" t="s">
        <v>45</v>
      </c>
      <c r="K173" t="s">
        <v>25</v>
      </c>
      <c r="L173" t="s">
        <v>26</v>
      </c>
      <c r="M173" t="s">
        <v>27</v>
      </c>
      <c r="N173" s="1">
        <v>18629</v>
      </c>
      <c r="O173">
        <v>0</v>
      </c>
      <c r="P173">
        <v>0</v>
      </c>
      <c r="Q173" t="s">
        <v>28</v>
      </c>
      <c r="R173" t="s">
        <v>51</v>
      </c>
      <c r="S173" t="s">
        <v>795</v>
      </c>
      <c r="T173" t="s">
        <v>796</v>
      </c>
    </row>
    <row r="174" spans="1:20" x14ac:dyDescent="0.25">
      <c r="A174" t="s">
        <v>797</v>
      </c>
      <c r="B174" t="str">
        <f>"2786"</f>
        <v>2786</v>
      </c>
      <c r="C174" t="str">
        <f>"297522786"</f>
        <v>297522786</v>
      </c>
      <c r="D174" t="s">
        <v>798</v>
      </c>
      <c r="E174" t="s">
        <v>799</v>
      </c>
      <c r="F174" t="s">
        <v>800</v>
      </c>
      <c r="G174" s="1">
        <v>19528</v>
      </c>
      <c r="H174" s="1">
        <v>41786</v>
      </c>
      <c r="I174" t="str">
        <f>"03"</f>
        <v>03</v>
      </c>
      <c r="J174" t="s">
        <v>70</v>
      </c>
      <c r="L174" t="s">
        <v>37</v>
      </c>
      <c r="M174" t="s">
        <v>143</v>
      </c>
      <c r="N174" s="1">
        <v>41799</v>
      </c>
      <c r="O174">
        <v>185.9</v>
      </c>
      <c r="P174">
        <v>-185.9</v>
      </c>
      <c r="Q174" t="s">
        <v>37</v>
      </c>
      <c r="R174" t="s">
        <v>29</v>
      </c>
      <c r="S174" t="s">
        <v>801</v>
      </c>
      <c r="T174" t="s">
        <v>802</v>
      </c>
    </row>
    <row r="175" spans="1:20" x14ac:dyDescent="0.25">
      <c r="A175" t="s">
        <v>803</v>
      </c>
      <c r="B175" t="str">
        <f>"4040"</f>
        <v>4040</v>
      </c>
      <c r="C175" t="str">
        <f>"271684040"</f>
        <v>271684040</v>
      </c>
      <c r="D175" t="s">
        <v>804</v>
      </c>
      <c r="E175" t="s">
        <v>805</v>
      </c>
      <c r="F175" t="s">
        <v>28</v>
      </c>
      <c r="G175" s="1">
        <v>24601</v>
      </c>
      <c r="H175" s="1">
        <v>41786</v>
      </c>
      <c r="I175" t="str">
        <f>"51"</f>
        <v>51</v>
      </c>
      <c r="J175" t="s">
        <v>471</v>
      </c>
      <c r="K175" t="s">
        <v>25</v>
      </c>
      <c r="L175" t="s">
        <v>26</v>
      </c>
      <c r="M175" t="s">
        <v>27</v>
      </c>
      <c r="N175" s="1">
        <v>18629</v>
      </c>
      <c r="O175">
        <v>0</v>
      </c>
      <c r="P175">
        <v>0</v>
      </c>
      <c r="Q175" t="s">
        <v>28</v>
      </c>
      <c r="R175" t="s">
        <v>71</v>
      </c>
      <c r="S175" t="s">
        <v>790</v>
      </c>
      <c r="T175" t="s">
        <v>791</v>
      </c>
    </row>
    <row r="176" spans="1:20" x14ac:dyDescent="0.25">
      <c r="A176" t="s">
        <v>806</v>
      </c>
      <c r="B176" t="str">
        <f>"3919"</f>
        <v>3919</v>
      </c>
      <c r="C176" t="str">
        <f>"268803919"</f>
        <v>268803919</v>
      </c>
      <c r="D176" t="s">
        <v>807</v>
      </c>
      <c r="E176" t="s">
        <v>344</v>
      </c>
      <c r="F176" t="s">
        <v>44</v>
      </c>
      <c r="G176" s="1">
        <v>28892</v>
      </c>
      <c r="H176" s="1">
        <v>41786</v>
      </c>
      <c r="I176" t="str">
        <f>"51"</f>
        <v>51</v>
      </c>
      <c r="J176" t="s">
        <v>471</v>
      </c>
      <c r="K176" t="s">
        <v>25</v>
      </c>
      <c r="L176" t="s">
        <v>26</v>
      </c>
      <c r="M176" t="s">
        <v>27</v>
      </c>
      <c r="N176" s="1">
        <v>18629</v>
      </c>
      <c r="O176">
        <v>0</v>
      </c>
      <c r="P176">
        <v>0</v>
      </c>
      <c r="Q176" t="s">
        <v>37</v>
      </c>
      <c r="R176" t="s">
        <v>71</v>
      </c>
      <c r="S176" t="s">
        <v>808</v>
      </c>
      <c r="T176" t="s">
        <v>809</v>
      </c>
    </row>
    <row r="177" spans="1:20" x14ac:dyDescent="0.25">
      <c r="A177" t="s">
        <v>810</v>
      </c>
      <c r="B177" t="str">
        <f>"5806"</f>
        <v>5806</v>
      </c>
      <c r="C177" t="str">
        <f>"225535806"</f>
        <v>225535806</v>
      </c>
      <c r="D177" t="s">
        <v>811</v>
      </c>
      <c r="E177" t="s">
        <v>812</v>
      </c>
      <c r="F177" t="s">
        <v>813</v>
      </c>
      <c r="G177" s="1">
        <v>32311</v>
      </c>
      <c r="H177" s="1">
        <v>41786</v>
      </c>
      <c r="I177" t="str">
        <f>"52"</f>
        <v>52</v>
      </c>
      <c r="J177" t="s">
        <v>330</v>
      </c>
      <c r="K177" t="s">
        <v>25</v>
      </c>
      <c r="L177" t="s">
        <v>26</v>
      </c>
      <c r="M177" t="s">
        <v>27</v>
      </c>
      <c r="N177" s="1">
        <v>18629</v>
      </c>
      <c r="O177">
        <v>0</v>
      </c>
      <c r="P177">
        <v>0</v>
      </c>
      <c r="Q177" t="s">
        <v>37</v>
      </c>
      <c r="R177" t="s">
        <v>29</v>
      </c>
      <c r="S177" t="s">
        <v>300</v>
      </c>
      <c r="T177" t="s">
        <v>301</v>
      </c>
    </row>
    <row r="178" spans="1:20" x14ac:dyDescent="0.25">
      <c r="A178" t="s">
        <v>814</v>
      </c>
      <c r="B178" t="str">
        <f>"4226"</f>
        <v>4226</v>
      </c>
      <c r="C178" t="str">
        <f>"236294226"</f>
        <v>236294226</v>
      </c>
      <c r="D178" t="s">
        <v>815</v>
      </c>
      <c r="E178" t="s">
        <v>816</v>
      </c>
      <c r="F178" t="s">
        <v>817</v>
      </c>
      <c r="G178" s="1">
        <v>29763</v>
      </c>
      <c r="H178" s="1">
        <v>41786</v>
      </c>
      <c r="I178" t="str">
        <f>"51"</f>
        <v>51</v>
      </c>
      <c r="J178" t="s">
        <v>471</v>
      </c>
      <c r="K178" t="s">
        <v>25</v>
      </c>
      <c r="L178" t="s">
        <v>26</v>
      </c>
      <c r="M178" t="s">
        <v>27</v>
      </c>
      <c r="N178" s="1">
        <v>18629</v>
      </c>
      <c r="O178">
        <v>0</v>
      </c>
      <c r="P178">
        <v>0</v>
      </c>
      <c r="Q178" t="s">
        <v>37</v>
      </c>
      <c r="R178" t="s">
        <v>29</v>
      </c>
      <c r="S178" t="s">
        <v>818</v>
      </c>
      <c r="T178" t="s">
        <v>819</v>
      </c>
    </row>
    <row r="179" spans="1:20" x14ac:dyDescent="0.25">
      <c r="A179" t="s">
        <v>820</v>
      </c>
      <c r="B179" t="str">
        <f>"4404"</f>
        <v>4404</v>
      </c>
      <c r="C179" t="str">
        <f>"178724404"</f>
        <v>178724404</v>
      </c>
      <c r="D179" t="s">
        <v>821</v>
      </c>
      <c r="E179" t="s">
        <v>822</v>
      </c>
      <c r="F179" t="s">
        <v>619</v>
      </c>
      <c r="G179" s="1">
        <v>33128</v>
      </c>
      <c r="H179" s="1">
        <v>41786</v>
      </c>
      <c r="I179" t="str">
        <f>"52"</f>
        <v>52</v>
      </c>
      <c r="J179" t="s">
        <v>330</v>
      </c>
      <c r="K179" t="s">
        <v>25</v>
      </c>
      <c r="L179" t="s">
        <v>26</v>
      </c>
      <c r="M179" t="s">
        <v>27</v>
      </c>
      <c r="N179" s="1">
        <v>18629</v>
      </c>
      <c r="O179">
        <v>0</v>
      </c>
      <c r="P179">
        <v>0</v>
      </c>
      <c r="Q179" t="s">
        <v>37</v>
      </c>
      <c r="R179" t="s">
        <v>29</v>
      </c>
      <c r="S179" t="s">
        <v>300</v>
      </c>
      <c r="T179" t="s">
        <v>301</v>
      </c>
    </row>
    <row r="180" spans="1:20" x14ac:dyDescent="0.25">
      <c r="A180" t="s">
        <v>823</v>
      </c>
      <c r="B180" t="str">
        <f>"7376"</f>
        <v>7376</v>
      </c>
      <c r="C180" t="str">
        <f>"286847376"</f>
        <v>286847376</v>
      </c>
      <c r="D180" t="s">
        <v>824</v>
      </c>
      <c r="E180" t="s">
        <v>825</v>
      </c>
      <c r="F180" t="s">
        <v>93</v>
      </c>
      <c r="G180" s="1">
        <v>31514</v>
      </c>
      <c r="H180" s="1">
        <v>41786</v>
      </c>
      <c r="I180" t="str">
        <f>"34"</f>
        <v>34</v>
      </c>
      <c r="J180" t="s">
        <v>388</v>
      </c>
      <c r="K180" t="s">
        <v>25</v>
      </c>
      <c r="L180" t="s">
        <v>26</v>
      </c>
      <c r="M180" t="s">
        <v>27</v>
      </c>
      <c r="N180" s="1">
        <v>18629</v>
      </c>
      <c r="O180">
        <v>0</v>
      </c>
      <c r="P180">
        <v>0</v>
      </c>
      <c r="Q180" t="s">
        <v>28</v>
      </c>
      <c r="R180" t="s">
        <v>38</v>
      </c>
      <c r="S180" t="s">
        <v>389</v>
      </c>
      <c r="T180" t="s">
        <v>390</v>
      </c>
    </row>
    <row r="181" spans="1:20" x14ac:dyDescent="0.25">
      <c r="A181" t="s">
        <v>826</v>
      </c>
      <c r="B181" t="str">
        <f>"6007"</f>
        <v>6007</v>
      </c>
      <c r="C181" t="str">
        <f>"293466007"</f>
        <v>293466007</v>
      </c>
      <c r="D181" t="s">
        <v>827</v>
      </c>
      <c r="E181" t="s">
        <v>609</v>
      </c>
      <c r="F181" t="s">
        <v>37</v>
      </c>
      <c r="G181" s="1">
        <v>19093</v>
      </c>
      <c r="H181" s="1">
        <v>41786</v>
      </c>
      <c r="I181" t="str">
        <f>"51"</f>
        <v>51</v>
      </c>
      <c r="J181" t="s">
        <v>471</v>
      </c>
      <c r="K181" t="s">
        <v>25</v>
      </c>
      <c r="L181" t="s">
        <v>26</v>
      </c>
      <c r="M181" t="s">
        <v>27</v>
      </c>
      <c r="N181" s="1">
        <v>18629</v>
      </c>
      <c r="O181">
        <v>0</v>
      </c>
      <c r="P181">
        <v>0</v>
      </c>
      <c r="Q181" t="s">
        <v>28</v>
      </c>
      <c r="R181" t="s">
        <v>100</v>
      </c>
      <c r="S181" t="s">
        <v>828</v>
      </c>
      <c r="T181" t="s">
        <v>829</v>
      </c>
    </row>
    <row r="182" spans="1:20" x14ac:dyDescent="0.25">
      <c r="A182" t="s">
        <v>830</v>
      </c>
      <c r="B182" t="str">
        <f>"8386"</f>
        <v>8386</v>
      </c>
      <c r="C182" t="str">
        <f>"277708386"</f>
        <v>277708386</v>
      </c>
      <c r="D182" t="s">
        <v>831</v>
      </c>
      <c r="E182" t="s">
        <v>179</v>
      </c>
      <c r="F182" t="s">
        <v>832</v>
      </c>
      <c r="G182" s="1">
        <v>22840</v>
      </c>
      <c r="H182" s="1">
        <v>41786</v>
      </c>
      <c r="I182" t="str">
        <f>"41"</f>
        <v>41</v>
      </c>
      <c r="J182" t="s">
        <v>24</v>
      </c>
      <c r="K182" t="s">
        <v>25</v>
      </c>
      <c r="L182" t="s">
        <v>26</v>
      </c>
      <c r="M182" t="s">
        <v>27</v>
      </c>
      <c r="N182" s="1">
        <v>18629</v>
      </c>
      <c r="O182">
        <v>0</v>
      </c>
      <c r="P182">
        <v>0</v>
      </c>
      <c r="Q182" t="s">
        <v>28</v>
      </c>
      <c r="R182" t="s">
        <v>258</v>
      </c>
      <c r="S182" t="s">
        <v>78</v>
      </c>
      <c r="T182" t="s">
        <v>79</v>
      </c>
    </row>
    <row r="183" spans="1:20" x14ac:dyDescent="0.25">
      <c r="A183" t="s">
        <v>833</v>
      </c>
      <c r="B183" t="str">
        <f>"0636"</f>
        <v>0636</v>
      </c>
      <c r="C183" t="str">
        <f>"280940636"</f>
        <v>280940636</v>
      </c>
      <c r="D183" t="s">
        <v>834</v>
      </c>
      <c r="E183" t="s">
        <v>835</v>
      </c>
      <c r="F183" t="s">
        <v>93</v>
      </c>
      <c r="G183" s="1">
        <v>33374</v>
      </c>
      <c r="H183" s="1">
        <v>41786</v>
      </c>
      <c r="I183" t="str">
        <f>"34"</f>
        <v>34</v>
      </c>
      <c r="J183" t="s">
        <v>388</v>
      </c>
      <c r="K183" t="s">
        <v>25</v>
      </c>
      <c r="L183" t="s">
        <v>26</v>
      </c>
      <c r="M183" t="s">
        <v>27</v>
      </c>
      <c r="N183" s="1">
        <v>18629</v>
      </c>
      <c r="O183">
        <v>0</v>
      </c>
      <c r="P183">
        <v>0</v>
      </c>
      <c r="Q183" t="s">
        <v>37</v>
      </c>
      <c r="R183" t="s">
        <v>38</v>
      </c>
      <c r="S183" t="s">
        <v>389</v>
      </c>
      <c r="T183" t="s">
        <v>390</v>
      </c>
    </row>
    <row r="184" spans="1:20" x14ac:dyDescent="0.25">
      <c r="A184" t="s">
        <v>836</v>
      </c>
      <c r="B184" t="str">
        <f>"1516"</f>
        <v>1516</v>
      </c>
      <c r="C184" t="str">
        <f>"357441516"</f>
        <v>357441516</v>
      </c>
      <c r="D184" t="s">
        <v>837</v>
      </c>
      <c r="E184" t="s">
        <v>838</v>
      </c>
      <c r="F184" t="s">
        <v>28</v>
      </c>
      <c r="G184" s="1">
        <v>23841</v>
      </c>
      <c r="H184" s="1">
        <v>41786</v>
      </c>
      <c r="I184" t="str">
        <f>"51"</f>
        <v>51</v>
      </c>
      <c r="J184" t="s">
        <v>471</v>
      </c>
      <c r="K184" t="s">
        <v>25</v>
      </c>
      <c r="L184" t="s">
        <v>26</v>
      </c>
      <c r="M184" t="s">
        <v>27</v>
      </c>
      <c r="N184" s="1">
        <v>18629</v>
      </c>
      <c r="O184">
        <v>0</v>
      </c>
      <c r="P184">
        <v>0</v>
      </c>
      <c r="Q184" t="s">
        <v>37</v>
      </c>
      <c r="R184" t="s">
        <v>51</v>
      </c>
      <c r="S184" s="2" t="s">
        <v>839</v>
      </c>
      <c r="T184" t="s">
        <v>840</v>
      </c>
    </row>
    <row r="185" spans="1:20" x14ac:dyDescent="0.25">
      <c r="A185" t="s">
        <v>841</v>
      </c>
      <c r="B185" t="str">
        <f>"3511"</f>
        <v>3511</v>
      </c>
      <c r="C185" t="str">
        <f>"289963511"</f>
        <v>289963511</v>
      </c>
      <c r="D185" t="s">
        <v>288</v>
      </c>
      <c r="E185" t="s">
        <v>322</v>
      </c>
      <c r="F185" t="s">
        <v>219</v>
      </c>
      <c r="G185" s="1">
        <v>34201</v>
      </c>
      <c r="H185" s="1">
        <v>41786</v>
      </c>
      <c r="I185" t="str">
        <f>"34"</f>
        <v>34</v>
      </c>
      <c r="J185" t="s">
        <v>388</v>
      </c>
      <c r="K185" t="s">
        <v>25</v>
      </c>
      <c r="L185" t="s">
        <v>26</v>
      </c>
      <c r="M185" t="s">
        <v>27</v>
      </c>
      <c r="N185" s="1">
        <v>18629</v>
      </c>
      <c r="O185">
        <v>0</v>
      </c>
      <c r="P185">
        <v>0</v>
      </c>
      <c r="Q185" t="s">
        <v>37</v>
      </c>
      <c r="R185" t="s">
        <v>110</v>
      </c>
      <c r="S185" t="s">
        <v>482</v>
      </c>
      <c r="T185" t="s">
        <v>483</v>
      </c>
    </row>
    <row r="186" spans="1:20" x14ac:dyDescent="0.25">
      <c r="A186" t="s">
        <v>842</v>
      </c>
      <c r="B186" t="str">
        <f>"1166"</f>
        <v>1166</v>
      </c>
      <c r="C186" t="str">
        <f>"279841166"</f>
        <v>279841166</v>
      </c>
      <c r="D186" t="s">
        <v>843</v>
      </c>
      <c r="E186" t="s">
        <v>250</v>
      </c>
      <c r="F186" t="s">
        <v>358</v>
      </c>
      <c r="G186" s="1">
        <v>30142</v>
      </c>
      <c r="H186" s="1">
        <v>41786</v>
      </c>
      <c r="I186" t="str">
        <f>"52"</f>
        <v>52</v>
      </c>
      <c r="J186" t="s">
        <v>330</v>
      </c>
      <c r="K186" t="s">
        <v>25</v>
      </c>
      <c r="L186" t="s">
        <v>26</v>
      </c>
      <c r="M186" t="s">
        <v>27</v>
      </c>
      <c r="N186" s="1">
        <v>18629</v>
      </c>
      <c r="O186">
        <v>0</v>
      </c>
      <c r="P186">
        <v>0</v>
      </c>
      <c r="Q186" t="s">
        <v>37</v>
      </c>
      <c r="R186" t="s">
        <v>29</v>
      </c>
      <c r="S186" t="s">
        <v>300</v>
      </c>
      <c r="T186" t="s">
        <v>301</v>
      </c>
    </row>
    <row r="187" spans="1:20" x14ac:dyDescent="0.25">
      <c r="A187" t="s">
        <v>844</v>
      </c>
      <c r="B187" t="str">
        <f>"2641"</f>
        <v>2641</v>
      </c>
      <c r="C187" t="str">
        <f>"115642641"</f>
        <v>115642641</v>
      </c>
      <c r="D187" t="s">
        <v>845</v>
      </c>
      <c r="E187" t="s">
        <v>846</v>
      </c>
      <c r="F187" t="s">
        <v>93</v>
      </c>
      <c r="G187" s="1">
        <v>27931</v>
      </c>
      <c r="H187" s="1">
        <v>41786</v>
      </c>
      <c r="I187" t="str">
        <f>"34"</f>
        <v>34</v>
      </c>
      <c r="J187" t="s">
        <v>388</v>
      </c>
      <c r="K187" t="s">
        <v>25</v>
      </c>
      <c r="L187" t="s">
        <v>26</v>
      </c>
      <c r="M187" t="s">
        <v>27</v>
      </c>
      <c r="N187" s="1">
        <v>18629</v>
      </c>
      <c r="O187">
        <v>0</v>
      </c>
      <c r="P187">
        <v>0</v>
      </c>
      <c r="Q187" t="s">
        <v>28</v>
      </c>
      <c r="R187" t="s">
        <v>38</v>
      </c>
      <c r="S187" t="s">
        <v>389</v>
      </c>
      <c r="T187" t="s">
        <v>390</v>
      </c>
    </row>
    <row r="188" spans="1:20" x14ac:dyDescent="0.25">
      <c r="A188" t="s">
        <v>847</v>
      </c>
      <c r="B188" t="str">
        <f>"0424"</f>
        <v>0424</v>
      </c>
      <c r="C188" t="str">
        <f>"273130424"</f>
        <v>273130424</v>
      </c>
      <c r="D188" t="s">
        <v>848</v>
      </c>
      <c r="E188" t="s">
        <v>849</v>
      </c>
      <c r="F188" t="s">
        <v>190</v>
      </c>
      <c r="G188" s="1">
        <v>27057</v>
      </c>
      <c r="H188" s="1">
        <v>41786</v>
      </c>
      <c r="I188" t="str">
        <f>"51"</f>
        <v>51</v>
      </c>
      <c r="J188" t="s">
        <v>471</v>
      </c>
      <c r="K188" t="s">
        <v>25</v>
      </c>
      <c r="L188" t="s">
        <v>26</v>
      </c>
      <c r="M188" t="s">
        <v>27</v>
      </c>
      <c r="N188" s="1">
        <v>18629</v>
      </c>
      <c r="O188">
        <v>0</v>
      </c>
      <c r="P188">
        <v>0</v>
      </c>
      <c r="Q188" t="s">
        <v>37</v>
      </c>
      <c r="R188" t="s">
        <v>51</v>
      </c>
      <c r="S188" s="2" t="s">
        <v>774</v>
      </c>
      <c r="T188" t="s">
        <v>775</v>
      </c>
    </row>
    <row r="189" spans="1:20" x14ac:dyDescent="0.25">
      <c r="A189" t="s">
        <v>850</v>
      </c>
      <c r="B189" t="str">
        <f>"9858"</f>
        <v>9858</v>
      </c>
      <c r="C189" t="str">
        <f>"074489858"</f>
        <v>074489858</v>
      </c>
      <c r="D189" t="s">
        <v>851</v>
      </c>
      <c r="E189" t="s">
        <v>852</v>
      </c>
      <c r="F189" t="s">
        <v>853</v>
      </c>
      <c r="G189" s="1">
        <v>19998</v>
      </c>
      <c r="H189" s="1">
        <v>41786</v>
      </c>
      <c r="I189" t="str">
        <f>"51"</f>
        <v>51</v>
      </c>
      <c r="J189" t="s">
        <v>471</v>
      </c>
      <c r="K189" t="s">
        <v>25</v>
      </c>
      <c r="L189" t="s">
        <v>26</v>
      </c>
      <c r="M189" t="s">
        <v>27</v>
      </c>
      <c r="N189" s="1">
        <v>18629</v>
      </c>
      <c r="O189">
        <v>0</v>
      </c>
      <c r="P189">
        <v>0</v>
      </c>
      <c r="Q189" t="s">
        <v>37</v>
      </c>
      <c r="R189" t="s">
        <v>71</v>
      </c>
      <c r="S189" t="s">
        <v>305</v>
      </c>
      <c r="T189" t="s">
        <v>306</v>
      </c>
    </row>
    <row r="190" spans="1:20" x14ac:dyDescent="0.25">
      <c r="A190" t="s">
        <v>854</v>
      </c>
      <c r="B190" t="str">
        <f>"8165"</f>
        <v>8165</v>
      </c>
      <c r="C190" t="str">
        <f>"287848165"</f>
        <v>287848165</v>
      </c>
      <c r="D190" t="s">
        <v>855</v>
      </c>
      <c r="E190" t="s">
        <v>856</v>
      </c>
      <c r="F190" t="s">
        <v>28</v>
      </c>
      <c r="G190" s="1">
        <v>26305</v>
      </c>
      <c r="H190" s="1">
        <v>41786</v>
      </c>
      <c r="I190" t="str">
        <f>"51"</f>
        <v>51</v>
      </c>
      <c r="J190" t="s">
        <v>471</v>
      </c>
      <c r="K190" t="s">
        <v>25</v>
      </c>
      <c r="L190" t="s">
        <v>26</v>
      </c>
      <c r="M190" t="s">
        <v>27</v>
      </c>
      <c r="N190" s="1">
        <v>18629</v>
      </c>
      <c r="O190">
        <v>0</v>
      </c>
      <c r="P190">
        <v>0</v>
      </c>
      <c r="Q190" t="s">
        <v>37</v>
      </c>
      <c r="R190" t="s">
        <v>71</v>
      </c>
      <c r="S190" t="s">
        <v>857</v>
      </c>
      <c r="T190" t="s">
        <v>858</v>
      </c>
    </row>
    <row r="191" spans="1:20" x14ac:dyDescent="0.25">
      <c r="A191" t="s">
        <v>859</v>
      </c>
      <c r="B191" t="str">
        <f>"5749"</f>
        <v>5749</v>
      </c>
      <c r="C191" t="str">
        <f>"287885749"</f>
        <v>287885749</v>
      </c>
      <c r="D191" t="s">
        <v>860</v>
      </c>
      <c r="E191" t="s">
        <v>861</v>
      </c>
      <c r="F191" t="s">
        <v>28</v>
      </c>
      <c r="G191" s="1">
        <v>27427</v>
      </c>
      <c r="H191" s="1">
        <v>41786</v>
      </c>
      <c r="I191" t="str">
        <f>"51"</f>
        <v>51</v>
      </c>
      <c r="J191" t="s">
        <v>471</v>
      </c>
      <c r="K191" t="s">
        <v>25</v>
      </c>
      <c r="L191" t="s">
        <v>26</v>
      </c>
      <c r="M191" t="s">
        <v>27</v>
      </c>
      <c r="N191" s="1">
        <v>18629</v>
      </c>
      <c r="O191">
        <v>0</v>
      </c>
      <c r="P191">
        <v>0</v>
      </c>
      <c r="Q191" t="s">
        <v>37</v>
      </c>
      <c r="R191" t="s">
        <v>100</v>
      </c>
      <c r="S191" t="s">
        <v>130</v>
      </c>
      <c r="T191" t="s">
        <v>131</v>
      </c>
    </row>
    <row r="192" spans="1:20" x14ac:dyDescent="0.25">
      <c r="A192" t="s">
        <v>862</v>
      </c>
      <c r="B192" t="str">
        <f>"3657"</f>
        <v>3657</v>
      </c>
      <c r="C192" t="str">
        <f>"274863657"</f>
        <v>274863657</v>
      </c>
      <c r="D192" t="s">
        <v>863</v>
      </c>
      <c r="E192" t="s">
        <v>864</v>
      </c>
      <c r="F192" t="s">
        <v>264</v>
      </c>
      <c r="G192" s="1">
        <v>31874</v>
      </c>
      <c r="H192" s="1">
        <v>41786</v>
      </c>
      <c r="I192" t="str">
        <f>"34"</f>
        <v>34</v>
      </c>
      <c r="J192" t="s">
        <v>388</v>
      </c>
      <c r="K192" t="s">
        <v>25</v>
      </c>
      <c r="L192" t="s">
        <v>26</v>
      </c>
      <c r="M192" t="s">
        <v>27</v>
      </c>
      <c r="N192" s="1">
        <v>18629</v>
      </c>
      <c r="O192">
        <v>0</v>
      </c>
      <c r="P192">
        <v>0</v>
      </c>
      <c r="Q192" t="s">
        <v>37</v>
      </c>
      <c r="R192" t="s">
        <v>38</v>
      </c>
      <c r="S192" t="s">
        <v>389</v>
      </c>
      <c r="T192" t="s">
        <v>390</v>
      </c>
    </row>
    <row r="193" spans="1:20" x14ac:dyDescent="0.25">
      <c r="A193" t="s">
        <v>865</v>
      </c>
      <c r="B193" t="str">
        <f>"4232"</f>
        <v>4232</v>
      </c>
      <c r="C193" t="str">
        <f>"286964232"</f>
        <v>286964232</v>
      </c>
      <c r="D193" t="s">
        <v>866</v>
      </c>
      <c r="E193" t="s">
        <v>867</v>
      </c>
      <c r="F193" t="s">
        <v>35</v>
      </c>
      <c r="G193" s="1">
        <v>34147</v>
      </c>
      <c r="H193" s="1">
        <v>41786</v>
      </c>
      <c r="I193" t="str">
        <f>"34"</f>
        <v>34</v>
      </c>
      <c r="J193" t="s">
        <v>388</v>
      </c>
      <c r="K193" t="s">
        <v>25</v>
      </c>
      <c r="L193" t="s">
        <v>26</v>
      </c>
      <c r="M193" t="s">
        <v>27</v>
      </c>
      <c r="N193" s="1">
        <v>18629</v>
      </c>
      <c r="O193">
        <v>0</v>
      </c>
      <c r="P193">
        <v>0</v>
      </c>
      <c r="Q193" t="s">
        <v>28</v>
      </c>
      <c r="R193" t="s">
        <v>38</v>
      </c>
      <c r="S193" t="s">
        <v>389</v>
      </c>
      <c r="T193" t="s">
        <v>390</v>
      </c>
    </row>
    <row r="194" spans="1:20" x14ac:dyDescent="0.25">
      <c r="A194" t="s">
        <v>868</v>
      </c>
      <c r="B194" t="str">
        <f>"2542"</f>
        <v>2542</v>
      </c>
      <c r="C194" t="str">
        <f>"824532542"</f>
        <v>824532542</v>
      </c>
      <c r="D194" t="s">
        <v>869</v>
      </c>
      <c r="E194" t="s">
        <v>870</v>
      </c>
      <c r="G194" s="1">
        <v>28137</v>
      </c>
      <c r="H194" s="1">
        <v>41786</v>
      </c>
      <c r="I194" t="str">
        <f>"51"</f>
        <v>51</v>
      </c>
      <c r="J194" t="s">
        <v>471</v>
      </c>
      <c r="K194" t="s">
        <v>25</v>
      </c>
      <c r="L194" t="s">
        <v>26</v>
      </c>
      <c r="M194" t="s">
        <v>27</v>
      </c>
      <c r="N194" s="1">
        <v>18629</v>
      </c>
      <c r="O194">
        <v>0</v>
      </c>
      <c r="P194">
        <v>0</v>
      </c>
      <c r="Q194" t="s">
        <v>37</v>
      </c>
      <c r="R194" t="s">
        <v>71</v>
      </c>
      <c r="S194" t="s">
        <v>871</v>
      </c>
      <c r="T194" t="s">
        <v>872</v>
      </c>
    </row>
    <row r="195" spans="1:20" x14ac:dyDescent="0.25">
      <c r="A195" t="s">
        <v>873</v>
      </c>
      <c r="B195" t="str">
        <f>"7760"</f>
        <v>7760</v>
      </c>
      <c r="C195" t="str">
        <f>"285967760"</f>
        <v>285967760</v>
      </c>
      <c r="D195" t="s">
        <v>114</v>
      </c>
      <c r="E195" t="s">
        <v>874</v>
      </c>
      <c r="F195" t="s">
        <v>69</v>
      </c>
      <c r="G195" s="1">
        <v>32941</v>
      </c>
      <c r="H195" s="1">
        <v>41786</v>
      </c>
      <c r="I195" t="str">
        <f>"34"</f>
        <v>34</v>
      </c>
      <c r="J195" t="s">
        <v>388</v>
      </c>
      <c r="K195" t="s">
        <v>25</v>
      </c>
      <c r="L195" t="s">
        <v>26</v>
      </c>
      <c r="M195" t="s">
        <v>27</v>
      </c>
      <c r="N195" s="1">
        <v>18629</v>
      </c>
      <c r="O195">
        <v>0</v>
      </c>
      <c r="P195">
        <v>0</v>
      </c>
      <c r="Q195" t="s">
        <v>37</v>
      </c>
      <c r="R195" t="s">
        <v>38</v>
      </c>
      <c r="S195" t="s">
        <v>389</v>
      </c>
      <c r="T195" t="s">
        <v>390</v>
      </c>
    </row>
    <row r="196" spans="1:20" x14ac:dyDescent="0.25">
      <c r="A196" t="s">
        <v>875</v>
      </c>
      <c r="B196" t="str">
        <f>"0958"</f>
        <v>0958</v>
      </c>
      <c r="C196" t="str">
        <f>"399600958"</f>
        <v>399600958</v>
      </c>
      <c r="D196" t="s">
        <v>876</v>
      </c>
      <c r="E196" t="s">
        <v>877</v>
      </c>
      <c r="F196" t="s">
        <v>97</v>
      </c>
      <c r="G196" s="1">
        <v>20203</v>
      </c>
      <c r="H196" s="1">
        <v>41786</v>
      </c>
      <c r="I196" t="str">
        <f>"51"</f>
        <v>51</v>
      </c>
      <c r="J196" t="s">
        <v>471</v>
      </c>
      <c r="K196" t="s">
        <v>25</v>
      </c>
      <c r="L196" t="s">
        <v>26</v>
      </c>
      <c r="M196" t="s">
        <v>27</v>
      </c>
      <c r="N196" s="1">
        <v>18629</v>
      </c>
      <c r="O196">
        <v>0</v>
      </c>
      <c r="P196">
        <v>0</v>
      </c>
      <c r="Q196" t="s">
        <v>37</v>
      </c>
      <c r="R196" t="s">
        <v>29</v>
      </c>
      <c r="S196" t="s">
        <v>878</v>
      </c>
      <c r="T196" t="s">
        <v>879</v>
      </c>
    </row>
    <row r="197" spans="1:20" x14ac:dyDescent="0.25">
      <c r="A197" t="s">
        <v>880</v>
      </c>
      <c r="B197" t="str">
        <f>"0879"</f>
        <v>0879</v>
      </c>
      <c r="C197" t="str">
        <f>"291660879"</f>
        <v>291660879</v>
      </c>
      <c r="D197" t="s">
        <v>881</v>
      </c>
      <c r="E197" t="s">
        <v>882</v>
      </c>
      <c r="F197" t="s">
        <v>883</v>
      </c>
      <c r="G197" s="1">
        <v>23231</v>
      </c>
      <c r="H197" s="1">
        <v>41786</v>
      </c>
      <c r="I197" t="str">
        <f>"30"</f>
        <v>30</v>
      </c>
      <c r="J197" t="s">
        <v>50</v>
      </c>
      <c r="K197" t="s">
        <v>25</v>
      </c>
      <c r="L197" t="s">
        <v>26</v>
      </c>
      <c r="M197" t="s">
        <v>27</v>
      </c>
      <c r="N197" s="1">
        <v>18629</v>
      </c>
      <c r="O197">
        <v>0</v>
      </c>
      <c r="P197">
        <v>0</v>
      </c>
      <c r="Q197" t="s">
        <v>28</v>
      </c>
      <c r="R197" t="s">
        <v>51</v>
      </c>
      <c r="S197" s="2" t="s">
        <v>198</v>
      </c>
      <c r="T197" t="s">
        <v>199</v>
      </c>
    </row>
    <row r="198" spans="1:20" x14ac:dyDescent="0.25">
      <c r="A198" t="s">
        <v>884</v>
      </c>
      <c r="B198" t="str">
        <f>"6767"</f>
        <v>6767</v>
      </c>
      <c r="C198" t="str">
        <f>"291906767"</f>
        <v>291906767</v>
      </c>
      <c r="D198" t="s">
        <v>881</v>
      </c>
      <c r="E198" t="s">
        <v>407</v>
      </c>
      <c r="F198" t="s">
        <v>35</v>
      </c>
      <c r="G198" s="1">
        <v>32773</v>
      </c>
      <c r="H198" s="1">
        <v>41786</v>
      </c>
      <c r="I198" t="str">
        <f>"42"</f>
        <v>42</v>
      </c>
      <c r="J198" t="s">
        <v>367</v>
      </c>
      <c r="K198" t="s">
        <v>25</v>
      </c>
      <c r="L198" t="s">
        <v>26</v>
      </c>
      <c r="M198" t="s">
        <v>27</v>
      </c>
      <c r="N198" s="1">
        <v>18629</v>
      </c>
      <c r="O198">
        <v>0</v>
      </c>
      <c r="P198">
        <v>0</v>
      </c>
      <c r="Q198" t="s">
        <v>28</v>
      </c>
      <c r="R198" t="s">
        <v>29</v>
      </c>
      <c r="S198" t="s">
        <v>885</v>
      </c>
      <c r="T198" t="s">
        <v>886</v>
      </c>
    </row>
    <row r="199" spans="1:20" x14ac:dyDescent="0.25">
      <c r="A199" t="s">
        <v>887</v>
      </c>
      <c r="B199" t="str">
        <f>"3659"</f>
        <v>3659</v>
      </c>
      <c r="C199" t="str">
        <f>"286643659"</f>
        <v>286643659</v>
      </c>
      <c r="D199" t="s">
        <v>888</v>
      </c>
      <c r="E199" t="s">
        <v>499</v>
      </c>
      <c r="F199" t="s">
        <v>97</v>
      </c>
      <c r="G199" s="1">
        <v>21492</v>
      </c>
      <c r="H199" s="1">
        <v>41785</v>
      </c>
      <c r="I199" t="str">
        <f>"52"</f>
        <v>52</v>
      </c>
      <c r="J199" t="s">
        <v>330</v>
      </c>
      <c r="K199" t="s">
        <v>25</v>
      </c>
      <c r="L199" t="s">
        <v>26</v>
      </c>
      <c r="M199" t="s">
        <v>27</v>
      </c>
      <c r="N199" s="1">
        <v>18629</v>
      </c>
      <c r="O199">
        <v>0</v>
      </c>
      <c r="P199">
        <v>0</v>
      </c>
      <c r="Q199" t="s">
        <v>28</v>
      </c>
      <c r="R199" t="s">
        <v>71</v>
      </c>
      <c r="S199" t="s">
        <v>402</v>
      </c>
      <c r="T199" t="s">
        <v>403</v>
      </c>
    </row>
    <row r="200" spans="1:20" x14ac:dyDescent="0.25">
      <c r="A200" t="s">
        <v>889</v>
      </c>
      <c r="B200" t="str">
        <f>"9715"</f>
        <v>9715</v>
      </c>
      <c r="C200" t="str">
        <f>"122669715"</f>
        <v>122669715</v>
      </c>
      <c r="D200" t="s">
        <v>890</v>
      </c>
      <c r="E200" t="s">
        <v>544</v>
      </c>
      <c r="F200" t="s">
        <v>109</v>
      </c>
      <c r="G200" s="1">
        <v>29282</v>
      </c>
      <c r="H200" s="1">
        <v>41785</v>
      </c>
      <c r="I200" t="str">
        <f>"05"</f>
        <v>05</v>
      </c>
      <c r="J200" t="s">
        <v>58</v>
      </c>
      <c r="K200" t="s">
        <v>98</v>
      </c>
      <c r="L200" t="s">
        <v>37</v>
      </c>
      <c r="M200" t="s">
        <v>117</v>
      </c>
      <c r="N200" s="1">
        <v>41617</v>
      </c>
      <c r="O200">
        <v>4951.96</v>
      </c>
      <c r="P200">
        <v>1237.8599999999999</v>
      </c>
      <c r="Q200" t="s">
        <v>37</v>
      </c>
      <c r="R200" t="s">
        <v>346</v>
      </c>
      <c r="S200" t="s">
        <v>101</v>
      </c>
      <c r="T200" t="s">
        <v>102</v>
      </c>
    </row>
    <row r="201" spans="1:20" x14ac:dyDescent="0.25">
      <c r="A201" t="s">
        <v>891</v>
      </c>
      <c r="B201" t="str">
        <f>"1022"</f>
        <v>1022</v>
      </c>
      <c r="C201" t="str">
        <f>"277861022"</f>
        <v>277861022</v>
      </c>
      <c r="D201" t="s">
        <v>892</v>
      </c>
      <c r="E201" t="s">
        <v>893</v>
      </c>
      <c r="G201" s="1">
        <v>22406</v>
      </c>
      <c r="H201" s="1">
        <v>41785</v>
      </c>
      <c r="I201" t="str">
        <f>"30"</f>
        <v>30</v>
      </c>
      <c r="J201" t="s">
        <v>50</v>
      </c>
      <c r="K201" t="s">
        <v>25</v>
      </c>
      <c r="L201" t="s">
        <v>26</v>
      </c>
      <c r="M201" t="s">
        <v>27</v>
      </c>
      <c r="N201" s="1">
        <v>18629</v>
      </c>
      <c r="O201">
        <v>0</v>
      </c>
      <c r="P201">
        <v>0</v>
      </c>
      <c r="Q201" t="s">
        <v>37</v>
      </c>
      <c r="R201" t="s">
        <v>100</v>
      </c>
      <c r="S201" t="s">
        <v>101</v>
      </c>
      <c r="T201" t="s">
        <v>102</v>
      </c>
    </row>
    <row r="202" spans="1:20" x14ac:dyDescent="0.25">
      <c r="A202" t="s">
        <v>894</v>
      </c>
      <c r="B202" t="str">
        <f>"4622"</f>
        <v>4622</v>
      </c>
      <c r="C202" t="str">
        <f>"275884622"</f>
        <v>275884622</v>
      </c>
      <c r="D202" t="s">
        <v>895</v>
      </c>
      <c r="E202" t="s">
        <v>896</v>
      </c>
      <c r="F202" t="s">
        <v>165</v>
      </c>
      <c r="G202" s="1">
        <v>30952</v>
      </c>
      <c r="H202" s="1">
        <v>41785</v>
      </c>
      <c r="I202" t="str">
        <f>"03"</f>
        <v>03</v>
      </c>
      <c r="J202" t="s">
        <v>70</v>
      </c>
      <c r="K202" t="s">
        <v>98</v>
      </c>
      <c r="L202" t="s">
        <v>37</v>
      </c>
      <c r="M202" t="s">
        <v>117</v>
      </c>
      <c r="N202" s="1">
        <v>41785</v>
      </c>
      <c r="O202">
        <v>4951.96</v>
      </c>
      <c r="P202">
        <v>1237.8599999999999</v>
      </c>
      <c r="Q202" t="s">
        <v>37</v>
      </c>
      <c r="R202" t="s">
        <v>258</v>
      </c>
      <c r="S202" t="s">
        <v>557</v>
      </c>
      <c r="T202" t="s">
        <v>558</v>
      </c>
    </row>
    <row r="203" spans="1:20" x14ac:dyDescent="0.25">
      <c r="A203" t="s">
        <v>897</v>
      </c>
      <c r="B203" t="str">
        <f>"0615"</f>
        <v>0615</v>
      </c>
      <c r="C203" t="str">
        <f>"296660615"</f>
        <v>296660615</v>
      </c>
      <c r="D203" t="s">
        <v>898</v>
      </c>
      <c r="E203" t="s">
        <v>899</v>
      </c>
      <c r="F203" t="s">
        <v>900</v>
      </c>
      <c r="G203" s="1">
        <v>23540</v>
      </c>
      <c r="H203" s="1">
        <v>41785</v>
      </c>
      <c r="I203" t="str">
        <f>"01"</f>
        <v>01</v>
      </c>
      <c r="J203" t="s">
        <v>116</v>
      </c>
      <c r="K203" t="s">
        <v>98</v>
      </c>
      <c r="L203" t="s">
        <v>37</v>
      </c>
      <c r="M203" t="s">
        <v>99</v>
      </c>
      <c r="N203" s="1">
        <v>41617</v>
      </c>
      <c r="O203">
        <v>14801.8</v>
      </c>
      <c r="P203">
        <v>3700.32</v>
      </c>
      <c r="Q203" t="s">
        <v>37</v>
      </c>
      <c r="R203" t="s">
        <v>71</v>
      </c>
      <c r="S203" t="s">
        <v>901</v>
      </c>
      <c r="T203" t="s">
        <v>902</v>
      </c>
    </row>
    <row r="204" spans="1:20" x14ac:dyDescent="0.25">
      <c r="A204" t="s">
        <v>903</v>
      </c>
      <c r="B204" t="str">
        <f>"6689"</f>
        <v>6689</v>
      </c>
      <c r="C204" t="str">
        <f>"279746689"</f>
        <v>279746689</v>
      </c>
      <c r="D204" t="s">
        <v>904</v>
      </c>
      <c r="E204" t="s">
        <v>905</v>
      </c>
      <c r="G204" s="1">
        <v>24188</v>
      </c>
      <c r="H204" s="1">
        <v>41778</v>
      </c>
      <c r="I204" t="str">
        <f>"15"</f>
        <v>15</v>
      </c>
      <c r="J204" t="s">
        <v>36</v>
      </c>
      <c r="K204" t="s">
        <v>98</v>
      </c>
      <c r="L204" t="s">
        <v>37</v>
      </c>
      <c r="M204" t="s">
        <v>117</v>
      </c>
      <c r="N204" s="1">
        <v>41617</v>
      </c>
      <c r="O204">
        <v>4951.96</v>
      </c>
      <c r="P204">
        <v>1237.8599999999999</v>
      </c>
      <c r="Q204" t="s">
        <v>37</v>
      </c>
      <c r="R204" t="s">
        <v>100</v>
      </c>
      <c r="S204" t="s">
        <v>382</v>
      </c>
      <c r="T204" t="s">
        <v>383</v>
      </c>
    </row>
    <row r="205" spans="1:20" x14ac:dyDescent="0.25">
      <c r="A205" t="s">
        <v>906</v>
      </c>
      <c r="B205" t="str">
        <f>"6869"</f>
        <v>6869</v>
      </c>
      <c r="C205" t="str">
        <f>"275946869"</f>
        <v>275946869</v>
      </c>
      <c r="D205" t="s">
        <v>907</v>
      </c>
      <c r="E205" t="s">
        <v>908</v>
      </c>
      <c r="F205" t="s">
        <v>127</v>
      </c>
      <c r="G205" s="1">
        <v>32784</v>
      </c>
      <c r="H205" s="1">
        <v>41778</v>
      </c>
      <c r="I205" t="str">
        <f>"33"</f>
        <v>33</v>
      </c>
      <c r="J205" t="s">
        <v>45</v>
      </c>
      <c r="K205" t="s">
        <v>25</v>
      </c>
      <c r="L205" t="s">
        <v>26</v>
      </c>
      <c r="M205" t="s">
        <v>27</v>
      </c>
      <c r="N205" s="1">
        <v>18629</v>
      </c>
      <c r="O205">
        <v>0</v>
      </c>
      <c r="P205">
        <v>0</v>
      </c>
      <c r="Q205" t="s">
        <v>28</v>
      </c>
      <c r="R205" t="s">
        <v>51</v>
      </c>
      <c r="S205" t="s">
        <v>795</v>
      </c>
      <c r="T205" t="s">
        <v>796</v>
      </c>
    </row>
    <row r="206" spans="1:20" x14ac:dyDescent="0.25">
      <c r="A206" t="s">
        <v>909</v>
      </c>
      <c r="B206" t="str">
        <f>"0182"</f>
        <v>0182</v>
      </c>
      <c r="C206" t="str">
        <f>"296920182"</f>
        <v>296920182</v>
      </c>
      <c r="D206" t="s">
        <v>910</v>
      </c>
      <c r="E206" t="s">
        <v>499</v>
      </c>
      <c r="F206" t="s">
        <v>470</v>
      </c>
      <c r="G206" s="1">
        <v>32383</v>
      </c>
      <c r="H206" s="1">
        <v>41778</v>
      </c>
      <c r="I206" t="str">
        <f>"33"</f>
        <v>33</v>
      </c>
      <c r="J206" t="s">
        <v>45</v>
      </c>
      <c r="K206" t="s">
        <v>25</v>
      </c>
      <c r="L206" t="s">
        <v>26</v>
      </c>
      <c r="M206" t="s">
        <v>27</v>
      </c>
      <c r="N206" s="1">
        <v>18629</v>
      </c>
      <c r="O206">
        <v>0</v>
      </c>
      <c r="P206">
        <v>0</v>
      </c>
      <c r="Q206" t="s">
        <v>28</v>
      </c>
      <c r="R206" t="s">
        <v>100</v>
      </c>
      <c r="S206" t="s">
        <v>757</v>
      </c>
      <c r="T206" t="s">
        <v>758</v>
      </c>
    </row>
    <row r="207" spans="1:20" x14ac:dyDescent="0.25">
      <c r="A207" t="s">
        <v>911</v>
      </c>
      <c r="B207" t="str">
        <f>"5938"</f>
        <v>5938</v>
      </c>
      <c r="C207" t="str">
        <f>"296745938"</f>
        <v>296745938</v>
      </c>
      <c r="D207" t="s">
        <v>912</v>
      </c>
      <c r="E207" t="s">
        <v>56</v>
      </c>
      <c r="F207" t="s">
        <v>28</v>
      </c>
      <c r="G207" s="1">
        <v>28891</v>
      </c>
      <c r="H207" s="1">
        <v>41771</v>
      </c>
      <c r="I207" t="str">
        <f>"05"</f>
        <v>05</v>
      </c>
      <c r="J207" t="s">
        <v>58</v>
      </c>
      <c r="L207" t="s">
        <v>37</v>
      </c>
      <c r="M207" t="s">
        <v>143</v>
      </c>
      <c r="N207" s="1">
        <v>41785</v>
      </c>
      <c r="O207">
        <v>185.9</v>
      </c>
      <c r="P207">
        <v>-185.9</v>
      </c>
      <c r="Q207" t="s">
        <v>28</v>
      </c>
      <c r="R207" t="s">
        <v>38</v>
      </c>
      <c r="S207" t="s">
        <v>913</v>
      </c>
      <c r="T207" t="s">
        <v>914</v>
      </c>
    </row>
    <row r="208" spans="1:20" x14ac:dyDescent="0.25">
      <c r="A208" t="s">
        <v>915</v>
      </c>
      <c r="B208" t="str">
        <f>"2427"</f>
        <v>2427</v>
      </c>
      <c r="C208" t="str">
        <f>"300822427"</f>
        <v>300822427</v>
      </c>
      <c r="D208" t="s">
        <v>916</v>
      </c>
      <c r="E208" t="s">
        <v>48</v>
      </c>
      <c r="F208" t="s">
        <v>445</v>
      </c>
      <c r="G208" s="1">
        <v>26673</v>
      </c>
      <c r="H208" s="1">
        <v>41771</v>
      </c>
      <c r="I208" t="str">
        <f>"53"</f>
        <v>53</v>
      </c>
      <c r="J208" t="s">
        <v>917</v>
      </c>
      <c r="K208" t="s">
        <v>25</v>
      </c>
      <c r="L208" t="s">
        <v>26</v>
      </c>
      <c r="M208" t="s">
        <v>27</v>
      </c>
      <c r="N208" s="1">
        <v>18629</v>
      </c>
      <c r="O208">
        <v>0</v>
      </c>
      <c r="P208">
        <v>0</v>
      </c>
      <c r="Q208" t="s">
        <v>37</v>
      </c>
      <c r="R208" t="s">
        <v>312</v>
      </c>
      <c r="S208" t="s">
        <v>918</v>
      </c>
      <c r="T208" t="s">
        <v>919</v>
      </c>
    </row>
    <row r="209" spans="1:20" x14ac:dyDescent="0.25">
      <c r="A209" t="s">
        <v>920</v>
      </c>
      <c r="B209" t="str">
        <f>"3547"</f>
        <v>3547</v>
      </c>
      <c r="C209" t="str">
        <f>"275503547"</f>
        <v>275503547</v>
      </c>
      <c r="D209" t="s">
        <v>921</v>
      </c>
      <c r="E209" t="s">
        <v>922</v>
      </c>
      <c r="F209" t="s">
        <v>44</v>
      </c>
      <c r="G209" s="1">
        <v>21715</v>
      </c>
      <c r="H209" s="1">
        <v>41771</v>
      </c>
      <c r="I209" t="str">
        <f>"30"</f>
        <v>30</v>
      </c>
      <c r="J209" t="s">
        <v>50</v>
      </c>
      <c r="K209" t="s">
        <v>25</v>
      </c>
      <c r="L209" t="s">
        <v>26</v>
      </c>
      <c r="M209" t="s">
        <v>27</v>
      </c>
      <c r="N209" s="1">
        <v>18629</v>
      </c>
      <c r="O209">
        <v>0</v>
      </c>
      <c r="P209">
        <v>0</v>
      </c>
      <c r="Q209" t="s">
        <v>37</v>
      </c>
      <c r="R209" t="s">
        <v>71</v>
      </c>
      <c r="S209" t="s">
        <v>923</v>
      </c>
      <c r="T209" t="s">
        <v>924</v>
      </c>
    </row>
    <row r="210" spans="1:20" x14ac:dyDescent="0.25">
      <c r="A210" t="s">
        <v>925</v>
      </c>
      <c r="B210" t="str">
        <f>"5070"</f>
        <v>5070</v>
      </c>
      <c r="C210" t="str">
        <f>"300425070"</f>
        <v>300425070</v>
      </c>
      <c r="D210" t="s">
        <v>926</v>
      </c>
      <c r="E210" t="s">
        <v>358</v>
      </c>
      <c r="F210" t="s">
        <v>93</v>
      </c>
      <c r="G210" s="1">
        <v>17362</v>
      </c>
      <c r="H210" s="1">
        <v>41771</v>
      </c>
      <c r="I210" t="str">
        <f>"52"</f>
        <v>52</v>
      </c>
      <c r="J210" t="s">
        <v>330</v>
      </c>
      <c r="K210" t="s">
        <v>25</v>
      </c>
      <c r="L210" t="s">
        <v>26</v>
      </c>
      <c r="M210" t="s">
        <v>27</v>
      </c>
      <c r="N210" s="1">
        <v>18629</v>
      </c>
      <c r="O210">
        <v>0</v>
      </c>
      <c r="P210">
        <v>0</v>
      </c>
      <c r="Q210" t="s">
        <v>37</v>
      </c>
      <c r="R210" t="s">
        <v>258</v>
      </c>
      <c r="S210" t="s">
        <v>678</v>
      </c>
      <c r="T210" t="s">
        <v>679</v>
      </c>
    </row>
    <row r="211" spans="1:20" x14ac:dyDescent="0.25">
      <c r="A211" t="s">
        <v>927</v>
      </c>
      <c r="B211" t="str">
        <f>"5095"</f>
        <v>5095</v>
      </c>
      <c r="C211" t="str">
        <f>"271645095"</f>
        <v>271645095</v>
      </c>
      <c r="D211" t="s">
        <v>928</v>
      </c>
      <c r="E211" t="s">
        <v>682</v>
      </c>
      <c r="F211" t="s">
        <v>264</v>
      </c>
      <c r="G211" s="1">
        <v>21596</v>
      </c>
      <c r="H211" s="1">
        <v>41771</v>
      </c>
      <c r="I211" t="str">
        <f>"12"</f>
        <v>12</v>
      </c>
      <c r="J211" t="s">
        <v>245</v>
      </c>
      <c r="L211" t="s">
        <v>37</v>
      </c>
      <c r="M211" t="s">
        <v>143</v>
      </c>
      <c r="N211" s="1">
        <v>41799</v>
      </c>
      <c r="O211">
        <v>185.9</v>
      </c>
      <c r="P211">
        <v>-185.9</v>
      </c>
      <c r="Q211" t="s">
        <v>37</v>
      </c>
      <c r="R211" t="s">
        <v>110</v>
      </c>
      <c r="S211" t="s">
        <v>929</v>
      </c>
      <c r="T211" t="s">
        <v>930</v>
      </c>
    </row>
    <row r="212" spans="1:20" x14ac:dyDescent="0.25">
      <c r="A212" t="s">
        <v>931</v>
      </c>
      <c r="B212" t="str">
        <f>"0193"</f>
        <v>0193</v>
      </c>
      <c r="C212" t="str">
        <f>"302740193"</f>
        <v>302740193</v>
      </c>
      <c r="D212" t="s">
        <v>932</v>
      </c>
      <c r="E212" t="s">
        <v>933</v>
      </c>
      <c r="F212" t="s">
        <v>97</v>
      </c>
      <c r="G212" s="1">
        <v>28865</v>
      </c>
      <c r="H212" s="1">
        <v>41771</v>
      </c>
      <c r="I212" t="str">
        <f>"01"</f>
        <v>01</v>
      </c>
      <c r="J212" t="s">
        <v>116</v>
      </c>
      <c r="K212" t="s">
        <v>98</v>
      </c>
      <c r="L212" t="s">
        <v>37</v>
      </c>
      <c r="M212" t="s">
        <v>99</v>
      </c>
      <c r="N212" s="1">
        <v>41785</v>
      </c>
      <c r="O212">
        <v>14801.8</v>
      </c>
      <c r="P212">
        <v>3700.32</v>
      </c>
      <c r="Q212" t="s">
        <v>28</v>
      </c>
      <c r="R212" t="s">
        <v>29</v>
      </c>
      <c r="S212" t="s">
        <v>934</v>
      </c>
      <c r="T212" t="s">
        <v>935</v>
      </c>
    </row>
    <row r="213" spans="1:20" x14ac:dyDescent="0.25">
      <c r="A213" t="s">
        <v>936</v>
      </c>
      <c r="B213" t="str">
        <f>"9463"</f>
        <v>9463</v>
      </c>
      <c r="C213" t="str">
        <f>"289889463"</f>
        <v>289889463</v>
      </c>
      <c r="D213" t="s">
        <v>937</v>
      </c>
      <c r="E213" t="s">
        <v>938</v>
      </c>
      <c r="F213" t="s">
        <v>44</v>
      </c>
      <c r="G213" s="1">
        <v>30862</v>
      </c>
      <c r="H213" s="1">
        <v>41771</v>
      </c>
      <c r="I213" t="str">
        <f>"12"</f>
        <v>12</v>
      </c>
      <c r="J213" t="s">
        <v>245</v>
      </c>
      <c r="K213" t="s">
        <v>98</v>
      </c>
      <c r="L213" t="s">
        <v>37</v>
      </c>
      <c r="M213" t="s">
        <v>99</v>
      </c>
      <c r="N213" s="1">
        <v>41771</v>
      </c>
      <c r="O213">
        <v>14801.8</v>
      </c>
      <c r="P213">
        <v>3700.32</v>
      </c>
      <c r="Q213" t="s">
        <v>37</v>
      </c>
      <c r="R213" t="s">
        <v>38</v>
      </c>
      <c r="S213" t="s">
        <v>39</v>
      </c>
      <c r="T213" t="s">
        <v>40</v>
      </c>
    </row>
    <row r="214" spans="1:20" x14ac:dyDescent="0.25">
      <c r="A214" t="s">
        <v>939</v>
      </c>
      <c r="B214" t="str">
        <f>"4628"</f>
        <v>4628</v>
      </c>
      <c r="C214" t="str">
        <f>"268884628"</f>
        <v>268884628</v>
      </c>
      <c r="D214" t="s">
        <v>940</v>
      </c>
      <c r="E214" t="s">
        <v>941</v>
      </c>
      <c r="F214" t="s">
        <v>28</v>
      </c>
      <c r="G214" s="1">
        <v>29244</v>
      </c>
      <c r="H214" s="1">
        <v>41771</v>
      </c>
      <c r="I214" t="str">
        <f>"05"</f>
        <v>05</v>
      </c>
      <c r="J214" t="s">
        <v>58</v>
      </c>
      <c r="K214" t="s">
        <v>98</v>
      </c>
      <c r="L214" t="s">
        <v>37</v>
      </c>
      <c r="M214" t="s">
        <v>117</v>
      </c>
      <c r="N214" s="1">
        <v>41659</v>
      </c>
      <c r="O214">
        <v>4951.96</v>
      </c>
      <c r="P214">
        <v>1237.8599999999999</v>
      </c>
      <c r="Q214" t="s">
        <v>28</v>
      </c>
      <c r="R214" t="s">
        <v>29</v>
      </c>
      <c r="S214" t="s">
        <v>240</v>
      </c>
      <c r="T214" t="s">
        <v>241</v>
      </c>
    </row>
    <row r="215" spans="1:20" x14ac:dyDescent="0.25">
      <c r="A215" t="s">
        <v>942</v>
      </c>
      <c r="B215" t="str">
        <f>"7237"</f>
        <v>7237</v>
      </c>
      <c r="C215" t="str">
        <f>"272587237"</f>
        <v>272587237</v>
      </c>
      <c r="D215" t="s">
        <v>943</v>
      </c>
      <c r="E215" t="s">
        <v>944</v>
      </c>
      <c r="F215" t="s">
        <v>438</v>
      </c>
      <c r="G215" s="1">
        <v>26086</v>
      </c>
      <c r="H215" s="1">
        <v>41769</v>
      </c>
      <c r="I215" t="str">
        <f>"52"</f>
        <v>52</v>
      </c>
      <c r="J215" t="s">
        <v>330</v>
      </c>
      <c r="K215" t="s">
        <v>25</v>
      </c>
      <c r="L215" t="s">
        <v>26</v>
      </c>
      <c r="M215" t="s">
        <v>27</v>
      </c>
      <c r="N215" s="1">
        <v>18629</v>
      </c>
      <c r="O215">
        <v>0</v>
      </c>
      <c r="P215">
        <v>0</v>
      </c>
      <c r="Q215" t="s">
        <v>28</v>
      </c>
      <c r="R215" t="s">
        <v>71</v>
      </c>
      <c r="S215" t="s">
        <v>402</v>
      </c>
      <c r="T215" t="s">
        <v>403</v>
      </c>
    </row>
    <row r="216" spans="1:20" x14ac:dyDescent="0.25">
      <c r="A216" t="s">
        <v>945</v>
      </c>
      <c r="B216" t="str">
        <f>"2579"</f>
        <v>2579</v>
      </c>
      <c r="C216" t="str">
        <f>"275862579"</f>
        <v>275862579</v>
      </c>
      <c r="D216" t="s">
        <v>946</v>
      </c>
      <c r="E216" t="s">
        <v>304</v>
      </c>
      <c r="G216" s="1">
        <v>26063</v>
      </c>
      <c r="H216" s="1">
        <v>41769</v>
      </c>
      <c r="I216" t="str">
        <f>"52"</f>
        <v>52</v>
      </c>
      <c r="J216" t="s">
        <v>330</v>
      </c>
      <c r="K216" t="s">
        <v>25</v>
      </c>
      <c r="L216" t="s">
        <v>26</v>
      </c>
      <c r="M216" t="s">
        <v>27</v>
      </c>
      <c r="N216" s="1">
        <v>18629</v>
      </c>
      <c r="O216">
        <v>0</v>
      </c>
      <c r="P216">
        <v>0</v>
      </c>
      <c r="Q216" t="s">
        <v>28</v>
      </c>
      <c r="R216" t="s">
        <v>71</v>
      </c>
      <c r="S216" t="s">
        <v>402</v>
      </c>
      <c r="T216" t="s">
        <v>403</v>
      </c>
    </row>
    <row r="217" spans="1:20" x14ac:dyDescent="0.25">
      <c r="A217" t="s">
        <v>947</v>
      </c>
      <c r="B217" t="str">
        <f>"6457"</f>
        <v>6457</v>
      </c>
      <c r="C217" t="str">
        <f>"273666457"</f>
        <v>273666457</v>
      </c>
      <c r="D217" t="s">
        <v>948</v>
      </c>
      <c r="E217" t="s">
        <v>949</v>
      </c>
      <c r="G217" s="1">
        <v>22682</v>
      </c>
      <c r="H217" s="1">
        <v>41767</v>
      </c>
      <c r="I217" t="str">
        <f>"53"</f>
        <v>53</v>
      </c>
      <c r="J217" t="s">
        <v>917</v>
      </c>
      <c r="K217" t="s">
        <v>25</v>
      </c>
      <c r="L217" t="s">
        <v>26</v>
      </c>
      <c r="M217" t="s">
        <v>27</v>
      </c>
      <c r="N217" s="1">
        <v>18629</v>
      </c>
      <c r="O217">
        <v>0</v>
      </c>
      <c r="P217">
        <v>0</v>
      </c>
      <c r="Q217" t="s">
        <v>28</v>
      </c>
      <c r="R217" t="s">
        <v>312</v>
      </c>
      <c r="S217" t="s">
        <v>950</v>
      </c>
      <c r="T217" t="s">
        <v>951</v>
      </c>
    </row>
    <row r="218" spans="1:20" x14ac:dyDescent="0.25">
      <c r="A218" t="s">
        <v>952</v>
      </c>
      <c r="B218" t="str">
        <f>"0838"</f>
        <v>0838</v>
      </c>
      <c r="C218" t="str">
        <f>"271940838"</f>
        <v>271940838</v>
      </c>
      <c r="D218" t="s">
        <v>953</v>
      </c>
      <c r="E218" t="s">
        <v>954</v>
      </c>
      <c r="F218" t="s">
        <v>438</v>
      </c>
      <c r="G218" s="1">
        <v>31043</v>
      </c>
      <c r="H218" s="1">
        <v>41767</v>
      </c>
      <c r="I218" t="str">
        <f>"33"</f>
        <v>33</v>
      </c>
      <c r="J218" t="s">
        <v>45</v>
      </c>
      <c r="K218" t="s">
        <v>25</v>
      </c>
      <c r="L218" t="s">
        <v>26</v>
      </c>
      <c r="M218" t="s">
        <v>27</v>
      </c>
      <c r="N218" s="1">
        <v>18629</v>
      </c>
      <c r="O218">
        <v>0</v>
      </c>
      <c r="P218">
        <v>0</v>
      </c>
      <c r="Q218" t="s">
        <v>37</v>
      </c>
      <c r="R218" t="s">
        <v>71</v>
      </c>
      <c r="S218" t="s">
        <v>955</v>
      </c>
      <c r="T218" t="s">
        <v>956</v>
      </c>
    </row>
    <row r="219" spans="1:20" x14ac:dyDescent="0.25">
      <c r="A219" t="s">
        <v>957</v>
      </c>
      <c r="B219" t="str">
        <f>"4464"</f>
        <v>4464</v>
      </c>
      <c r="C219" t="str">
        <f>"277604464"</f>
        <v>277604464</v>
      </c>
      <c r="D219" t="s">
        <v>958</v>
      </c>
      <c r="E219" t="s">
        <v>959</v>
      </c>
      <c r="G219" s="1">
        <v>21590</v>
      </c>
      <c r="H219" s="1">
        <v>41766</v>
      </c>
      <c r="I219" t="str">
        <f>"34"</f>
        <v>34</v>
      </c>
      <c r="J219" t="s">
        <v>388</v>
      </c>
      <c r="K219" t="s">
        <v>25</v>
      </c>
      <c r="L219" t="s">
        <v>26</v>
      </c>
      <c r="M219" t="s">
        <v>27</v>
      </c>
      <c r="N219" s="1">
        <v>18629</v>
      </c>
      <c r="O219">
        <v>0</v>
      </c>
      <c r="P219">
        <v>0</v>
      </c>
      <c r="Q219" t="s">
        <v>28</v>
      </c>
      <c r="R219" t="s">
        <v>258</v>
      </c>
      <c r="S219" t="s">
        <v>960</v>
      </c>
      <c r="T219" t="s">
        <v>314</v>
      </c>
    </row>
    <row r="220" spans="1:20" x14ac:dyDescent="0.25">
      <c r="A220" t="s">
        <v>961</v>
      </c>
      <c r="B220" t="str">
        <f>"2372"</f>
        <v>2372</v>
      </c>
      <c r="C220" t="str">
        <f>"273882372"</f>
        <v>273882372</v>
      </c>
      <c r="D220" t="s">
        <v>962</v>
      </c>
      <c r="E220" t="s">
        <v>963</v>
      </c>
      <c r="G220" s="1">
        <v>26165</v>
      </c>
      <c r="H220" s="1">
        <v>41766</v>
      </c>
      <c r="I220" t="str">
        <f>"34"</f>
        <v>34</v>
      </c>
      <c r="J220" t="s">
        <v>388</v>
      </c>
      <c r="K220" t="s">
        <v>25</v>
      </c>
      <c r="L220" t="s">
        <v>26</v>
      </c>
      <c r="M220" t="s">
        <v>27</v>
      </c>
      <c r="N220" s="1">
        <v>18629</v>
      </c>
      <c r="O220">
        <v>0</v>
      </c>
      <c r="P220">
        <v>0</v>
      </c>
      <c r="Q220" t="s">
        <v>37</v>
      </c>
      <c r="R220" t="s">
        <v>258</v>
      </c>
      <c r="S220" t="s">
        <v>960</v>
      </c>
      <c r="T220" t="s">
        <v>314</v>
      </c>
    </row>
    <row r="221" spans="1:20" x14ac:dyDescent="0.25">
      <c r="A221" t="s">
        <v>964</v>
      </c>
      <c r="B221" t="str">
        <f>"2975"</f>
        <v>2975</v>
      </c>
      <c r="C221" t="str">
        <f>"297022975"</f>
        <v>297022975</v>
      </c>
      <c r="D221" t="s">
        <v>965</v>
      </c>
      <c r="E221" t="s">
        <v>966</v>
      </c>
      <c r="F221" t="s">
        <v>649</v>
      </c>
      <c r="G221" s="1">
        <v>34749</v>
      </c>
      <c r="H221" s="1">
        <v>41764</v>
      </c>
      <c r="I221" t="str">
        <f>"34"</f>
        <v>34</v>
      </c>
      <c r="J221" t="s">
        <v>388</v>
      </c>
      <c r="K221" t="s">
        <v>25</v>
      </c>
      <c r="L221" t="s">
        <v>26</v>
      </c>
      <c r="M221" t="s">
        <v>27</v>
      </c>
      <c r="N221" s="1">
        <v>18629</v>
      </c>
      <c r="O221">
        <v>0</v>
      </c>
      <c r="P221">
        <v>0</v>
      </c>
      <c r="Q221" t="s">
        <v>28</v>
      </c>
      <c r="R221" t="s">
        <v>71</v>
      </c>
      <c r="S221" t="s">
        <v>570</v>
      </c>
      <c r="T221" t="s">
        <v>571</v>
      </c>
    </row>
    <row r="222" spans="1:20" x14ac:dyDescent="0.25">
      <c r="A222" t="s">
        <v>967</v>
      </c>
      <c r="B222" t="str">
        <f>"0062"</f>
        <v>0062</v>
      </c>
      <c r="C222" t="str">
        <f>"293760062"</f>
        <v>293760062</v>
      </c>
      <c r="D222" t="s">
        <v>968</v>
      </c>
      <c r="E222" t="s">
        <v>544</v>
      </c>
      <c r="F222" t="s">
        <v>969</v>
      </c>
      <c r="G222" s="1">
        <v>29325</v>
      </c>
      <c r="H222" s="1">
        <v>41757</v>
      </c>
      <c r="I222" t="str">
        <f>"30"</f>
        <v>30</v>
      </c>
      <c r="J222" t="s">
        <v>50</v>
      </c>
      <c r="K222" t="s">
        <v>25</v>
      </c>
      <c r="L222" t="s">
        <v>26</v>
      </c>
      <c r="M222" t="s">
        <v>27</v>
      </c>
      <c r="N222" s="1">
        <v>18629</v>
      </c>
      <c r="O222">
        <v>0</v>
      </c>
      <c r="P222">
        <v>0</v>
      </c>
      <c r="Q222" t="s">
        <v>37</v>
      </c>
      <c r="R222" t="s">
        <v>29</v>
      </c>
      <c r="S222" t="s">
        <v>594</v>
      </c>
      <c r="T222" t="s">
        <v>595</v>
      </c>
    </row>
    <row r="223" spans="1:20" x14ac:dyDescent="0.25">
      <c r="A223" t="s">
        <v>970</v>
      </c>
      <c r="B223" t="str">
        <f>"6506"</f>
        <v>6506</v>
      </c>
      <c r="C223" t="str">
        <f>"302786506"</f>
        <v>302786506</v>
      </c>
      <c r="D223" t="s">
        <v>971</v>
      </c>
      <c r="E223" t="s">
        <v>972</v>
      </c>
      <c r="G223" s="1">
        <v>29612</v>
      </c>
      <c r="H223" s="1">
        <v>41757</v>
      </c>
      <c r="I223" t="str">
        <f>"05"</f>
        <v>05</v>
      </c>
      <c r="J223" t="s">
        <v>58</v>
      </c>
      <c r="L223" t="s">
        <v>37</v>
      </c>
      <c r="M223" t="s">
        <v>143</v>
      </c>
      <c r="N223" s="1">
        <v>41757</v>
      </c>
      <c r="O223">
        <v>185.9</v>
      </c>
      <c r="P223">
        <v>-185.9</v>
      </c>
      <c r="Q223" t="s">
        <v>37</v>
      </c>
      <c r="R223" t="s">
        <v>29</v>
      </c>
      <c r="S223" t="s">
        <v>973</v>
      </c>
      <c r="T223" t="s">
        <v>974</v>
      </c>
    </row>
    <row r="224" spans="1:20" x14ac:dyDescent="0.25">
      <c r="A224" t="s">
        <v>975</v>
      </c>
      <c r="B224" t="str">
        <f>"7977"</f>
        <v>7977</v>
      </c>
      <c r="C224" t="str">
        <f>"372647977"</f>
        <v>372647977</v>
      </c>
      <c r="D224" t="s">
        <v>976</v>
      </c>
      <c r="E224" t="s">
        <v>977</v>
      </c>
      <c r="F224" t="s">
        <v>69</v>
      </c>
      <c r="G224" s="1">
        <v>21126</v>
      </c>
      <c r="H224" s="1">
        <v>41757</v>
      </c>
      <c r="I224" t="str">
        <f>"15"</f>
        <v>15</v>
      </c>
      <c r="J224" t="s">
        <v>36</v>
      </c>
      <c r="K224" t="s">
        <v>175</v>
      </c>
      <c r="L224" t="s">
        <v>37</v>
      </c>
      <c r="M224" t="s">
        <v>117</v>
      </c>
      <c r="N224" s="1">
        <v>41757</v>
      </c>
      <c r="O224">
        <v>5288.66</v>
      </c>
      <c r="P224">
        <v>1322.1</v>
      </c>
      <c r="Q224" t="s">
        <v>28</v>
      </c>
      <c r="R224" t="s">
        <v>258</v>
      </c>
      <c r="S224" t="s">
        <v>978</v>
      </c>
      <c r="T224" t="s">
        <v>979</v>
      </c>
    </row>
    <row r="225" spans="1:20" x14ac:dyDescent="0.25">
      <c r="A225" t="s">
        <v>980</v>
      </c>
      <c r="B225" t="str">
        <f>"9142"</f>
        <v>9142</v>
      </c>
      <c r="C225" t="str">
        <f>"439559142"</f>
        <v>439559142</v>
      </c>
      <c r="D225" t="s">
        <v>981</v>
      </c>
      <c r="E225" t="s">
        <v>178</v>
      </c>
      <c r="F225" t="s">
        <v>174</v>
      </c>
      <c r="G225" s="1">
        <v>26862</v>
      </c>
      <c r="H225" s="1">
        <v>41757</v>
      </c>
      <c r="I225" t="str">
        <f>"42"</f>
        <v>42</v>
      </c>
      <c r="J225" t="s">
        <v>367</v>
      </c>
      <c r="K225" t="s">
        <v>25</v>
      </c>
      <c r="L225" t="s">
        <v>26</v>
      </c>
      <c r="M225" t="s">
        <v>27</v>
      </c>
      <c r="N225" s="1">
        <v>18629</v>
      </c>
      <c r="O225">
        <v>0</v>
      </c>
      <c r="P225">
        <v>0</v>
      </c>
      <c r="Q225" t="s">
        <v>28</v>
      </c>
      <c r="R225" t="s">
        <v>29</v>
      </c>
      <c r="S225" t="s">
        <v>982</v>
      </c>
      <c r="T225" t="s">
        <v>983</v>
      </c>
    </row>
    <row r="226" spans="1:20" x14ac:dyDescent="0.25">
      <c r="A226" t="s">
        <v>984</v>
      </c>
      <c r="B226" t="str">
        <f>"9193"</f>
        <v>9193</v>
      </c>
      <c r="C226" t="str">
        <f>"282809193"</f>
        <v>282809193</v>
      </c>
      <c r="D226" t="s">
        <v>985</v>
      </c>
      <c r="E226" t="s">
        <v>619</v>
      </c>
      <c r="F226" t="s">
        <v>28</v>
      </c>
      <c r="G226" s="1">
        <v>30435</v>
      </c>
      <c r="H226" s="1">
        <v>41757</v>
      </c>
      <c r="I226" t="str">
        <f>"05"</f>
        <v>05</v>
      </c>
      <c r="J226" t="s">
        <v>58</v>
      </c>
      <c r="K226" t="s">
        <v>98</v>
      </c>
      <c r="L226" t="s">
        <v>37</v>
      </c>
      <c r="M226" t="s">
        <v>99</v>
      </c>
      <c r="N226" s="1">
        <v>41617</v>
      </c>
      <c r="O226">
        <v>14801.8</v>
      </c>
      <c r="P226">
        <v>3700.32</v>
      </c>
      <c r="Q226" t="s">
        <v>37</v>
      </c>
      <c r="R226" t="s">
        <v>258</v>
      </c>
      <c r="S226" t="s">
        <v>259</v>
      </c>
      <c r="T226" t="s">
        <v>260</v>
      </c>
    </row>
    <row r="227" spans="1:20" x14ac:dyDescent="0.25">
      <c r="A227" t="s">
        <v>986</v>
      </c>
      <c r="B227" t="str">
        <f>"8868"</f>
        <v>8868</v>
      </c>
      <c r="C227" t="str">
        <f>"286528868"</f>
        <v>286528868</v>
      </c>
      <c r="D227" t="s">
        <v>987</v>
      </c>
      <c r="E227" t="s">
        <v>988</v>
      </c>
      <c r="G227" s="1">
        <v>24821</v>
      </c>
      <c r="H227" s="1">
        <v>41757</v>
      </c>
      <c r="I227" t="str">
        <f>"33"</f>
        <v>33</v>
      </c>
      <c r="J227" t="s">
        <v>45</v>
      </c>
      <c r="K227" t="s">
        <v>25</v>
      </c>
      <c r="L227" t="s">
        <v>26</v>
      </c>
      <c r="M227" t="s">
        <v>27</v>
      </c>
      <c r="N227" s="1">
        <v>18629</v>
      </c>
      <c r="O227">
        <v>0</v>
      </c>
      <c r="P227">
        <v>0</v>
      </c>
      <c r="Q227" t="s">
        <v>28</v>
      </c>
      <c r="R227" t="s">
        <v>29</v>
      </c>
      <c r="S227" t="s">
        <v>594</v>
      </c>
      <c r="T227" t="s">
        <v>595</v>
      </c>
    </row>
    <row r="228" spans="1:20" x14ac:dyDescent="0.25">
      <c r="A228" t="s">
        <v>989</v>
      </c>
      <c r="B228" t="str">
        <f>"0761"</f>
        <v>0761</v>
      </c>
      <c r="C228" t="str">
        <f>"275780761"</f>
        <v>275780761</v>
      </c>
      <c r="D228" t="s">
        <v>990</v>
      </c>
      <c r="E228" t="s">
        <v>991</v>
      </c>
      <c r="F228" t="s">
        <v>93</v>
      </c>
      <c r="G228" s="1">
        <v>28087</v>
      </c>
      <c r="H228" s="1">
        <v>41757</v>
      </c>
      <c r="I228" t="str">
        <f>"12"</f>
        <v>12</v>
      </c>
      <c r="J228" t="s">
        <v>245</v>
      </c>
      <c r="L228" t="s">
        <v>37</v>
      </c>
      <c r="M228" t="s">
        <v>143</v>
      </c>
      <c r="N228" s="1">
        <v>41771</v>
      </c>
      <c r="O228">
        <v>185.9</v>
      </c>
      <c r="P228">
        <v>-185.9</v>
      </c>
      <c r="Q228" t="s">
        <v>37</v>
      </c>
      <c r="R228" t="s">
        <v>51</v>
      </c>
      <c r="S228" t="s">
        <v>584</v>
      </c>
      <c r="T228" t="s">
        <v>585</v>
      </c>
    </row>
    <row r="229" spans="1:20" x14ac:dyDescent="0.25">
      <c r="A229" t="s">
        <v>992</v>
      </c>
      <c r="B229" t="str">
        <f>"0059"</f>
        <v>0059</v>
      </c>
      <c r="C229" t="str">
        <f>"290920059"</f>
        <v>290920059</v>
      </c>
      <c r="D229" t="s">
        <v>671</v>
      </c>
      <c r="E229" t="s">
        <v>57</v>
      </c>
      <c r="F229" t="s">
        <v>28</v>
      </c>
      <c r="G229" s="1">
        <v>32428</v>
      </c>
      <c r="H229" s="1">
        <v>41757</v>
      </c>
      <c r="I229" t="str">
        <f>"08"</f>
        <v>08</v>
      </c>
      <c r="J229" t="s">
        <v>265</v>
      </c>
      <c r="K229" t="s">
        <v>98</v>
      </c>
      <c r="L229" t="s">
        <v>37</v>
      </c>
      <c r="M229" t="s">
        <v>117</v>
      </c>
      <c r="N229" s="1">
        <v>41757</v>
      </c>
      <c r="O229">
        <v>4951.96</v>
      </c>
      <c r="P229">
        <v>1237.8599999999999</v>
      </c>
      <c r="Q229" t="s">
        <v>28</v>
      </c>
      <c r="R229" t="s">
        <v>51</v>
      </c>
      <c r="S229" t="s">
        <v>993</v>
      </c>
      <c r="T229" t="s">
        <v>994</v>
      </c>
    </row>
    <row r="230" spans="1:20" x14ac:dyDescent="0.25">
      <c r="A230" t="s">
        <v>995</v>
      </c>
      <c r="B230" t="str">
        <f>"0455"</f>
        <v>0455</v>
      </c>
      <c r="C230" t="str">
        <f>"116580455"</f>
        <v>116580455</v>
      </c>
      <c r="D230" t="s">
        <v>996</v>
      </c>
      <c r="E230" t="s">
        <v>997</v>
      </c>
      <c r="F230" t="s">
        <v>165</v>
      </c>
      <c r="G230" s="1">
        <v>23165</v>
      </c>
      <c r="H230" s="1">
        <v>41757</v>
      </c>
      <c r="I230" t="str">
        <f>"33"</f>
        <v>33</v>
      </c>
      <c r="J230" t="s">
        <v>45</v>
      </c>
      <c r="K230" t="s">
        <v>25</v>
      </c>
      <c r="L230" t="s">
        <v>26</v>
      </c>
      <c r="M230" t="s">
        <v>27</v>
      </c>
      <c r="N230" s="1">
        <v>18629</v>
      </c>
      <c r="O230">
        <v>0</v>
      </c>
      <c r="P230">
        <v>0</v>
      </c>
      <c r="Q230" t="s">
        <v>37</v>
      </c>
      <c r="R230" t="s">
        <v>51</v>
      </c>
      <c r="S230" t="s">
        <v>795</v>
      </c>
      <c r="T230" t="s">
        <v>796</v>
      </c>
    </row>
    <row r="231" spans="1:20" x14ac:dyDescent="0.25">
      <c r="A231" t="s">
        <v>998</v>
      </c>
      <c r="B231" t="str">
        <f>"9523"</f>
        <v>9523</v>
      </c>
      <c r="C231" t="str">
        <f>"280889523"</f>
        <v>280889523</v>
      </c>
      <c r="D231" t="s">
        <v>999</v>
      </c>
      <c r="E231" t="s">
        <v>518</v>
      </c>
      <c r="F231" t="s">
        <v>438</v>
      </c>
      <c r="G231" s="1">
        <v>28143</v>
      </c>
      <c r="H231" s="1">
        <v>41757</v>
      </c>
      <c r="I231" t="str">
        <f>"01"</f>
        <v>01</v>
      </c>
      <c r="J231" t="s">
        <v>116</v>
      </c>
      <c r="K231" t="s">
        <v>98</v>
      </c>
      <c r="L231" t="s">
        <v>37</v>
      </c>
      <c r="M231" t="s">
        <v>117</v>
      </c>
      <c r="N231" s="1">
        <v>41757</v>
      </c>
      <c r="O231">
        <v>4951.96</v>
      </c>
      <c r="P231">
        <v>1237.8599999999999</v>
      </c>
      <c r="Q231" t="s">
        <v>37</v>
      </c>
      <c r="R231" t="s">
        <v>110</v>
      </c>
      <c r="S231" t="s">
        <v>482</v>
      </c>
      <c r="T231" t="s">
        <v>483</v>
      </c>
    </row>
    <row r="232" spans="1:20" x14ac:dyDescent="0.25">
      <c r="A232" t="s">
        <v>1000</v>
      </c>
      <c r="B232" t="str">
        <f>"4470"</f>
        <v>4470</v>
      </c>
      <c r="C232" t="str">
        <f>"281844470"</f>
        <v>281844470</v>
      </c>
      <c r="D232" t="s">
        <v>462</v>
      </c>
      <c r="E232" t="s">
        <v>1001</v>
      </c>
      <c r="F232" t="s">
        <v>35</v>
      </c>
      <c r="G232" s="1">
        <v>31302</v>
      </c>
      <c r="H232" s="1">
        <v>41757</v>
      </c>
      <c r="I232" t="str">
        <f>"42"</f>
        <v>42</v>
      </c>
      <c r="J232" t="s">
        <v>367</v>
      </c>
      <c r="K232" t="s">
        <v>25</v>
      </c>
      <c r="L232" t="s">
        <v>26</v>
      </c>
      <c r="M232" t="s">
        <v>27</v>
      </c>
      <c r="N232" s="1">
        <v>18629</v>
      </c>
      <c r="O232">
        <v>0</v>
      </c>
      <c r="P232">
        <v>0</v>
      </c>
      <c r="Q232" t="s">
        <v>28</v>
      </c>
      <c r="R232" t="s">
        <v>599</v>
      </c>
      <c r="S232" t="s">
        <v>668</v>
      </c>
      <c r="T232" t="s">
        <v>669</v>
      </c>
    </row>
    <row r="233" spans="1:20" x14ac:dyDescent="0.25">
      <c r="A233" t="s">
        <v>1002</v>
      </c>
      <c r="B233" t="str">
        <f>"8476"</f>
        <v>8476</v>
      </c>
      <c r="C233" t="str">
        <f>"273808476"</f>
        <v>273808476</v>
      </c>
      <c r="D233" t="s">
        <v>1003</v>
      </c>
      <c r="E233" t="s">
        <v>1004</v>
      </c>
      <c r="G233" s="1">
        <v>29740</v>
      </c>
      <c r="H233" s="1">
        <v>41757</v>
      </c>
      <c r="I233" t="str">
        <f>"42"</f>
        <v>42</v>
      </c>
      <c r="J233" t="s">
        <v>367</v>
      </c>
      <c r="K233" t="s">
        <v>25</v>
      </c>
      <c r="L233" t="s">
        <v>26</v>
      </c>
      <c r="M233" t="s">
        <v>27</v>
      </c>
      <c r="N233" s="1">
        <v>18629</v>
      </c>
      <c r="O233">
        <v>0</v>
      </c>
      <c r="P233">
        <v>0</v>
      </c>
      <c r="Q233" t="s">
        <v>28</v>
      </c>
      <c r="R233" t="s">
        <v>599</v>
      </c>
      <c r="S233" t="s">
        <v>668</v>
      </c>
      <c r="T233" t="s">
        <v>669</v>
      </c>
    </row>
    <row r="234" spans="1:20" x14ac:dyDescent="0.25">
      <c r="A234" t="s">
        <v>1005</v>
      </c>
      <c r="B234" t="str">
        <f>"4103"</f>
        <v>4103</v>
      </c>
      <c r="C234" t="str">
        <f>"269904103"</f>
        <v>269904103</v>
      </c>
      <c r="D234" t="s">
        <v>1006</v>
      </c>
      <c r="E234" t="s">
        <v>1007</v>
      </c>
      <c r="F234" t="s">
        <v>1008</v>
      </c>
      <c r="G234" s="1">
        <v>32429</v>
      </c>
      <c r="H234" s="1">
        <v>41757</v>
      </c>
      <c r="I234" t="str">
        <f>"30"</f>
        <v>30</v>
      </c>
      <c r="J234" t="s">
        <v>50</v>
      </c>
      <c r="K234" t="s">
        <v>25</v>
      </c>
      <c r="L234" t="s">
        <v>26</v>
      </c>
      <c r="M234" t="s">
        <v>27</v>
      </c>
      <c r="N234" s="1">
        <v>18629</v>
      </c>
      <c r="O234">
        <v>0</v>
      </c>
      <c r="P234">
        <v>0</v>
      </c>
      <c r="Q234" t="s">
        <v>37</v>
      </c>
      <c r="R234" t="s">
        <v>51</v>
      </c>
      <c r="S234" s="2" t="s">
        <v>774</v>
      </c>
      <c r="T234" t="s">
        <v>775</v>
      </c>
    </row>
    <row r="235" spans="1:20" x14ac:dyDescent="0.25">
      <c r="A235" t="s">
        <v>1009</v>
      </c>
      <c r="B235" t="str">
        <f>"0689"</f>
        <v>0689</v>
      </c>
      <c r="C235" t="str">
        <f>"290800689"</f>
        <v>290800689</v>
      </c>
      <c r="D235" t="s">
        <v>1010</v>
      </c>
      <c r="E235" t="s">
        <v>1011</v>
      </c>
      <c r="F235" t="s">
        <v>1012</v>
      </c>
      <c r="G235" s="1">
        <v>29775</v>
      </c>
      <c r="H235" s="1">
        <v>41757</v>
      </c>
      <c r="I235" t="str">
        <f>"42"</f>
        <v>42</v>
      </c>
      <c r="J235" t="s">
        <v>367</v>
      </c>
      <c r="K235" t="s">
        <v>25</v>
      </c>
      <c r="L235" t="s">
        <v>26</v>
      </c>
      <c r="M235" t="s">
        <v>27</v>
      </c>
      <c r="N235" s="1">
        <v>18629</v>
      </c>
      <c r="O235">
        <v>0</v>
      </c>
      <c r="P235">
        <v>0</v>
      </c>
      <c r="Q235" t="s">
        <v>37</v>
      </c>
      <c r="R235" t="s">
        <v>599</v>
      </c>
      <c r="S235" t="s">
        <v>668</v>
      </c>
      <c r="T235" t="s">
        <v>669</v>
      </c>
    </row>
    <row r="236" spans="1:20" x14ac:dyDescent="0.25">
      <c r="A236" t="s">
        <v>1013</v>
      </c>
      <c r="B236" t="str">
        <f>"1443"</f>
        <v>1443</v>
      </c>
      <c r="C236" t="str">
        <f>"272841443"</f>
        <v>272841443</v>
      </c>
      <c r="D236" t="s">
        <v>310</v>
      </c>
      <c r="E236" t="s">
        <v>1014</v>
      </c>
      <c r="G236" s="1">
        <v>31270</v>
      </c>
      <c r="H236" s="1">
        <v>41757</v>
      </c>
      <c r="I236" t="str">
        <f>"42"</f>
        <v>42</v>
      </c>
      <c r="J236" t="s">
        <v>367</v>
      </c>
      <c r="K236" t="s">
        <v>25</v>
      </c>
      <c r="L236" t="s">
        <v>26</v>
      </c>
      <c r="M236" t="s">
        <v>27</v>
      </c>
      <c r="N236" s="1">
        <v>18629</v>
      </c>
      <c r="O236">
        <v>0</v>
      </c>
      <c r="P236">
        <v>0</v>
      </c>
      <c r="Q236" t="s">
        <v>28</v>
      </c>
      <c r="R236" t="s">
        <v>1015</v>
      </c>
      <c r="S236" t="s">
        <v>982</v>
      </c>
      <c r="T236" t="s">
        <v>983</v>
      </c>
    </row>
    <row r="237" spans="1:20" x14ac:dyDescent="0.25">
      <c r="A237" t="s">
        <v>1016</v>
      </c>
      <c r="B237" t="str">
        <f>"8268"</f>
        <v>8268</v>
      </c>
      <c r="C237" t="str">
        <f>"296688268"</f>
        <v>296688268</v>
      </c>
      <c r="D237" t="s">
        <v>1017</v>
      </c>
      <c r="E237" t="s">
        <v>179</v>
      </c>
      <c r="G237" s="1">
        <v>24891</v>
      </c>
      <c r="H237" s="1">
        <v>41757</v>
      </c>
      <c r="I237" t="str">
        <f>"07"</f>
        <v>07</v>
      </c>
      <c r="J237" t="s">
        <v>1018</v>
      </c>
      <c r="K237" t="s">
        <v>98</v>
      </c>
      <c r="L237" t="s">
        <v>37</v>
      </c>
      <c r="M237" t="s">
        <v>99</v>
      </c>
      <c r="N237" s="1">
        <v>41617</v>
      </c>
      <c r="O237">
        <v>14801.8</v>
      </c>
      <c r="P237">
        <v>3700.32</v>
      </c>
      <c r="Q237" t="s">
        <v>28</v>
      </c>
      <c r="R237" t="s">
        <v>38</v>
      </c>
      <c r="S237" t="s">
        <v>982</v>
      </c>
      <c r="T237" t="s">
        <v>983</v>
      </c>
    </row>
    <row r="238" spans="1:20" x14ac:dyDescent="0.25">
      <c r="A238" t="s">
        <v>1019</v>
      </c>
      <c r="B238" t="str">
        <f>"7579"</f>
        <v>7579</v>
      </c>
      <c r="C238" t="str">
        <f>"273607579"</f>
        <v>273607579</v>
      </c>
      <c r="D238" t="s">
        <v>1020</v>
      </c>
      <c r="E238" t="s">
        <v>35</v>
      </c>
      <c r="F238" t="s">
        <v>264</v>
      </c>
      <c r="G238" s="1">
        <v>23420</v>
      </c>
      <c r="H238" s="1">
        <v>41754</v>
      </c>
      <c r="I238" t="str">
        <f>"52"</f>
        <v>52</v>
      </c>
      <c r="J238" t="s">
        <v>330</v>
      </c>
      <c r="K238" t="s">
        <v>25</v>
      </c>
      <c r="L238" t="s">
        <v>26</v>
      </c>
      <c r="M238" t="s">
        <v>27</v>
      </c>
      <c r="N238" s="1">
        <v>18629</v>
      </c>
      <c r="O238">
        <v>0</v>
      </c>
      <c r="P238">
        <v>0</v>
      </c>
      <c r="Q238" t="s">
        <v>28</v>
      </c>
      <c r="R238" t="s">
        <v>71</v>
      </c>
      <c r="S238" t="s">
        <v>402</v>
      </c>
      <c r="T238" t="s">
        <v>403</v>
      </c>
    </row>
    <row r="239" spans="1:20" x14ac:dyDescent="0.25">
      <c r="A239" t="s">
        <v>1021</v>
      </c>
      <c r="B239" t="str">
        <f>"0315"</f>
        <v>0315</v>
      </c>
      <c r="C239" t="str">
        <f>"300660315"</f>
        <v>300660315</v>
      </c>
      <c r="D239" t="s">
        <v>1022</v>
      </c>
      <c r="E239" t="s">
        <v>1023</v>
      </c>
      <c r="G239" s="1">
        <v>22562</v>
      </c>
      <c r="H239" s="1">
        <v>41751</v>
      </c>
      <c r="I239" t="str">
        <f>"53"</f>
        <v>53</v>
      </c>
      <c r="J239" t="s">
        <v>917</v>
      </c>
      <c r="K239" t="s">
        <v>25</v>
      </c>
      <c r="L239" t="s">
        <v>26</v>
      </c>
      <c r="M239" t="s">
        <v>27</v>
      </c>
      <c r="N239" s="1">
        <v>18629</v>
      </c>
      <c r="O239">
        <v>0</v>
      </c>
      <c r="P239">
        <v>0</v>
      </c>
      <c r="Q239" t="s">
        <v>37</v>
      </c>
      <c r="R239" t="s">
        <v>312</v>
      </c>
      <c r="S239" t="s">
        <v>950</v>
      </c>
      <c r="T239" t="s">
        <v>951</v>
      </c>
    </row>
    <row r="240" spans="1:20" x14ac:dyDescent="0.25">
      <c r="A240" t="s">
        <v>1024</v>
      </c>
      <c r="B240" t="str">
        <f>"7874"</f>
        <v>7874</v>
      </c>
      <c r="C240" t="str">
        <f>"283467874"</f>
        <v>283467874</v>
      </c>
      <c r="D240" t="s">
        <v>1025</v>
      </c>
      <c r="E240" t="s">
        <v>1026</v>
      </c>
      <c r="G240" s="1">
        <v>17866</v>
      </c>
      <c r="H240" s="1">
        <v>41744</v>
      </c>
      <c r="I240" t="str">
        <f t="shared" ref="I240:I245" si="1">"52"</f>
        <v>52</v>
      </c>
      <c r="J240" t="s">
        <v>330</v>
      </c>
      <c r="K240" t="s">
        <v>25</v>
      </c>
      <c r="L240" t="s">
        <v>26</v>
      </c>
      <c r="M240" t="s">
        <v>27</v>
      </c>
      <c r="N240" s="1">
        <v>18629</v>
      </c>
      <c r="O240">
        <v>0</v>
      </c>
      <c r="P240">
        <v>0</v>
      </c>
      <c r="Q240" t="s">
        <v>37</v>
      </c>
      <c r="R240" t="s">
        <v>51</v>
      </c>
      <c r="S240" s="2" t="s">
        <v>362</v>
      </c>
      <c r="T240" t="s">
        <v>363</v>
      </c>
    </row>
    <row r="241" spans="1:20" x14ac:dyDescent="0.25">
      <c r="A241" t="s">
        <v>1027</v>
      </c>
      <c r="B241" t="str">
        <f>"3109"</f>
        <v>3109</v>
      </c>
      <c r="C241" t="str">
        <f>"291743109"</f>
        <v>291743109</v>
      </c>
      <c r="D241" t="s">
        <v>1028</v>
      </c>
      <c r="E241" t="s">
        <v>499</v>
      </c>
      <c r="F241" t="s">
        <v>174</v>
      </c>
      <c r="G241" s="1">
        <v>28976</v>
      </c>
      <c r="H241" s="1">
        <v>41743</v>
      </c>
      <c r="I241" t="str">
        <f t="shared" si="1"/>
        <v>52</v>
      </c>
      <c r="J241" t="s">
        <v>330</v>
      </c>
      <c r="K241" t="s">
        <v>25</v>
      </c>
      <c r="L241" t="s">
        <v>26</v>
      </c>
      <c r="M241" t="s">
        <v>27</v>
      </c>
      <c r="N241" s="1">
        <v>18629</v>
      </c>
      <c r="O241">
        <v>0</v>
      </c>
      <c r="P241">
        <v>0</v>
      </c>
      <c r="Q241" t="s">
        <v>28</v>
      </c>
      <c r="R241" t="s">
        <v>71</v>
      </c>
      <c r="S241" t="s">
        <v>402</v>
      </c>
      <c r="T241" t="s">
        <v>403</v>
      </c>
    </row>
    <row r="242" spans="1:20" x14ac:dyDescent="0.25">
      <c r="A242" t="s">
        <v>1029</v>
      </c>
      <c r="B242" t="str">
        <f>"9466"</f>
        <v>9466</v>
      </c>
      <c r="C242" t="str">
        <f>"289509466"</f>
        <v>289509466</v>
      </c>
      <c r="D242" t="s">
        <v>1030</v>
      </c>
      <c r="E242" t="s">
        <v>1031</v>
      </c>
      <c r="F242" t="s">
        <v>1032</v>
      </c>
      <c r="G242" s="1">
        <v>22486</v>
      </c>
      <c r="H242" s="1">
        <v>41743</v>
      </c>
      <c r="I242" t="str">
        <f t="shared" si="1"/>
        <v>52</v>
      </c>
      <c r="J242" t="s">
        <v>330</v>
      </c>
      <c r="K242" t="s">
        <v>25</v>
      </c>
      <c r="L242" t="s">
        <v>26</v>
      </c>
      <c r="M242" t="s">
        <v>27</v>
      </c>
      <c r="N242" s="1">
        <v>18629</v>
      </c>
      <c r="O242">
        <v>0</v>
      </c>
      <c r="P242">
        <v>0</v>
      </c>
      <c r="Q242" t="s">
        <v>28</v>
      </c>
      <c r="R242" t="s">
        <v>71</v>
      </c>
      <c r="S242" t="s">
        <v>402</v>
      </c>
      <c r="T242" t="s">
        <v>403</v>
      </c>
    </row>
    <row r="243" spans="1:20" x14ac:dyDescent="0.25">
      <c r="A243" t="s">
        <v>1033</v>
      </c>
      <c r="B243" t="str">
        <f>"1843"</f>
        <v>1843</v>
      </c>
      <c r="C243" t="str">
        <f>"293701843"</f>
        <v>293701843</v>
      </c>
      <c r="D243" t="s">
        <v>1034</v>
      </c>
      <c r="E243" t="s">
        <v>1035</v>
      </c>
      <c r="F243" t="s">
        <v>37</v>
      </c>
      <c r="G243" s="1">
        <v>24099</v>
      </c>
      <c r="H243" s="1">
        <v>41743</v>
      </c>
      <c r="I243" t="str">
        <f t="shared" si="1"/>
        <v>52</v>
      </c>
      <c r="J243" t="s">
        <v>330</v>
      </c>
      <c r="K243" t="s">
        <v>25</v>
      </c>
      <c r="L243" t="s">
        <v>26</v>
      </c>
      <c r="M243" t="s">
        <v>27</v>
      </c>
      <c r="N243" s="1">
        <v>18629</v>
      </c>
      <c r="O243">
        <v>0</v>
      </c>
      <c r="P243">
        <v>0</v>
      </c>
      <c r="Q243" t="s">
        <v>28</v>
      </c>
      <c r="R243" t="s">
        <v>71</v>
      </c>
      <c r="S243" t="s">
        <v>402</v>
      </c>
      <c r="T243" t="s">
        <v>403</v>
      </c>
    </row>
    <row r="244" spans="1:20" x14ac:dyDescent="0.25">
      <c r="A244" t="s">
        <v>1036</v>
      </c>
      <c r="B244" t="str">
        <f>"6235"</f>
        <v>6235</v>
      </c>
      <c r="C244" t="str">
        <f>"547736235"</f>
        <v>547736235</v>
      </c>
      <c r="D244" t="s">
        <v>1037</v>
      </c>
      <c r="E244" t="s">
        <v>178</v>
      </c>
      <c r="F244" t="s">
        <v>28</v>
      </c>
      <c r="G244" s="1">
        <v>24367</v>
      </c>
      <c r="H244" s="1">
        <v>41743</v>
      </c>
      <c r="I244" t="str">
        <f t="shared" si="1"/>
        <v>52</v>
      </c>
      <c r="J244" t="s">
        <v>330</v>
      </c>
      <c r="K244" t="s">
        <v>25</v>
      </c>
      <c r="L244" t="s">
        <v>26</v>
      </c>
      <c r="M244" t="s">
        <v>27</v>
      </c>
      <c r="N244" s="1">
        <v>18629</v>
      </c>
      <c r="O244">
        <v>0</v>
      </c>
      <c r="P244">
        <v>0</v>
      </c>
      <c r="Q244" t="s">
        <v>28</v>
      </c>
      <c r="R244" t="s">
        <v>71</v>
      </c>
      <c r="S244" t="s">
        <v>402</v>
      </c>
      <c r="T244" t="s">
        <v>403</v>
      </c>
    </row>
    <row r="245" spans="1:20" x14ac:dyDescent="0.25">
      <c r="A245" t="s">
        <v>1038</v>
      </c>
      <c r="B245" t="str">
        <f>"5714"</f>
        <v>5714</v>
      </c>
      <c r="C245" t="str">
        <f>"398525714"</f>
        <v>398525714</v>
      </c>
      <c r="D245" t="s">
        <v>1039</v>
      </c>
      <c r="E245" t="s">
        <v>179</v>
      </c>
      <c r="G245" s="1">
        <v>21834</v>
      </c>
      <c r="H245" s="1">
        <v>41743</v>
      </c>
      <c r="I245" t="str">
        <f t="shared" si="1"/>
        <v>52</v>
      </c>
      <c r="J245" t="s">
        <v>330</v>
      </c>
      <c r="K245" t="s">
        <v>25</v>
      </c>
      <c r="L245" t="s">
        <v>26</v>
      </c>
      <c r="M245" t="s">
        <v>27</v>
      </c>
      <c r="N245" s="1">
        <v>18629</v>
      </c>
      <c r="O245">
        <v>0</v>
      </c>
      <c r="P245">
        <v>0</v>
      </c>
      <c r="Q245" t="s">
        <v>28</v>
      </c>
      <c r="R245" t="s">
        <v>71</v>
      </c>
      <c r="S245" t="s">
        <v>402</v>
      </c>
      <c r="T245" t="s">
        <v>403</v>
      </c>
    </row>
    <row r="246" spans="1:20" x14ac:dyDescent="0.25">
      <c r="A246" t="s">
        <v>1040</v>
      </c>
      <c r="B246" t="str">
        <f>"9797"</f>
        <v>9797</v>
      </c>
      <c r="C246" t="str">
        <f>"278949797"</f>
        <v>278949797</v>
      </c>
      <c r="D246" t="s">
        <v>1041</v>
      </c>
      <c r="E246" t="s">
        <v>563</v>
      </c>
      <c r="F246" t="s">
        <v>256</v>
      </c>
      <c r="G246" s="1">
        <v>33452</v>
      </c>
      <c r="H246" s="1">
        <v>41743</v>
      </c>
      <c r="I246" t="str">
        <f>"41"</f>
        <v>41</v>
      </c>
      <c r="J246" t="s">
        <v>24</v>
      </c>
      <c r="K246" t="s">
        <v>25</v>
      </c>
      <c r="L246" t="s">
        <v>26</v>
      </c>
      <c r="M246" t="s">
        <v>27</v>
      </c>
      <c r="N246" s="1">
        <v>18629</v>
      </c>
      <c r="O246">
        <v>0</v>
      </c>
      <c r="P246">
        <v>0</v>
      </c>
      <c r="Q246" t="s">
        <v>37</v>
      </c>
      <c r="R246" t="s">
        <v>71</v>
      </c>
      <c r="S246" t="s">
        <v>402</v>
      </c>
      <c r="T246" t="s">
        <v>403</v>
      </c>
    </row>
    <row r="247" spans="1:20" x14ac:dyDescent="0.25">
      <c r="A247" t="s">
        <v>1042</v>
      </c>
      <c r="B247" t="str">
        <f>"8044"</f>
        <v>8044</v>
      </c>
      <c r="C247" t="str">
        <f>"302968044"</f>
        <v>302968044</v>
      </c>
      <c r="D247" t="s">
        <v>1041</v>
      </c>
      <c r="E247" t="s">
        <v>1043</v>
      </c>
      <c r="F247" t="s">
        <v>276</v>
      </c>
      <c r="G247" s="1">
        <v>34526</v>
      </c>
      <c r="H247" s="1">
        <v>41743</v>
      </c>
      <c r="I247" t="str">
        <f>"41"</f>
        <v>41</v>
      </c>
      <c r="J247" t="s">
        <v>24</v>
      </c>
      <c r="K247" t="s">
        <v>25</v>
      </c>
      <c r="L247" t="s">
        <v>26</v>
      </c>
      <c r="M247" t="s">
        <v>27</v>
      </c>
      <c r="N247" s="1">
        <v>18629</v>
      </c>
      <c r="O247">
        <v>0</v>
      </c>
      <c r="P247">
        <v>0</v>
      </c>
      <c r="Q247" t="s">
        <v>37</v>
      </c>
      <c r="R247" t="s">
        <v>71</v>
      </c>
      <c r="S247" t="s">
        <v>402</v>
      </c>
      <c r="T247" t="s">
        <v>403</v>
      </c>
    </row>
    <row r="248" spans="1:20" x14ac:dyDescent="0.25">
      <c r="A248" t="s">
        <v>1044</v>
      </c>
      <c r="B248" t="str">
        <f>"1848"</f>
        <v>1848</v>
      </c>
      <c r="C248" t="str">
        <f>"278821848"</f>
        <v>278821848</v>
      </c>
      <c r="D248" t="s">
        <v>1045</v>
      </c>
      <c r="E248" t="s">
        <v>250</v>
      </c>
      <c r="F248" t="s">
        <v>317</v>
      </c>
      <c r="G248" s="1">
        <v>30652</v>
      </c>
      <c r="H248" s="1">
        <v>41743</v>
      </c>
      <c r="I248" t="str">
        <f>"12"</f>
        <v>12</v>
      </c>
      <c r="J248" t="s">
        <v>245</v>
      </c>
      <c r="K248" t="s">
        <v>98</v>
      </c>
      <c r="L248" t="s">
        <v>37</v>
      </c>
      <c r="M248" t="s">
        <v>257</v>
      </c>
      <c r="N248" s="1">
        <v>41757</v>
      </c>
      <c r="O248">
        <v>10753.08</v>
      </c>
      <c r="P248">
        <v>2688.4</v>
      </c>
      <c r="Q248" t="s">
        <v>37</v>
      </c>
      <c r="R248" t="s">
        <v>110</v>
      </c>
      <c r="S248" t="s">
        <v>1046</v>
      </c>
      <c r="T248" t="s">
        <v>1047</v>
      </c>
    </row>
    <row r="249" spans="1:20" x14ac:dyDescent="0.25">
      <c r="A249" t="s">
        <v>1048</v>
      </c>
      <c r="B249" t="str">
        <f>"4931"</f>
        <v>4931</v>
      </c>
      <c r="C249" t="str">
        <f>"268644931"</f>
        <v>268644931</v>
      </c>
      <c r="D249" t="s">
        <v>1049</v>
      </c>
      <c r="E249" t="s">
        <v>1050</v>
      </c>
      <c r="F249" t="s">
        <v>35</v>
      </c>
      <c r="G249" s="1">
        <v>22165</v>
      </c>
      <c r="H249" s="1">
        <v>41743</v>
      </c>
      <c r="I249" t="str">
        <f>"41"</f>
        <v>41</v>
      </c>
      <c r="J249" t="s">
        <v>24</v>
      </c>
      <c r="K249" t="s">
        <v>25</v>
      </c>
      <c r="L249" t="s">
        <v>26</v>
      </c>
      <c r="M249" t="s">
        <v>27</v>
      </c>
      <c r="N249" s="1">
        <v>18629</v>
      </c>
      <c r="O249">
        <v>0</v>
      </c>
      <c r="P249">
        <v>0</v>
      </c>
      <c r="Q249" t="s">
        <v>28</v>
      </c>
      <c r="R249" t="s">
        <v>38</v>
      </c>
      <c r="S249" t="s">
        <v>1051</v>
      </c>
      <c r="T249" t="s">
        <v>1052</v>
      </c>
    </row>
    <row r="250" spans="1:20" x14ac:dyDescent="0.25">
      <c r="A250" t="s">
        <v>1053</v>
      </c>
      <c r="B250" t="str">
        <f>"8687"</f>
        <v>8687</v>
      </c>
      <c r="C250" t="str">
        <f>"443028687"</f>
        <v>443028687</v>
      </c>
      <c r="D250" t="s">
        <v>1054</v>
      </c>
      <c r="E250" t="s">
        <v>1055</v>
      </c>
      <c r="F250" t="s">
        <v>49</v>
      </c>
      <c r="G250" s="1">
        <v>32708</v>
      </c>
      <c r="H250" s="1">
        <v>41743</v>
      </c>
      <c r="I250" t="str">
        <f>"30"</f>
        <v>30</v>
      </c>
      <c r="J250" t="s">
        <v>50</v>
      </c>
      <c r="K250" t="s">
        <v>25</v>
      </c>
      <c r="L250" t="s">
        <v>26</v>
      </c>
      <c r="M250" t="s">
        <v>27</v>
      </c>
      <c r="N250" s="1">
        <v>18629</v>
      </c>
      <c r="O250">
        <v>0</v>
      </c>
      <c r="P250">
        <v>0</v>
      </c>
      <c r="Q250" t="s">
        <v>28</v>
      </c>
      <c r="R250" t="s">
        <v>51</v>
      </c>
      <c r="S250" s="2" t="s">
        <v>198</v>
      </c>
      <c r="T250" t="s">
        <v>199</v>
      </c>
    </row>
    <row r="251" spans="1:20" x14ac:dyDescent="0.25">
      <c r="A251" t="s">
        <v>1056</v>
      </c>
      <c r="B251" t="str">
        <f>"7151"</f>
        <v>7151</v>
      </c>
      <c r="C251" t="str">
        <f>"269807151"</f>
        <v>269807151</v>
      </c>
      <c r="D251" t="s">
        <v>1057</v>
      </c>
      <c r="E251" t="s">
        <v>430</v>
      </c>
      <c r="F251" t="s">
        <v>93</v>
      </c>
      <c r="G251" s="1">
        <v>26149</v>
      </c>
      <c r="H251" s="1">
        <v>41743</v>
      </c>
      <c r="I251" t="str">
        <f>"52"</f>
        <v>52</v>
      </c>
      <c r="J251" t="s">
        <v>330</v>
      </c>
      <c r="K251" t="s">
        <v>25</v>
      </c>
      <c r="L251" t="s">
        <v>26</v>
      </c>
      <c r="M251" t="s">
        <v>27</v>
      </c>
      <c r="N251" s="1">
        <v>18629</v>
      </c>
      <c r="O251">
        <v>0</v>
      </c>
      <c r="P251">
        <v>0</v>
      </c>
      <c r="Q251" t="s">
        <v>28</v>
      </c>
      <c r="R251" t="s">
        <v>71</v>
      </c>
      <c r="S251" t="s">
        <v>402</v>
      </c>
      <c r="T251" t="s">
        <v>403</v>
      </c>
    </row>
    <row r="252" spans="1:20" x14ac:dyDescent="0.25">
      <c r="A252" t="s">
        <v>1058</v>
      </c>
      <c r="B252" t="str">
        <f>"7933"</f>
        <v>7933</v>
      </c>
      <c r="C252" t="str">
        <f>"290607933"</f>
        <v>290607933</v>
      </c>
      <c r="D252" t="s">
        <v>1059</v>
      </c>
      <c r="E252" t="s">
        <v>33</v>
      </c>
      <c r="F252" t="s">
        <v>93</v>
      </c>
      <c r="G252" s="1">
        <v>22899</v>
      </c>
      <c r="H252" s="1">
        <v>41743</v>
      </c>
      <c r="I252" t="str">
        <f>"52"</f>
        <v>52</v>
      </c>
      <c r="J252" t="s">
        <v>330</v>
      </c>
      <c r="K252" t="s">
        <v>25</v>
      </c>
      <c r="L252" t="s">
        <v>26</v>
      </c>
      <c r="M252" t="s">
        <v>27</v>
      </c>
      <c r="N252" s="1">
        <v>18629</v>
      </c>
      <c r="O252">
        <v>0</v>
      </c>
      <c r="P252">
        <v>0</v>
      </c>
      <c r="Q252" t="s">
        <v>28</v>
      </c>
      <c r="R252" t="s">
        <v>71</v>
      </c>
      <c r="S252" t="s">
        <v>402</v>
      </c>
      <c r="T252" t="s">
        <v>403</v>
      </c>
    </row>
    <row r="253" spans="1:20" x14ac:dyDescent="0.25">
      <c r="A253" t="s">
        <v>1060</v>
      </c>
      <c r="B253" t="str">
        <f>"7641"</f>
        <v>7641</v>
      </c>
      <c r="C253" t="str">
        <f>"282767641"</f>
        <v>282767641</v>
      </c>
      <c r="D253" t="s">
        <v>1061</v>
      </c>
      <c r="E253" t="s">
        <v>588</v>
      </c>
      <c r="G253" s="1">
        <v>24999</v>
      </c>
      <c r="H253" s="1">
        <v>41743</v>
      </c>
      <c r="I253" t="str">
        <f>"01"</f>
        <v>01</v>
      </c>
      <c r="J253" t="s">
        <v>116</v>
      </c>
      <c r="L253" t="s">
        <v>37</v>
      </c>
      <c r="M253" t="s">
        <v>143</v>
      </c>
      <c r="N253" s="1">
        <v>41757</v>
      </c>
      <c r="O253">
        <v>185.9</v>
      </c>
      <c r="P253">
        <v>-185.9</v>
      </c>
      <c r="Q253" t="s">
        <v>28</v>
      </c>
      <c r="R253" t="s">
        <v>38</v>
      </c>
      <c r="S253" t="s">
        <v>1062</v>
      </c>
      <c r="T253" t="s">
        <v>1063</v>
      </c>
    </row>
    <row r="254" spans="1:20" x14ac:dyDescent="0.25">
      <c r="A254" t="s">
        <v>1064</v>
      </c>
      <c r="B254" t="str">
        <f>"6650"</f>
        <v>6650</v>
      </c>
      <c r="C254" t="str">
        <f>"299826650"</f>
        <v>299826650</v>
      </c>
      <c r="D254" t="s">
        <v>310</v>
      </c>
      <c r="E254" t="s">
        <v>549</v>
      </c>
      <c r="G254" s="1">
        <v>31139</v>
      </c>
      <c r="H254" s="1">
        <v>41743</v>
      </c>
      <c r="I254" t="str">
        <f>"15"</f>
        <v>15</v>
      </c>
      <c r="J254" t="s">
        <v>36</v>
      </c>
      <c r="K254" t="s">
        <v>175</v>
      </c>
      <c r="L254" t="s">
        <v>37</v>
      </c>
      <c r="M254" t="s">
        <v>99</v>
      </c>
      <c r="N254" s="1">
        <v>41757</v>
      </c>
      <c r="O254">
        <v>16411.72</v>
      </c>
      <c r="P254">
        <v>4102.8</v>
      </c>
      <c r="Q254" t="s">
        <v>28</v>
      </c>
      <c r="R254" t="s">
        <v>77</v>
      </c>
      <c r="S254" t="s">
        <v>78</v>
      </c>
      <c r="T254" t="s">
        <v>79</v>
      </c>
    </row>
    <row r="255" spans="1:20" x14ac:dyDescent="0.25">
      <c r="A255" t="s">
        <v>1065</v>
      </c>
      <c r="B255" t="str">
        <f>"3126"</f>
        <v>3126</v>
      </c>
      <c r="C255" t="str">
        <f>"285663126"</f>
        <v>285663126</v>
      </c>
      <c r="D255" t="s">
        <v>1066</v>
      </c>
      <c r="E255" t="s">
        <v>1067</v>
      </c>
      <c r="F255" t="s">
        <v>35</v>
      </c>
      <c r="G255" s="1">
        <v>25528</v>
      </c>
      <c r="H255" s="1">
        <v>41743</v>
      </c>
      <c r="I255" t="str">
        <f>"52"</f>
        <v>52</v>
      </c>
      <c r="J255" t="s">
        <v>330</v>
      </c>
      <c r="K255" t="s">
        <v>25</v>
      </c>
      <c r="L255" t="s">
        <v>26</v>
      </c>
      <c r="M255" t="s">
        <v>27</v>
      </c>
      <c r="N255" s="1">
        <v>18629</v>
      </c>
      <c r="O255">
        <v>0</v>
      </c>
      <c r="P255">
        <v>0</v>
      </c>
      <c r="Q255" t="s">
        <v>28</v>
      </c>
      <c r="R255" t="s">
        <v>71</v>
      </c>
      <c r="S255" t="s">
        <v>402</v>
      </c>
      <c r="T255" t="s">
        <v>403</v>
      </c>
    </row>
    <row r="256" spans="1:20" x14ac:dyDescent="0.25">
      <c r="A256" t="s">
        <v>1068</v>
      </c>
      <c r="B256" t="str">
        <f>"7651"</f>
        <v>7651</v>
      </c>
      <c r="C256" t="str">
        <f>"301607651"</f>
        <v>301607651</v>
      </c>
      <c r="D256" t="s">
        <v>1069</v>
      </c>
      <c r="E256" t="s">
        <v>1070</v>
      </c>
      <c r="F256" t="s">
        <v>1071</v>
      </c>
      <c r="G256" s="1">
        <v>27856</v>
      </c>
      <c r="H256" s="1">
        <v>41736</v>
      </c>
      <c r="I256" t="str">
        <f>"05"</f>
        <v>05</v>
      </c>
      <c r="J256" t="s">
        <v>58</v>
      </c>
      <c r="L256" t="s">
        <v>37</v>
      </c>
      <c r="M256" t="s">
        <v>143</v>
      </c>
      <c r="N256" s="1">
        <v>41617</v>
      </c>
      <c r="O256">
        <v>185.9</v>
      </c>
      <c r="P256">
        <v>-185.9</v>
      </c>
      <c r="Q256" t="s">
        <v>37</v>
      </c>
      <c r="R256" t="s">
        <v>71</v>
      </c>
      <c r="S256" t="s">
        <v>737</v>
      </c>
      <c r="T256" t="s">
        <v>738</v>
      </c>
    </row>
    <row r="257" spans="1:20" x14ac:dyDescent="0.25">
      <c r="A257" t="s">
        <v>1072</v>
      </c>
      <c r="B257" t="str">
        <f>"0733"</f>
        <v>0733</v>
      </c>
      <c r="C257" t="str">
        <f>"272720733"</f>
        <v>272720733</v>
      </c>
      <c r="D257" t="s">
        <v>1073</v>
      </c>
      <c r="E257" t="s">
        <v>1074</v>
      </c>
      <c r="F257" t="s">
        <v>317</v>
      </c>
      <c r="G257" s="1">
        <v>25491</v>
      </c>
      <c r="H257" s="1">
        <v>41736</v>
      </c>
      <c r="I257" t="str">
        <f>"41"</f>
        <v>41</v>
      </c>
      <c r="J257" t="s">
        <v>24</v>
      </c>
      <c r="K257" t="s">
        <v>25</v>
      </c>
      <c r="L257" t="s">
        <v>26</v>
      </c>
      <c r="M257" t="s">
        <v>27</v>
      </c>
      <c r="N257" s="1">
        <v>18629</v>
      </c>
      <c r="O257">
        <v>0</v>
      </c>
      <c r="P257">
        <v>0</v>
      </c>
      <c r="Q257" t="s">
        <v>37</v>
      </c>
      <c r="R257" t="s">
        <v>29</v>
      </c>
      <c r="S257" t="s">
        <v>1075</v>
      </c>
      <c r="T257" t="s">
        <v>1076</v>
      </c>
    </row>
    <row r="258" spans="1:20" x14ac:dyDescent="0.25">
      <c r="A258" t="s">
        <v>1077</v>
      </c>
      <c r="B258" t="str">
        <f>"4400"</f>
        <v>4400</v>
      </c>
      <c r="C258" t="str">
        <f>"287404400"</f>
        <v>287404400</v>
      </c>
      <c r="D258" t="s">
        <v>563</v>
      </c>
      <c r="E258" t="s">
        <v>304</v>
      </c>
      <c r="F258" t="s">
        <v>190</v>
      </c>
      <c r="G258" s="1">
        <v>17181</v>
      </c>
      <c r="H258" s="1">
        <v>41732</v>
      </c>
      <c r="I258" t="str">
        <f>"51"</f>
        <v>51</v>
      </c>
      <c r="J258" t="s">
        <v>471</v>
      </c>
      <c r="K258" t="s">
        <v>25</v>
      </c>
      <c r="L258" t="s">
        <v>26</v>
      </c>
      <c r="M258" t="s">
        <v>27</v>
      </c>
      <c r="N258" s="1">
        <v>18629</v>
      </c>
      <c r="O258">
        <v>0</v>
      </c>
      <c r="P258">
        <v>0</v>
      </c>
      <c r="Q258" t="s">
        <v>28</v>
      </c>
      <c r="R258" t="s">
        <v>258</v>
      </c>
      <c r="S258" t="s">
        <v>1078</v>
      </c>
      <c r="T258" t="s">
        <v>1079</v>
      </c>
    </row>
    <row r="259" spans="1:20" x14ac:dyDescent="0.25">
      <c r="A259" t="s">
        <v>1080</v>
      </c>
      <c r="B259" t="str">
        <f>"2844"</f>
        <v>2844</v>
      </c>
      <c r="C259" t="str">
        <f>"280742844"</f>
        <v>280742844</v>
      </c>
      <c r="D259" t="s">
        <v>1049</v>
      </c>
      <c r="E259" t="s">
        <v>1081</v>
      </c>
      <c r="F259" t="s">
        <v>1082</v>
      </c>
      <c r="G259" s="1">
        <v>25764</v>
      </c>
      <c r="H259" s="1">
        <v>41730</v>
      </c>
      <c r="I259" t="str">
        <f>"52"</f>
        <v>52</v>
      </c>
      <c r="J259" t="s">
        <v>330</v>
      </c>
      <c r="K259" t="s">
        <v>25</v>
      </c>
      <c r="L259" t="s">
        <v>26</v>
      </c>
      <c r="M259" t="s">
        <v>27</v>
      </c>
      <c r="N259" s="1">
        <v>18629</v>
      </c>
      <c r="O259">
        <v>0</v>
      </c>
      <c r="P259">
        <v>0</v>
      </c>
      <c r="Q259" t="s">
        <v>28</v>
      </c>
      <c r="R259" t="s">
        <v>258</v>
      </c>
      <c r="S259" t="s">
        <v>331</v>
      </c>
      <c r="T259" t="s">
        <v>332</v>
      </c>
    </row>
    <row r="260" spans="1:20" x14ac:dyDescent="0.25">
      <c r="A260" t="s">
        <v>1083</v>
      </c>
      <c r="B260" t="str">
        <f>"4760"</f>
        <v>4760</v>
      </c>
      <c r="C260" t="str">
        <f>"472924760"</f>
        <v>472924760</v>
      </c>
      <c r="D260" t="s">
        <v>1084</v>
      </c>
      <c r="E260" t="s">
        <v>518</v>
      </c>
      <c r="F260" t="s">
        <v>1085</v>
      </c>
      <c r="G260" s="1">
        <v>25987</v>
      </c>
      <c r="H260" s="1">
        <v>41729</v>
      </c>
      <c r="I260" t="str">
        <f>"15"</f>
        <v>15</v>
      </c>
      <c r="J260" t="s">
        <v>36</v>
      </c>
      <c r="K260" t="s">
        <v>98</v>
      </c>
      <c r="L260" t="s">
        <v>37</v>
      </c>
      <c r="M260" t="s">
        <v>257</v>
      </c>
      <c r="N260" s="1">
        <v>41729</v>
      </c>
      <c r="O260">
        <v>10753.08</v>
      </c>
      <c r="P260">
        <v>2688.4</v>
      </c>
      <c r="Q260" t="s">
        <v>37</v>
      </c>
      <c r="R260" t="s">
        <v>38</v>
      </c>
      <c r="S260" t="s">
        <v>39</v>
      </c>
      <c r="T260" t="s">
        <v>40</v>
      </c>
    </row>
    <row r="261" spans="1:20" x14ac:dyDescent="0.25">
      <c r="A261" t="s">
        <v>1086</v>
      </c>
      <c r="B261" t="str">
        <f>"1240"</f>
        <v>1240</v>
      </c>
      <c r="C261" t="str">
        <f>"281721240"</f>
        <v>281721240</v>
      </c>
      <c r="D261" t="s">
        <v>1087</v>
      </c>
      <c r="E261" t="s">
        <v>1088</v>
      </c>
      <c r="F261" t="s">
        <v>438</v>
      </c>
      <c r="G261" s="1">
        <v>25996</v>
      </c>
      <c r="H261" s="1">
        <v>41729</v>
      </c>
      <c r="I261" t="str">
        <f>"12"</f>
        <v>12</v>
      </c>
      <c r="J261" t="s">
        <v>245</v>
      </c>
      <c r="K261" t="s">
        <v>98</v>
      </c>
      <c r="L261" t="s">
        <v>37</v>
      </c>
      <c r="M261" t="s">
        <v>117</v>
      </c>
      <c r="N261" s="1">
        <v>41729</v>
      </c>
      <c r="O261">
        <v>4951.96</v>
      </c>
      <c r="P261">
        <v>1237.8599999999999</v>
      </c>
      <c r="Q261" t="s">
        <v>37</v>
      </c>
      <c r="R261" t="s">
        <v>29</v>
      </c>
      <c r="S261" t="s">
        <v>630</v>
      </c>
      <c r="T261" t="s">
        <v>631</v>
      </c>
    </row>
    <row r="262" spans="1:20" x14ac:dyDescent="0.25">
      <c r="A262" t="s">
        <v>1089</v>
      </c>
      <c r="B262" t="str">
        <f>"9581"</f>
        <v>9581</v>
      </c>
      <c r="C262" t="str">
        <f>"281729581"</f>
        <v>281729581</v>
      </c>
      <c r="D262" t="s">
        <v>553</v>
      </c>
      <c r="E262" t="s">
        <v>1090</v>
      </c>
      <c r="F262" t="s">
        <v>1091</v>
      </c>
      <c r="G262" s="1">
        <v>25788</v>
      </c>
      <c r="H262" s="1">
        <v>41729</v>
      </c>
      <c r="I262" t="str">
        <f>"52"</f>
        <v>52</v>
      </c>
      <c r="J262" t="s">
        <v>330</v>
      </c>
      <c r="K262" t="s">
        <v>25</v>
      </c>
      <c r="L262" t="s">
        <v>26</v>
      </c>
      <c r="M262" t="s">
        <v>27</v>
      </c>
      <c r="N262" s="1">
        <v>18629</v>
      </c>
      <c r="O262">
        <v>0</v>
      </c>
      <c r="P262">
        <v>0</v>
      </c>
      <c r="Q262" t="s">
        <v>37</v>
      </c>
      <c r="R262" t="s">
        <v>258</v>
      </c>
      <c r="S262" t="s">
        <v>331</v>
      </c>
      <c r="T262" t="s">
        <v>332</v>
      </c>
    </row>
    <row r="263" spans="1:20" x14ac:dyDescent="0.25">
      <c r="A263" t="s">
        <v>1092</v>
      </c>
      <c r="B263" t="str">
        <f>"4658"</f>
        <v>4658</v>
      </c>
      <c r="C263" t="str">
        <f>"271784658"</f>
        <v>271784658</v>
      </c>
      <c r="D263" t="s">
        <v>1093</v>
      </c>
      <c r="E263" t="s">
        <v>1094</v>
      </c>
      <c r="F263" t="s">
        <v>49</v>
      </c>
      <c r="G263" s="1">
        <v>29728</v>
      </c>
      <c r="H263" s="1">
        <v>41729</v>
      </c>
      <c r="I263" t="str">
        <f>"01"</f>
        <v>01</v>
      </c>
      <c r="J263" t="s">
        <v>116</v>
      </c>
      <c r="K263" t="s">
        <v>98</v>
      </c>
      <c r="L263" t="s">
        <v>37</v>
      </c>
      <c r="M263" t="s">
        <v>117</v>
      </c>
      <c r="N263" s="1">
        <v>41729</v>
      </c>
      <c r="O263">
        <v>4951.96</v>
      </c>
      <c r="P263">
        <v>1237.8599999999999</v>
      </c>
      <c r="Q263" t="s">
        <v>37</v>
      </c>
      <c r="R263" t="s">
        <v>258</v>
      </c>
      <c r="S263" t="s">
        <v>1095</v>
      </c>
      <c r="T263" t="s">
        <v>1096</v>
      </c>
    </row>
    <row r="264" spans="1:20" x14ac:dyDescent="0.25">
      <c r="A264" t="s">
        <v>1097</v>
      </c>
      <c r="B264" t="str">
        <f>"3737"</f>
        <v>3737</v>
      </c>
      <c r="C264" t="str">
        <f>"292603737"</f>
        <v>292603737</v>
      </c>
      <c r="D264" t="s">
        <v>1098</v>
      </c>
      <c r="E264" t="s">
        <v>48</v>
      </c>
      <c r="F264" t="s">
        <v>28</v>
      </c>
      <c r="G264" s="1">
        <v>23839</v>
      </c>
      <c r="H264" s="1">
        <v>41729</v>
      </c>
      <c r="I264" t="str">
        <f>"01"</f>
        <v>01</v>
      </c>
      <c r="J264" t="s">
        <v>116</v>
      </c>
      <c r="K264" t="s">
        <v>98</v>
      </c>
      <c r="L264" t="s">
        <v>37</v>
      </c>
      <c r="M264" t="s">
        <v>117</v>
      </c>
      <c r="N264" s="1">
        <v>41729</v>
      </c>
      <c r="O264">
        <v>4951.96</v>
      </c>
      <c r="P264">
        <v>1237.8599999999999</v>
      </c>
      <c r="Q264" t="s">
        <v>37</v>
      </c>
      <c r="R264" t="s">
        <v>29</v>
      </c>
      <c r="S264" t="s">
        <v>1099</v>
      </c>
      <c r="T264" t="s">
        <v>1100</v>
      </c>
    </row>
    <row r="265" spans="1:20" x14ac:dyDescent="0.25">
      <c r="A265" t="s">
        <v>1101</v>
      </c>
      <c r="B265" t="str">
        <f>"5125"</f>
        <v>5125</v>
      </c>
      <c r="C265" t="str">
        <f>"272565125"</f>
        <v>272565125</v>
      </c>
      <c r="D265" t="s">
        <v>1102</v>
      </c>
      <c r="E265" t="s">
        <v>335</v>
      </c>
      <c r="F265" t="s">
        <v>414</v>
      </c>
      <c r="G265" s="1">
        <v>19737</v>
      </c>
      <c r="H265" s="1">
        <v>41729</v>
      </c>
      <c r="I265" t="str">
        <f>"52"</f>
        <v>52</v>
      </c>
      <c r="J265" t="s">
        <v>330</v>
      </c>
      <c r="K265" t="s">
        <v>25</v>
      </c>
      <c r="L265" t="s">
        <v>26</v>
      </c>
      <c r="M265" t="s">
        <v>27</v>
      </c>
      <c r="N265" s="1">
        <v>18629</v>
      </c>
      <c r="O265">
        <v>0</v>
      </c>
      <c r="P265">
        <v>0</v>
      </c>
      <c r="Q265" t="s">
        <v>28</v>
      </c>
      <c r="R265" t="s">
        <v>258</v>
      </c>
      <c r="S265" t="s">
        <v>331</v>
      </c>
      <c r="T265" t="s">
        <v>332</v>
      </c>
    </row>
    <row r="266" spans="1:20" x14ac:dyDescent="0.25">
      <c r="A266" t="s">
        <v>1103</v>
      </c>
      <c r="B266" t="str">
        <f>"7647"</f>
        <v>7647</v>
      </c>
      <c r="C266" t="str">
        <f>"289767647"</f>
        <v>289767647</v>
      </c>
      <c r="D266" t="s">
        <v>663</v>
      </c>
      <c r="E266" t="s">
        <v>588</v>
      </c>
      <c r="F266" t="s">
        <v>1104</v>
      </c>
      <c r="G266" s="1">
        <v>28290</v>
      </c>
      <c r="H266" s="1">
        <v>41729</v>
      </c>
      <c r="I266" t="str">
        <f>"52"</f>
        <v>52</v>
      </c>
      <c r="J266" t="s">
        <v>330</v>
      </c>
      <c r="K266" t="s">
        <v>25</v>
      </c>
      <c r="L266" t="s">
        <v>26</v>
      </c>
      <c r="M266" t="s">
        <v>27</v>
      </c>
      <c r="N266" s="1">
        <v>18629</v>
      </c>
      <c r="O266">
        <v>0</v>
      </c>
      <c r="P266">
        <v>0</v>
      </c>
      <c r="Q266" t="s">
        <v>28</v>
      </c>
      <c r="R266" t="s">
        <v>258</v>
      </c>
      <c r="S266" t="s">
        <v>331</v>
      </c>
      <c r="T266" t="s">
        <v>332</v>
      </c>
    </row>
    <row r="267" spans="1:20" x14ac:dyDescent="0.25">
      <c r="A267" t="s">
        <v>1105</v>
      </c>
      <c r="B267" t="str">
        <f>"3759"</f>
        <v>3759</v>
      </c>
      <c r="C267" t="str">
        <f>"115463759"</f>
        <v>115463759</v>
      </c>
      <c r="D267" t="s">
        <v>1106</v>
      </c>
      <c r="E267" t="s">
        <v>49</v>
      </c>
      <c r="F267" t="s">
        <v>28</v>
      </c>
      <c r="G267" s="1">
        <v>24189</v>
      </c>
      <c r="H267" s="1">
        <v>41729</v>
      </c>
      <c r="I267" t="str">
        <f>"30"</f>
        <v>30</v>
      </c>
      <c r="J267" t="s">
        <v>50</v>
      </c>
      <c r="K267" t="s">
        <v>25</v>
      </c>
      <c r="L267" t="s">
        <v>26</v>
      </c>
      <c r="M267" t="s">
        <v>27</v>
      </c>
      <c r="N267" s="1">
        <v>18629</v>
      </c>
      <c r="O267">
        <v>0</v>
      </c>
      <c r="P267">
        <v>0</v>
      </c>
      <c r="Q267" t="s">
        <v>37</v>
      </c>
      <c r="R267" t="s">
        <v>71</v>
      </c>
      <c r="S267" t="s">
        <v>660</v>
      </c>
      <c r="T267" t="s">
        <v>661</v>
      </c>
    </row>
    <row r="268" spans="1:20" x14ac:dyDescent="0.25">
      <c r="A268" t="s">
        <v>1107</v>
      </c>
      <c r="B268" t="str">
        <f>"3357"</f>
        <v>3357</v>
      </c>
      <c r="C268" t="str">
        <f>"276703357"</f>
        <v>276703357</v>
      </c>
      <c r="D268" t="s">
        <v>1108</v>
      </c>
      <c r="E268" t="s">
        <v>782</v>
      </c>
      <c r="F268" t="s">
        <v>165</v>
      </c>
      <c r="G268" s="1">
        <v>23315</v>
      </c>
      <c r="H268" s="1">
        <v>41729</v>
      </c>
      <c r="I268" t="str">
        <f>"03"</f>
        <v>03</v>
      </c>
      <c r="J268" t="s">
        <v>70</v>
      </c>
      <c r="K268" t="s">
        <v>98</v>
      </c>
      <c r="L268" t="s">
        <v>37</v>
      </c>
      <c r="M268" t="s">
        <v>99</v>
      </c>
      <c r="N268" s="1">
        <v>41757</v>
      </c>
      <c r="O268">
        <v>14801.8</v>
      </c>
      <c r="P268">
        <v>3700.32</v>
      </c>
      <c r="Q268" t="s">
        <v>37</v>
      </c>
      <c r="R268" t="s">
        <v>71</v>
      </c>
      <c r="S268" t="s">
        <v>1109</v>
      </c>
      <c r="T268" t="s">
        <v>1110</v>
      </c>
    </row>
    <row r="269" spans="1:20" x14ac:dyDescent="0.25">
      <c r="A269" t="s">
        <v>1111</v>
      </c>
      <c r="B269" t="str">
        <f>"1690"</f>
        <v>1690</v>
      </c>
      <c r="C269" t="str">
        <f>"285461690"</f>
        <v>285461690</v>
      </c>
      <c r="D269" t="s">
        <v>1112</v>
      </c>
      <c r="E269" t="s">
        <v>1113</v>
      </c>
      <c r="F269" t="s">
        <v>438</v>
      </c>
      <c r="G269" s="1">
        <v>21730</v>
      </c>
      <c r="H269" s="1">
        <v>41729</v>
      </c>
      <c r="I269" t="str">
        <f>"01"</f>
        <v>01</v>
      </c>
      <c r="J269" t="s">
        <v>116</v>
      </c>
      <c r="K269" t="s">
        <v>510</v>
      </c>
      <c r="L269" t="s">
        <v>37</v>
      </c>
      <c r="M269" t="s">
        <v>117</v>
      </c>
      <c r="N269" s="1">
        <v>41617</v>
      </c>
      <c r="O269">
        <v>6477.12</v>
      </c>
      <c r="P269">
        <v>1619.28</v>
      </c>
      <c r="Q269" t="s">
        <v>37</v>
      </c>
      <c r="R269" t="s">
        <v>100</v>
      </c>
      <c r="S269" t="s">
        <v>382</v>
      </c>
      <c r="T269" t="s">
        <v>383</v>
      </c>
    </row>
    <row r="270" spans="1:20" x14ac:dyDescent="0.25">
      <c r="A270" t="s">
        <v>1114</v>
      </c>
      <c r="B270" t="str">
        <f>"4536"</f>
        <v>4536</v>
      </c>
      <c r="C270" t="str">
        <f>"616744536"</f>
        <v>616744536</v>
      </c>
      <c r="D270" t="s">
        <v>1115</v>
      </c>
      <c r="E270" t="s">
        <v>1116</v>
      </c>
      <c r="F270" t="s">
        <v>1117</v>
      </c>
      <c r="G270" s="1">
        <v>34441</v>
      </c>
      <c r="H270" s="1">
        <v>41729</v>
      </c>
      <c r="I270" t="str">
        <f>"34"</f>
        <v>34</v>
      </c>
      <c r="J270" t="s">
        <v>388</v>
      </c>
      <c r="K270" t="s">
        <v>25</v>
      </c>
      <c r="L270" t="s">
        <v>26</v>
      </c>
      <c r="M270" t="s">
        <v>27</v>
      </c>
      <c r="N270" s="1">
        <v>18629</v>
      </c>
      <c r="O270">
        <v>0</v>
      </c>
      <c r="P270">
        <v>0</v>
      </c>
      <c r="Q270" t="s">
        <v>28</v>
      </c>
      <c r="R270" t="s">
        <v>1015</v>
      </c>
      <c r="S270" t="s">
        <v>615</v>
      </c>
      <c r="T270" t="s">
        <v>616</v>
      </c>
    </row>
    <row r="271" spans="1:20" x14ac:dyDescent="0.25">
      <c r="A271" t="s">
        <v>1118</v>
      </c>
      <c r="B271" t="str">
        <f>"6702"</f>
        <v>6702</v>
      </c>
      <c r="C271" t="str">
        <f>"294646702"</f>
        <v>294646702</v>
      </c>
      <c r="D271" t="s">
        <v>1119</v>
      </c>
      <c r="E271" t="s">
        <v>1120</v>
      </c>
      <c r="F271" t="s">
        <v>219</v>
      </c>
      <c r="G271" s="1">
        <v>22132</v>
      </c>
      <c r="H271" s="1">
        <v>41729</v>
      </c>
      <c r="I271" t="str">
        <f>"52"</f>
        <v>52</v>
      </c>
      <c r="J271" t="s">
        <v>330</v>
      </c>
      <c r="K271" t="s">
        <v>25</v>
      </c>
      <c r="L271" t="s">
        <v>26</v>
      </c>
      <c r="M271" t="s">
        <v>27</v>
      </c>
      <c r="N271" s="1">
        <v>18629</v>
      </c>
      <c r="O271">
        <v>0</v>
      </c>
      <c r="P271">
        <v>0</v>
      </c>
      <c r="Q271" t="s">
        <v>28</v>
      </c>
      <c r="R271" t="s">
        <v>258</v>
      </c>
      <c r="S271" t="s">
        <v>331</v>
      </c>
      <c r="T271" t="s">
        <v>332</v>
      </c>
    </row>
    <row r="272" spans="1:20" x14ac:dyDescent="0.25">
      <c r="A272" t="s">
        <v>1121</v>
      </c>
      <c r="B272" t="str">
        <f>"9811"</f>
        <v>9811</v>
      </c>
      <c r="C272" t="str">
        <f>"277789811"</f>
        <v>277789811</v>
      </c>
      <c r="D272" t="s">
        <v>563</v>
      </c>
      <c r="E272" t="s">
        <v>1122</v>
      </c>
      <c r="F272" t="s">
        <v>264</v>
      </c>
      <c r="G272" s="1">
        <v>29858</v>
      </c>
      <c r="H272" s="1">
        <v>41729</v>
      </c>
      <c r="I272" t="str">
        <f>"12"</f>
        <v>12</v>
      </c>
      <c r="J272" t="s">
        <v>245</v>
      </c>
      <c r="K272" t="s">
        <v>98</v>
      </c>
      <c r="L272" t="s">
        <v>37</v>
      </c>
      <c r="M272" t="s">
        <v>117</v>
      </c>
      <c r="N272" s="1">
        <v>41729</v>
      </c>
      <c r="O272">
        <v>4951.96</v>
      </c>
      <c r="P272">
        <v>1237.8599999999999</v>
      </c>
      <c r="Q272" t="s">
        <v>37</v>
      </c>
      <c r="R272" t="s">
        <v>38</v>
      </c>
      <c r="S272" t="s">
        <v>566</v>
      </c>
      <c r="T272" t="s">
        <v>567</v>
      </c>
    </row>
    <row r="273" spans="1:20" x14ac:dyDescent="0.25">
      <c r="A273" t="s">
        <v>1123</v>
      </c>
      <c r="B273" t="str">
        <f>"3815"</f>
        <v>3815</v>
      </c>
      <c r="C273" t="str">
        <f>"276683815"</f>
        <v>276683815</v>
      </c>
      <c r="D273" t="s">
        <v>866</v>
      </c>
      <c r="E273" t="s">
        <v>1124</v>
      </c>
      <c r="F273" t="s">
        <v>1125</v>
      </c>
      <c r="G273" s="1">
        <v>26118</v>
      </c>
      <c r="H273" s="1">
        <v>41729</v>
      </c>
      <c r="I273" t="str">
        <f>"52"</f>
        <v>52</v>
      </c>
      <c r="J273" t="s">
        <v>330</v>
      </c>
      <c r="K273" t="s">
        <v>25</v>
      </c>
      <c r="L273" t="s">
        <v>26</v>
      </c>
      <c r="M273" t="s">
        <v>27</v>
      </c>
      <c r="N273" s="1">
        <v>18629</v>
      </c>
      <c r="O273">
        <v>0</v>
      </c>
      <c r="P273">
        <v>0</v>
      </c>
      <c r="Q273" t="s">
        <v>28</v>
      </c>
      <c r="R273" t="s">
        <v>258</v>
      </c>
      <c r="S273" t="s">
        <v>331</v>
      </c>
      <c r="T273" t="s">
        <v>332</v>
      </c>
    </row>
    <row r="274" spans="1:20" x14ac:dyDescent="0.25">
      <c r="A274" t="s">
        <v>1126</v>
      </c>
      <c r="B274" t="str">
        <f>"8036"</f>
        <v>8036</v>
      </c>
      <c r="C274" t="str">
        <f>"283768036"</f>
        <v>283768036</v>
      </c>
      <c r="D274" t="s">
        <v>1127</v>
      </c>
      <c r="E274" t="s">
        <v>1128</v>
      </c>
      <c r="F274" t="s">
        <v>44</v>
      </c>
      <c r="G274" s="1">
        <v>29139</v>
      </c>
      <c r="H274" s="1">
        <v>41729</v>
      </c>
      <c r="I274" t="str">
        <f>"41"</f>
        <v>41</v>
      </c>
      <c r="J274" t="s">
        <v>24</v>
      </c>
      <c r="K274" t="s">
        <v>25</v>
      </c>
      <c r="L274" t="s">
        <v>26</v>
      </c>
      <c r="M274" t="s">
        <v>27</v>
      </c>
      <c r="N274" s="1">
        <v>18629</v>
      </c>
      <c r="O274">
        <v>0</v>
      </c>
      <c r="P274">
        <v>0</v>
      </c>
      <c r="Q274" t="s">
        <v>28</v>
      </c>
      <c r="R274" t="s">
        <v>71</v>
      </c>
      <c r="S274" t="s">
        <v>1109</v>
      </c>
      <c r="T274" t="s">
        <v>1110</v>
      </c>
    </row>
    <row r="275" spans="1:20" x14ac:dyDescent="0.25">
      <c r="A275" t="s">
        <v>1129</v>
      </c>
      <c r="B275" t="str">
        <f>"5201"</f>
        <v>5201</v>
      </c>
      <c r="C275" t="str">
        <f>"269725201"</f>
        <v>269725201</v>
      </c>
      <c r="D275" t="s">
        <v>114</v>
      </c>
      <c r="E275" t="s">
        <v>299</v>
      </c>
      <c r="F275" t="s">
        <v>438</v>
      </c>
      <c r="G275" s="1">
        <v>25271</v>
      </c>
      <c r="H275" s="1">
        <v>41729</v>
      </c>
      <c r="I275" t="str">
        <f>"15"</f>
        <v>15</v>
      </c>
      <c r="J275" t="s">
        <v>36</v>
      </c>
      <c r="K275" t="s">
        <v>175</v>
      </c>
      <c r="L275" t="s">
        <v>37</v>
      </c>
      <c r="M275" t="s">
        <v>257</v>
      </c>
      <c r="N275" s="1">
        <v>41771</v>
      </c>
      <c r="O275">
        <v>11847.94</v>
      </c>
      <c r="P275">
        <v>2961.92</v>
      </c>
      <c r="Q275" t="s">
        <v>37</v>
      </c>
      <c r="R275" t="s">
        <v>51</v>
      </c>
      <c r="S275" t="s">
        <v>527</v>
      </c>
      <c r="T275" t="s">
        <v>528</v>
      </c>
    </row>
    <row r="276" spans="1:20" x14ac:dyDescent="0.25">
      <c r="A276" t="s">
        <v>1130</v>
      </c>
      <c r="B276" t="str">
        <f>"4048"</f>
        <v>4048</v>
      </c>
      <c r="C276" t="str">
        <f>"324524048"</f>
        <v>324524048</v>
      </c>
      <c r="D276" t="s">
        <v>1131</v>
      </c>
      <c r="E276" t="s">
        <v>634</v>
      </c>
      <c r="G276" s="1">
        <v>21077</v>
      </c>
      <c r="H276" s="1">
        <v>41725</v>
      </c>
      <c r="I276" t="str">
        <f>"51"</f>
        <v>51</v>
      </c>
      <c r="J276" t="s">
        <v>471</v>
      </c>
      <c r="K276" t="s">
        <v>25</v>
      </c>
      <c r="L276" t="s">
        <v>26</v>
      </c>
      <c r="M276" t="s">
        <v>27</v>
      </c>
      <c r="N276" s="1">
        <v>18629</v>
      </c>
      <c r="O276">
        <v>0</v>
      </c>
      <c r="P276">
        <v>0</v>
      </c>
      <c r="Q276" t="s">
        <v>37</v>
      </c>
      <c r="R276" t="s">
        <v>29</v>
      </c>
      <c r="S276" t="s">
        <v>717</v>
      </c>
      <c r="T276" t="s">
        <v>718</v>
      </c>
    </row>
    <row r="277" spans="1:20" x14ac:dyDescent="0.25">
      <c r="A277" t="s">
        <v>1132</v>
      </c>
      <c r="B277" t="str">
        <f>"5025"</f>
        <v>5025</v>
      </c>
      <c r="C277" t="str">
        <f>"297565025"</f>
        <v>297565025</v>
      </c>
      <c r="D277" t="s">
        <v>1133</v>
      </c>
      <c r="E277" t="s">
        <v>1134</v>
      </c>
      <c r="G277" s="1">
        <v>20683</v>
      </c>
      <c r="H277" s="1">
        <v>41723</v>
      </c>
      <c r="I277" t="str">
        <f>"51"</f>
        <v>51</v>
      </c>
      <c r="J277" t="s">
        <v>471</v>
      </c>
      <c r="K277" t="s">
        <v>25</v>
      </c>
      <c r="L277" t="s">
        <v>26</v>
      </c>
      <c r="M277" t="s">
        <v>27</v>
      </c>
      <c r="N277" s="1">
        <v>18629</v>
      </c>
      <c r="O277">
        <v>0</v>
      </c>
      <c r="P277">
        <v>0</v>
      </c>
      <c r="Q277" t="s">
        <v>37</v>
      </c>
      <c r="R277" t="s">
        <v>29</v>
      </c>
      <c r="S277" t="s">
        <v>138</v>
      </c>
      <c r="T277" t="s">
        <v>139</v>
      </c>
    </row>
    <row r="278" spans="1:20" x14ac:dyDescent="0.25">
      <c r="A278" t="s">
        <v>1135</v>
      </c>
      <c r="B278" t="str">
        <f>"7147"</f>
        <v>7147</v>
      </c>
      <c r="C278" t="str">
        <f>"522597147"</f>
        <v>522597147</v>
      </c>
      <c r="D278" t="s">
        <v>1136</v>
      </c>
      <c r="E278" t="s">
        <v>598</v>
      </c>
      <c r="F278" t="s">
        <v>264</v>
      </c>
      <c r="G278" s="1">
        <v>29748</v>
      </c>
      <c r="H278" s="1">
        <v>41722</v>
      </c>
      <c r="I278" t="str">
        <f>"01"</f>
        <v>01</v>
      </c>
      <c r="J278" t="s">
        <v>116</v>
      </c>
      <c r="K278" t="s">
        <v>98</v>
      </c>
      <c r="L278" t="s">
        <v>37</v>
      </c>
      <c r="M278" t="s">
        <v>99</v>
      </c>
      <c r="N278" s="1">
        <v>41617</v>
      </c>
      <c r="O278">
        <v>14801.8</v>
      </c>
      <c r="P278">
        <v>3700.32</v>
      </c>
      <c r="Q278" t="s">
        <v>37</v>
      </c>
      <c r="R278" t="s">
        <v>110</v>
      </c>
      <c r="S278" t="s">
        <v>1137</v>
      </c>
      <c r="T278" t="s">
        <v>1138</v>
      </c>
    </row>
    <row r="279" spans="1:20" x14ac:dyDescent="0.25">
      <c r="A279" t="s">
        <v>1139</v>
      </c>
      <c r="B279" t="str">
        <f>"0650"</f>
        <v>0650</v>
      </c>
      <c r="C279" t="str">
        <f>"299880650"</f>
        <v>299880650</v>
      </c>
      <c r="D279" t="s">
        <v>42</v>
      </c>
      <c r="E279" t="s">
        <v>146</v>
      </c>
      <c r="F279" t="s">
        <v>219</v>
      </c>
      <c r="G279" s="1">
        <v>29606</v>
      </c>
      <c r="H279" s="1">
        <v>41722</v>
      </c>
      <c r="I279" t="str">
        <f>"12"</f>
        <v>12</v>
      </c>
      <c r="J279" t="s">
        <v>245</v>
      </c>
      <c r="K279" t="s">
        <v>98</v>
      </c>
      <c r="L279" t="s">
        <v>37</v>
      </c>
      <c r="M279" t="s">
        <v>117</v>
      </c>
      <c r="N279" s="1">
        <v>41617</v>
      </c>
      <c r="O279">
        <v>4951.96</v>
      </c>
      <c r="P279">
        <v>1237.8599999999999</v>
      </c>
      <c r="Q279" t="s">
        <v>37</v>
      </c>
      <c r="R279" t="s">
        <v>51</v>
      </c>
      <c r="S279" s="2" t="s">
        <v>1140</v>
      </c>
      <c r="T279" t="s">
        <v>1141</v>
      </c>
    </row>
    <row r="280" spans="1:20" x14ac:dyDescent="0.25">
      <c r="A280" t="s">
        <v>1142</v>
      </c>
      <c r="B280" t="str">
        <f>"0528"</f>
        <v>0528</v>
      </c>
      <c r="C280" t="str">
        <f>"023340528"</f>
        <v>023340528</v>
      </c>
      <c r="D280" t="s">
        <v>1143</v>
      </c>
      <c r="E280" t="s">
        <v>1144</v>
      </c>
      <c r="F280" t="s">
        <v>1145</v>
      </c>
      <c r="G280" s="1">
        <v>16981</v>
      </c>
      <c r="H280" s="1">
        <v>41719</v>
      </c>
      <c r="I280" t="str">
        <f>"52"</f>
        <v>52</v>
      </c>
      <c r="J280" t="s">
        <v>330</v>
      </c>
      <c r="K280" t="s">
        <v>25</v>
      </c>
      <c r="L280" t="s">
        <v>26</v>
      </c>
      <c r="M280" t="s">
        <v>27</v>
      </c>
      <c r="N280" s="1">
        <v>18629</v>
      </c>
      <c r="O280">
        <v>0</v>
      </c>
      <c r="P280">
        <v>0</v>
      </c>
      <c r="Q280" t="s">
        <v>28</v>
      </c>
      <c r="R280" t="s">
        <v>51</v>
      </c>
      <c r="S280" s="2" t="s">
        <v>362</v>
      </c>
      <c r="T280" t="s">
        <v>363</v>
      </c>
    </row>
    <row r="281" spans="1:20" x14ac:dyDescent="0.25">
      <c r="A281" t="s">
        <v>1146</v>
      </c>
      <c r="B281" t="str">
        <f>"0422"</f>
        <v>0422</v>
      </c>
      <c r="C281" t="str">
        <f>"269720422"</f>
        <v>269720422</v>
      </c>
      <c r="D281" t="s">
        <v>1147</v>
      </c>
      <c r="E281" t="s">
        <v>721</v>
      </c>
      <c r="F281" t="s">
        <v>97</v>
      </c>
      <c r="G281" s="1">
        <v>27897</v>
      </c>
      <c r="H281" s="1">
        <v>41717</v>
      </c>
      <c r="I281" t="str">
        <f>"52"</f>
        <v>52</v>
      </c>
      <c r="J281" t="s">
        <v>330</v>
      </c>
      <c r="K281" t="s">
        <v>25</v>
      </c>
      <c r="L281" t="s">
        <v>26</v>
      </c>
      <c r="M281" t="s">
        <v>27</v>
      </c>
      <c r="N281" s="1">
        <v>18629</v>
      </c>
      <c r="O281">
        <v>0</v>
      </c>
      <c r="P281">
        <v>0</v>
      </c>
      <c r="Q281" t="s">
        <v>28</v>
      </c>
      <c r="R281" t="s">
        <v>258</v>
      </c>
      <c r="S281" s="2" t="s">
        <v>1148</v>
      </c>
      <c r="T281" t="s">
        <v>1149</v>
      </c>
    </row>
    <row r="282" spans="1:20" x14ac:dyDescent="0.25">
      <c r="A282" t="s">
        <v>1150</v>
      </c>
      <c r="B282" t="str">
        <f>"0942"</f>
        <v>0942</v>
      </c>
      <c r="C282" t="str">
        <f>"293840942"</f>
        <v>293840942</v>
      </c>
      <c r="D282" t="s">
        <v>327</v>
      </c>
      <c r="E282" t="s">
        <v>1151</v>
      </c>
      <c r="F282" t="s">
        <v>1152</v>
      </c>
      <c r="G282" s="1">
        <v>31160</v>
      </c>
      <c r="H282" s="1">
        <v>41715</v>
      </c>
      <c r="I282" t="str">
        <f>"42"</f>
        <v>42</v>
      </c>
      <c r="J282" t="s">
        <v>367</v>
      </c>
      <c r="K282" t="s">
        <v>25</v>
      </c>
      <c r="L282" t="s">
        <v>26</v>
      </c>
      <c r="M282" t="s">
        <v>27</v>
      </c>
      <c r="N282" s="1">
        <v>18629</v>
      </c>
      <c r="O282">
        <v>0</v>
      </c>
      <c r="P282">
        <v>0</v>
      </c>
      <c r="Q282" t="s">
        <v>28</v>
      </c>
      <c r="R282" t="s">
        <v>346</v>
      </c>
      <c r="S282" t="s">
        <v>1153</v>
      </c>
      <c r="T282" t="s">
        <v>1154</v>
      </c>
    </row>
    <row r="283" spans="1:20" x14ac:dyDescent="0.25">
      <c r="A283" t="s">
        <v>1155</v>
      </c>
      <c r="B283" t="str">
        <f>"7791"</f>
        <v>7791</v>
      </c>
      <c r="C283" t="str">
        <f>"269707791"</f>
        <v>269707791</v>
      </c>
      <c r="D283" t="s">
        <v>1156</v>
      </c>
      <c r="E283" t="s">
        <v>137</v>
      </c>
      <c r="F283" t="s">
        <v>1157</v>
      </c>
      <c r="G283" s="1">
        <v>24808</v>
      </c>
      <c r="H283" s="1">
        <v>41715</v>
      </c>
      <c r="I283" t="str">
        <f>"42"</f>
        <v>42</v>
      </c>
      <c r="J283" t="s">
        <v>367</v>
      </c>
      <c r="K283" t="s">
        <v>25</v>
      </c>
      <c r="L283" t="s">
        <v>26</v>
      </c>
      <c r="M283" t="s">
        <v>27</v>
      </c>
      <c r="N283" s="1">
        <v>18629</v>
      </c>
      <c r="O283">
        <v>0</v>
      </c>
      <c r="P283">
        <v>0</v>
      </c>
      <c r="Q283" t="s">
        <v>37</v>
      </c>
      <c r="R283" t="s">
        <v>346</v>
      </c>
      <c r="S283" t="s">
        <v>1153</v>
      </c>
      <c r="T283" t="s">
        <v>1154</v>
      </c>
    </row>
    <row r="284" spans="1:20" x14ac:dyDescent="0.25">
      <c r="A284" t="s">
        <v>1158</v>
      </c>
      <c r="B284" t="str">
        <f>"5961"</f>
        <v>5961</v>
      </c>
      <c r="C284" t="str">
        <f>"383665961"</f>
        <v>383665961</v>
      </c>
      <c r="D284" t="s">
        <v>1159</v>
      </c>
      <c r="E284" t="s">
        <v>900</v>
      </c>
      <c r="F284" t="s">
        <v>414</v>
      </c>
      <c r="G284" s="1">
        <v>22515</v>
      </c>
      <c r="H284" s="1">
        <v>41715</v>
      </c>
      <c r="I284" t="str">
        <f>"51"</f>
        <v>51</v>
      </c>
      <c r="J284" t="s">
        <v>471</v>
      </c>
      <c r="K284" t="s">
        <v>25</v>
      </c>
      <c r="L284" t="s">
        <v>26</v>
      </c>
      <c r="M284" t="s">
        <v>27</v>
      </c>
      <c r="N284" s="1">
        <v>18629</v>
      </c>
      <c r="O284">
        <v>0</v>
      </c>
      <c r="P284">
        <v>0</v>
      </c>
      <c r="Q284" t="s">
        <v>37</v>
      </c>
      <c r="R284" t="s">
        <v>29</v>
      </c>
      <c r="S284" t="s">
        <v>1160</v>
      </c>
      <c r="T284" t="s">
        <v>1161</v>
      </c>
    </row>
    <row r="285" spans="1:20" x14ac:dyDescent="0.25">
      <c r="A285" t="s">
        <v>1162</v>
      </c>
      <c r="B285" t="str">
        <f>"3889"</f>
        <v>3889</v>
      </c>
      <c r="C285" t="str">
        <f>"360763889"</f>
        <v>360763889</v>
      </c>
      <c r="D285" t="s">
        <v>1163</v>
      </c>
      <c r="E285" t="s">
        <v>1164</v>
      </c>
      <c r="F285" t="s">
        <v>93</v>
      </c>
      <c r="G285" s="1">
        <v>29687</v>
      </c>
      <c r="H285" s="1">
        <v>41715</v>
      </c>
      <c r="I285" t="str">
        <f>"33"</f>
        <v>33</v>
      </c>
      <c r="J285" t="s">
        <v>45</v>
      </c>
      <c r="K285" t="s">
        <v>25</v>
      </c>
      <c r="L285" t="s">
        <v>26</v>
      </c>
      <c r="M285" t="s">
        <v>27</v>
      </c>
      <c r="N285" s="1">
        <v>18629</v>
      </c>
      <c r="O285">
        <v>0</v>
      </c>
      <c r="P285">
        <v>0</v>
      </c>
      <c r="Q285" t="s">
        <v>28</v>
      </c>
      <c r="R285" t="s">
        <v>100</v>
      </c>
      <c r="S285" t="s">
        <v>757</v>
      </c>
      <c r="T285" t="s">
        <v>758</v>
      </c>
    </row>
    <row r="286" spans="1:20" x14ac:dyDescent="0.25">
      <c r="A286" t="s">
        <v>1165</v>
      </c>
      <c r="B286" t="str">
        <f>"5461"</f>
        <v>5461</v>
      </c>
      <c r="C286" t="str">
        <f>"273765461"</f>
        <v>273765461</v>
      </c>
      <c r="D286" t="s">
        <v>1166</v>
      </c>
      <c r="E286" t="s">
        <v>1167</v>
      </c>
      <c r="F286" t="s">
        <v>165</v>
      </c>
      <c r="G286" s="1">
        <v>23925</v>
      </c>
      <c r="H286" s="1">
        <v>41715</v>
      </c>
      <c r="I286" t="str">
        <f>"12"</f>
        <v>12</v>
      </c>
      <c r="J286" t="s">
        <v>245</v>
      </c>
      <c r="K286" t="s">
        <v>98</v>
      </c>
      <c r="L286" t="s">
        <v>37</v>
      </c>
      <c r="M286" t="s">
        <v>117</v>
      </c>
      <c r="N286" s="1">
        <v>41715</v>
      </c>
      <c r="O286">
        <v>4951.96</v>
      </c>
      <c r="P286">
        <v>1237.8599999999999</v>
      </c>
      <c r="Q286" t="s">
        <v>37</v>
      </c>
      <c r="R286" t="s">
        <v>71</v>
      </c>
      <c r="S286" t="s">
        <v>1168</v>
      </c>
      <c r="T286" t="s">
        <v>1169</v>
      </c>
    </row>
    <row r="287" spans="1:20" x14ac:dyDescent="0.25">
      <c r="A287" t="s">
        <v>1170</v>
      </c>
      <c r="B287" t="str">
        <f>"6841"</f>
        <v>6841</v>
      </c>
      <c r="C287" t="str">
        <f>"278946841"</f>
        <v>278946841</v>
      </c>
      <c r="D287" t="s">
        <v>1171</v>
      </c>
      <c r="E287" t="s">
        <v>1172</v>
      </c>
      <c r="F287" t="s">
        <v>264</v>
      </c>
      <c r="G287" s="1">
        <v>31323</v>
      </c>
      <c r="H287" s="1">
        <v>41715</v>
      </c>
      <c r="I287" t="str">
        <f>"05"</f>
        <v>05</v>
      </c>
      <c r="J287" t="s">
        <v>58</v>
      </c>
      <c r="K287" t="s">
        <v>510</v>
      </c>
      <c r="L287" t="s">
        <v>37</v>
      </c>
      <c r="M287" t="s">
        <v>117</v>
      </c>
      <c r="N287" s="1">
        <v>41729</v>
      </c>
      <c r="O287">
        <v>6477.12</v>
      </c>
      <c r="P287">
        <v>1619.28</v>
      </c>
      <c r="Q287" t="s">
        <v>28</v>
      </c>
      <c r="R287" t="s">
        <v>312</v>
      </c>
      <c r="S287" t="s">
        <v>1173</v>
      </c>
      <c r="T287" t="s">
        <v>1174</v>
      </c>
    </row>
    <row r="288" spans="1:20" x14ac:dyDescent="0.25">
      <c r="A288" t="s">
        <v>1175</v>
      </c>
      <c r="B288" t="str">
        <f>"6604"</f>
        <v>6604</v>
      </c>
      <c r="C288" t="str">
        <f>"297566604"</f>
        <v>297566604</v>
      </c>
      <c r="D288" t="s">
        <v>1176</v>
      </c>
      <c r="E288" t="s">
        <v>106</v>
      </c>
      <c r="F288" t="s">
        <v>26</v>
      </c>
      <c r="G288" s="1">
        <v>20099</v>
      </c>
      <c r="H288" s="1">
        <v>41715</v>
      </c>
      <c r="I288" t="str">
        <f>"03"</f>
        <v>03</v>
      </c>
      <c r="J288" t="s">
        <v>70</v>
      </c>
      <c r="K288" t="s">
        <v>98</v>
      </c>
      <c r="L288" t="s">
        <v>37</v>
      </c>
      <c r="M288" t="s">
        <v>99</v>
      </c>
      <c r="N288" s="1">
        <v>41715</v>
      </c>
      <c r="O288">
        <v>14801.8</v>
      </c>
      <c r="P288">
        <v>3700.32</v>
      </c>
      <c r="Q288" t="s">
        <v>28</v>
      </c>
      <c r="R288" t="s">
        <v>29</v>
      </c>
      <c r="S288" t="s">
        <v>1177</v>
      </c>
      <c r="T288" t="s">
        <v>1178</v>
      </c>
    </row>
    <row r="289" spans="1:20" x14ac:dyDescent="0.25">
      <c r="A289" t="s">
        <v>1179</v>
      </c>
      <c r="B289" t="str">
        <f>"1306"</f>
        <v>1306</v>
      </c>
      <c r="C289" t="str">
        <f>"285761306"</f>
        <v>285761306</v>
      </c>
      <c r="D289" t="s">
        <v>1180</v>
      </c>
      <c r="E289" t="s">
        <v>1181</v>
      </c>
      <c r="G289" s="1">
        <v>23930</v>
      </c>
      <c r="H289" s="1">
        <v>41715</v>
      </c>
      <c r="I289" t="str">
        <f>"15"</f>
        <v>15</v>
      </c>
      <c r="J289" t="s">
        <v>36</v>
      </c>
      <c r="K289" t="s">
        <v>175</v>
      </c>
      <c r="L289" t="s">
        <v>37</v>
      </c>
      <c r="M289" t="s">
        <v>99</v>
      </c>
      <c r="N289" s="1">
        <v>41715</v>
      </c>
      <c r="O289">
        <v>16411.72</v>
      </c>
      <c r="P289">
        <v>4102.8</v>
      </c>
      <c r="Q289" t="s">
        <v>37</v>
      </c>
      <c r="R289" t="s">
        <v>29</v>
      </c>
      <c r="S289" t="s">
        <v>1182</v>
      </c>
      <c r="T289" t="s">
        <v>1183</v>
      </c>
    </row>
    <row r="290" spans="1:20" x14ac:dyDescent="0.25">
      <c r="A290" t="s">
        <v>1184</v>
      </c>
      <c r="B290" t="str">
        <f>"1878"</f>
        <v>1878</v>
      </c>
      <c r="C290" t="str">
        <f>"281461878"</f>
        <v>281461878</v>
      </c>
      <c r="D290" t="s">
        <v>1049</v>
      </c>
      <c r="E290" t="s">
        <v>756</v>
      </c>
      <c r="F290" t="s">
        <v>1185</v>
      </c>
      <c r="G290" s="1">
        <v>19396</v>
      </c>
      <c r="H290" s="1">
        <v>41715</v>
      </c>
      <c r="I290" t="str">
        <f>"03"</f>
        <v>03</v>
      </c>
      <c r="J290" t="s">
        <v>70</v>
      </c>
      <c r="L290" t="s">
        <v>37</v>
      </c>
      <c r="M290" t="s">
        <v>143</v>
      </c>
      <c r="N290" s="1">
        <v>41729</v>
      </c>
      <c r="O290">
        <v>185.9</v>
      </c>
      <c r="P290">
        <v>-185.9</v>
      </c>
      <c r="Q290" t="s">
        <v>37</v>
      </c>
      <c r="R290" t="s">
        <v>71</v>
      </c>
      <c r="S290" t="s">
        <v>1186</v>
      </c>
      <c r="T290" t="s">
        <v>1187</v>
      </c>
    </row>
    <row r="291" spans="1:20" x14ac:dyDescent="0.25">
      <c r="A291" t="s">
        <v>1188</v>
      </c>
      <c r="B291" t="str">
        <f>"2488"</f>
        <v>2488</v>
      </c>
      <c r="C291" t="str">
        <f>"301662488"</f>
        <v>301662488</v>
      </c>
      <c r="D291" t="s">
        <v>1189</v>
      </c>
      <c r="E291" t="s">
        <v>933</v>
      </c>
      <c r="F291" t="s">
        <v>438</v>
      </c>
      <c r="G291" s="1">
        <v>23530</v>
      </c>
      <c r="H291" s="1">
        <v>41715</v>
      </c>
      <c r="I291" t="str">
        <f>"51"</f>
        <v>51</v>
      </c>
      <c r="J291" t="s">
        <v>471</v>
      </c>
      <c r="K291" t="s">
        <v>25</v>
      </c>
      <c r="L291" t="s">
        <v>26</v>
      </c>
      <c r="M291" t="s">
        <v>27</v>
      </c>
      <c r="N291" s="1">
        <v>18629</v>
      </c>
      <c r="O291">
        <v>0</v>
      </c>
      <c r="P291">
        <v>0</v>
      </c>
      <c r="Q291" t="s">
        <v>28</v>
      </c>
      <c r="R291" t="s">
        <v>71</v>
      </c>
      <c r="S291" t="s">
        <v>157</v>
      </c>
      <c r="T291" t="s">
        <v>158</v>
      </c>
    </row>
    <row r="292" spans="1:20" x14ac:dyDescent="0.25">
      <c r="A292" t="s">
        <v>1190</v>
      </c>
      <c r="B292" t="str">
        <f>"5908"</f>
        <v>5908</v>
      </c>
      <c r="C292" t="str">
        <f>"425575908"</f>
        <v>425575908</v>
      </c>
      <c r="D292" t="s">
        <v>1191</v>
      </c>
      <c r="E292" t="s">
        <v>1192</v>
      </c>
      <c r="F292" t="s">
        <v>1193</v>
      </c>
      <c r="G292" s="1">
        <v>28773</v>
      </c>
      <c r="H292" s="1">
        <v>41715</v>
      </c>
      <c r="I292" t="str">
        <f>"15"</f>
        <v>15</v>
      </c>
      <c r="J292" t="s">
        <v>36</v>
      </c>
      <c r="K292" t="s">
        <v>98</v>
      </c>
      <c r="L292" t="s">
        <v>37</v>
      </c>
      <c r="M292" t="s">
        <v>117</v>
      </c>
      <c r="N292" s="1">
        <v>41715</v>
      </c>
      <c r="O292">
        <v>4951.96</v>
      </c>
      <c r="P292">
        <v>1237.8599999999999</v>
      </c>
      <c r="Q292" t="s">
        <v>37</v>
      </c>
      <c r="R292" t="s">
        <v>38</v>
      </c>
      <c r="S292" t="s">
        <v>1194</v>
      </c>
      <c r="T292" t="s">
        <v>1195</v>
      </c>
    </row>
    <row r="293" spans="1:20" x14ac:dyDescent="0.25">
      <c r="A293" t="s">
        <v>1196</v>
      </c>
      <c r="B293" t="str">
        <f>"8944"</f>
        <v>8944</v>
      </c>
      <c r="C293" t="str">
        <f>"291728944"</f>
        <v>291728944</v>
      </c>
      <c r="D293" t="s">
        <v>1197</v>
      </c>
      <c r="E293" t="s">
        <v>1198</v>
      </c>
      <c r="F293" t="s">
        <v>219</v>
      </c>
      <c r="G293" s="1">
        <v>28083</v>
      </c>
      <c r="H293" s="1">
        <v>41715</v>
      </c>
      <c r="I293" t="str">
        <f>"08"</f>
        <v>08</v>
      </c>
      <c r="J293" t="s">
        <v>265</v>
      </c>
      <c r="K293" t="s">
        <v>175</v>
      </c>
      <c r="L293" t="s">
        <v>37</v>
      </c>
      <c r="M293" t="s">
        <v>117</v>
      </c>
      <c r="N293" s="1">
        <v>41743</v>
      </c>
      <c r="O293">
        <v>5288.66</v>
      </c>
      <c r="P293">
        <v>1322.1</v>
      </c>
      <c r="Q293" t="s">
        <v>28</v>
      </c>
      <c r="R293" t="s">
        <v>29</v>
      </c>
      <c r="S293" t="s">
        <v>982</v>
      </c>
      <c r="T293" t="s">
        <v>983</v>
      </c>
    </row>
    <row r="294" spans="1:20" x14ac:dyDescent="0.25">
      <c r="A294" t="s">
        <v>1199</v>
      </c>
      <c r="B294" t="str">
        <f>"9634"</f>
        <v>9634</v>
      </c>
      <c r="C294" t="str">
        <f>"270889634"</f>
        <v>270889634</v>
      </c>
      <c r="D294" t="s">
        <v>1200</v>
      </c>
      <c r="E294" t="s">
        <v>109</v>
      </c>
      <c r="F294" t="s">
        <v>28</v>
      </c>
      <c r="G294" s="1">
        <v>30560</v>
      </c>
      <c r="H294" s="1">
        <v>41715</v>
      </c>
      <c r="I294" t="str">
        <f>"05"</f>
        <v>05</v>
      </c>
      <c r="J294" t="s">
        <v>58</v>
      </c>
      <c r="K294" t="s">
        <v>98</v>
      </c>
      <c r="L294" t="s">
        <v>37</v>
      </c>
      <c r="M294" t="s">
        <v>99</v>
      </c>
      <c r="N294" s="1">
        <v>41715</v>
      </c>
      <c r="O294">
        <v>14801.8</v>
      </c>
      <c r="P294">
        <v>3700.32</v>
      </c>
      <c r="Q294" t="s">
        <v>37</v>
      </c>
      <c r="R294" t="s">
        <v>29</v>
      </c>
      <c r="S294" t="s">
        <v>973</v>
      </c>
      <c r="T294" t="s">
        <v>974</v>
      </c>
    </row>
    <row r="295" spans="1:20" x14ac:dyDescent="0.25">
      <c r="A295" t="s">
        <v>1201</v>
      </c>
      <c r="B295" t="str">
        <f>"1934"</f>
        <v>1934</v>
      </c>
      <c r="C295" t="str">
        <f>"270721934"</f>
        <v>270721934</v>
      </c>
      <c r="D295" t="s">
        <v>1202</v>
      </c>
      <c r="E295" t="s">
        <v>1203</v>
      </c>
      <c r="G295" s="1">
        <v>25573</v>
      </c>
      <c r="H295" s="1">
        <v>41711</v>
      </c>
      <c r="I295" t="str">
        <f>"51"</f>
        <v>51</v>
      </c>
      <c r="J295" t="s">
        <v>471</v>
      </c>
      <c r="K295" t="s">
        <v>25</v>
      </c>
      <c r="L295" t="s">
        <v>26</v>
      </c>
      <c r="M295" t="s">
        <v>27</v>
      </c>
      <c r="N295" s="1">
        <v>18629</v>
      </c>
      <c r="O295">
        <v>0</v>
      </c>
      <c r="P295">
        <v>0</v>
      </c>
      <c r="Q295" t="s">
        <v>28</v>
      </c>
      <c r="R295" t="s">
        <v>29</v>
      </c>
      <c r="S295" t="s">
        <v>1204</v>
      </c>
      <c r="T295" t="s">
        <v>1205</v>
      </c>
    </row>
    <row r="296" spans="1:20" x14ac:dyDescent="0.25">
      <c r="A296" t="s">
        <v>1206</v>
      </c>
      <c r="B296" t="str">
        <f>"0354"</f>
        <v>0354</v>
      </c>
      <c r="C296" t="str">
        <f>"301880354"</f>
        <v>301880354</v>
      </c>
      <c r="D296" t="s">
        <v>1207</v>
      </c>
      <c r="E296" t="s">
        <v>874</v>
      </c>
      <c r="F296" t="s">
        <v>1208</v>
      </c>
      <c r="G296" s="1">
        <v>32207</v>
      </c>
      <c r="H296" s="1">
        <v>41701</v>
      </c>
      <c r="I296" t="str">
        <f>"01"</f>
        <v>01</v>
      </c>
      <c r="J296" t="s">
        <v>116</v>
      </c>
      <c r="K296" t="s">
        <v>98</v>
      </c>
      <c r="L296" t="s">
        <v>37</v>
      </c>
      <c r="M296" t="s">
        <v>117</v>
      </c>
      <c r="N296" s="1">
        <v>41715</v>
      </c>
      <c r="O296">
        <v>4951.96</v>
      </c>
      <c r="P296">
        <v>1237.8599999999999</v>
      </c>
      <c r="Q296" t="s">
        <v>37</v>
      </c>
      <c r="R296" t="s">
        <v>38</v>
      </c>
      <c r="S296" t="s">
        <v>545</v>
      </c>
      <c r="T296" t="s">
        <v>546</v>
      </c>
    </row>
    <row r="297" spans="1:20" x14ac:dyDescent="0.25">
      <c r="A297" t="s">
        <v>1209</v>
      </c>
      <c r="B297" t="str">
        <f>"4534"</f>
        <v>4534</v>
      </c>
      <c r="C297" t="str">
        <f>"282924534"</f>
        <v>282924534</v>
      </c>
      <c r="D297" t="s">
        <v>1210</v>
      </c>
      <c r="E297" t="s">
        <v>1211</v>
      </c>
      <c r="G297" s="1">
        <v>33036</v>
      </c>
      <c r="H297" s="1">
        <v>41701</v>
      </c>
      <c r="I297" t="str">
        <f>"30"</f>
        <v>30</v>
      </c>
      <c r="J297" t="s">
        <v>50</v>
      </c>
      <c r="K297" t="s">
        <v>25</v>
      </c>
      <c r="L297" t="s">
        <v>26</v>
      </c>
      <c r="M297" t="s">
        <v>27</v>
      </c>
      <c r="N297" s="1">
        <v>18629</v>
      </c>
      <c r="O297">
        <v>0</v>
      </c>
      <c r="P297">
        <v>0</v>
      </c>
      <c r="Q297" t="s">
        <v>37</v>
      </c>
      <c r="R297" t="s">
        <v>51</v>
      </c>
      <c r="S297" s="2" t="s">
        <v>198</v>
      </c>
      <c r="T297" t="s">
        <v>199</v>
      </c>
    </row>
    <row r="298" spans="1:20" x14ac:dyDescent="0.25">
      <c r="A298" t="s">
        <v>1212</v>
      </c>
      <c r="B298" t="str">
        <f>"0535"</f>
        <v>0535</v>
      </c>
      <c r="C298" t="str">
        <f>"272820535"</f>
        <v>272820535</v>
      </c>
      <c r="D298" t="s">
        <v>1213</v>
      </c>
      <c r="E298" t="s">
        <v>1214</v>
      </c>
      <c r="G298" s="1">
        <v>24983</v>
      </c>
      <c r="H298" s="1">
        <v>41701</v>
      </c>
      <c r="I298" t="str">
        <f>"05"</f>
        <v>05</v>
      </c>
      <c r="J298" t="s">
        <v>58</v>
      </c>
      <c r="K298" t="s">
        <v>98</v>
      </c>
      <c r="L298" t="s">
        <v>37</v>
      </c>
      <c r="M298" t="s">
        <v>117</v>
      </c>
      <c r="N298" s="1">
        <v>41715</v>
      </c>
      <c r="O298">
        <v>4951.96</v>
      </c>
      <c r="P298">
        <v>1237.8599999999999</v>
      </c>
      <c r="Q298" t="s">
        <v>28</v>
      </c>
      <c r="R298" t="s">
        <v>29</v>
      </c>
      <c r="S298" t="s">
        <v>973</v>
      </c>
      <c r="T298" t="s">
        <v>974</v>
      </c>
    </row>
    <row r="299" spans="1:20" x14ac:dyDescent="0.25">
      <c r="A299" t="s">
        <v>1215</v>
      </c>
      <c r="B299" t="str">
        <f>"2424"</f>
        <v>2424</v>
      </c>
      <c r="C299" t="str">
        <f>"281762424"</f>
        <v>281762424</v>
      </c>
      <c r="D299" t="s">
        <v>1216</v>
      </c>
      <c r="E299" t="s">
        <v>448</v>
      </c>
      <c r="F299" t="s">
        <v>256</v>
      </c>
      <c r="G299" s="1">
        <v>23662</v>
      </c>
      <c r="H299" s="1">
        <v>41701</v>
      </c>
      <c r="I299" t="str">
        <f>"03"</f>
        <v>03</v>
      </c>
      <c r="J299" t="s">
        <v>70</v>
      </c>
      <c r="K299" t="s">
        <v>98</v>
      </c>
      <c r="L299" t="s">
        <v>37</v>
      </c>
      <c r="M299" t="s">
        <v>257</v>
      </c>
      <c r="N299" s="1">
        <v>41715</v>
      </c>
      <c r="O299">
        <v>10753.08</v>
      </c>
      <c r="P299">
        <v>2688.4</v>
      </c>
      <c r="Q299" t="s">
        <v>37</v>
      </c>
      <c r="R299" t="s">
        <v>29</v>
      </c>
      <c r="S299" t="s">
        <v>138</v>
      </c>
      <c r="T299" t="s">
        <v>139</v>
      </c>
    </row>
    <row r="300" spans="1:20" x14ac:dyDescent="0.25">
      <c r="A300" t="s">
        <v>1217</v>
      </c>
      <c r="B300" t="str">
        <f>"2914"</f>
        <v>2914</v>
      </c>
      <c r="C300" t="str">
        <f>"067342914"</f>
        <v>067342914</v>
      </c>
      <c r="D300" t="s">
        <v>1218</v>
      </c>
      <c r="E300" t="s">
        <v>33</v>
      </c>
      <c r="F300" t="s">
        <v>556</v>
      </c>
      <c r="G300" s="1">
        <v>15471</v>
      </c>
      <c r="H300" s="1">
        <v>41701</v>
      </c>
      <c r="I300" t="str">
        <f>"52"</f>
        <v>52</v>
      </c>
      <c r="J300" t="s">
        <v>330</v>
      </c>
      <c r="K300" t="s">
        <v>25</v>
      </c>
      <c r="L300" t="s">
        <v>26</v>
      </c>
      <c r="M300" t="s">
        <v>27</v>
      </c>
      <c r="N300" s="1">
        <v>18629</v>
      </c>
      <c r="O300">
        <v>0</v>
      </c>
      <c r="P300">
        <v>0</v>
      </c>
      <c r="Q300" t="s">
        <v>28</v>
      </c>
      <c r="R300" t="s">
        <v>258</v>
      </c>
      <c r="S300" t="s">
        <v>1078</v>
      </c>
      <c r="T300" t="s">
        <v>1079</v>
      </c>
    </row>
    <row r="301" spans="1:20" x14ac:dyDescent="0.25">
      <c r="A301" t="s">
        <v>1219</v>
      </c>
      <c r="B301" t="str">
        <f>"6566"</f>
        <v>6566</v>
      </c>
      <c r="C301" t="str">
        <f>"271086566"</f>
        <v>271086566</v>
      </c>
      <c r="D301" t="s">
        <v>1220</v>
      </c>
      <c r="E301" t="s">
        <v>1221</v>
      </c>
      <c r="G301" s="1">
        <v>28878</v>
      </c>
      <c r="H301" s="1">
        <v>41701</v>
      </c>
      <c r="I301" t="str">
        <f>"42"</f>
        <v>42</v>
      </c>
      <c r="J301" t="s">
        <v>367</v>
      </c>
      <c r="K301" t="s">
        <v>25</v>
      </c>
      <c r="L301" t="s">
        <v>26</v>
      </c>
      <c r="M301" t="s">
        <v>27</v>
      </c>
      <c r="N301" s="1">
        <v>18629</v>
      </c>
      <c r="O301">
        <v>0</v>
      </c>
      <c r="P301">
        <v>0</v>
      </c>
      <c r="Q301" t="s">
        <v>28</v>
      </c>
      <c r="R301" t="s">
        <v>51</v>
      </c>
      <c r="S301" t="s">
        <v>1222</v>
      </c>
      <c r="T301" t="s">
        <v>1223</v>
      </c>
    </row>
    <row r="302" spans="1:20" x14ac:dyDescent="0.25">
      <c r="A302" t="s">
        <v>1224</v>
      </c>
      <c r="B302" t="str">
        <f>"7380"</f>
        <v>7380</v>
      </c>
      <c r="C302" t="str">
        <f>"296407380"</f>
        <v>296407380</v>
      </c>
      <c r="D302" t="s">
        <v>1225</v>
      </c>
      <c r="E302" t="s">
        <v>1226</v>
      </c>
      <c r="F302" t="s">
        <v>93</v>
      </c>
      <c r="G302" s="1">
        <v>16643</v>
      </c>
      <c r="H302" s="1">
        <v>41701</v>
      </c>
      <c r="I302" t="str">
        <f>"30"</f>
        <v>30</v>
      </c>
      <c r="J302" t="s">
        <v>50</v>
      </c>
      <c r="K302" t="s">
        <v>25</v>
      </c>
      <c r="L302" t="s">
        <v>26</v>
      </c>
      <c r="M302" t="s">
        <v>27</v>
      </c>
      <c r="N302" s="1">
        <v>18629</v>
      </c>
      <c r="O302">
        <v>0</v>
      </c>
      <c r="P302">
        <v>0</v>
      </c>
      <c r="Q302" t="s">
        <v>28</v>
      </c>
      <c r="R302" t="s">
        <v>51</v>
      </c>
      <c r="S302" s="2" t="s">
        <v>198</v>
      </c>
      <c r="T302" t="s">
        <v>199</v>
      </c>
    </row>
    <row r="303" spans="1:20" x14ac:dyDescent="0.25">
      <c r="A303" t="s">
        <v>1227</v>
      </c>
      <c r="B303" t="str">
        <f>"5828"</f>
        <v>5828</v>
      </c>
      <c r="C303" t="str">
        <f>"294045828"</f>
        <v>294045828</v>
      </c>
      <c r="D303" t="s">
        <v>1228</v>
      </c>
      <c r="E303" t="s">
        <v>1229</v>
      </c>
      <c r="G303" s="1">
        <v>27014</v>
      </c>
      <c r="H303" s="1">
        <v>41701</v>
      </c>
      <c r="I303" t="str">
        <f>"03"</f>
        <v>03</v>
      </c>
      <c r="J303" t="s">
        <v>70</v>
      </c>
      <c r="K303" t="s">
        <v>98</v>
      </c>
      <c r="L303" t="s">
        <v>37</v>
      </c>
      <c r="M303" t="s">
        <v>99</v>
      </c>
      <c r="N303" s="1">
        <v>41715</v>
      </c>
      <c r="O303">
        <v>14801.8</v>
      </c>
      <c r="P303">
        <v>3700.32</v>
      </c>
      <c r="Q303" t="s">
        <v>37</v>
      </c>
      <c r="R303" t="s">
        <v>29</v>
      </c>
      <c r="S303" t="s">
        <v>138</v>
      </c>
      <c r="T303" t="s">
        <v>139</v>
      </c>
    </row>
    <row r="304" spans="1:20" x14ac:dyDescent="0.25">
      <c r="A304" t="s">
        <v>1230</v>
      </c>
      <c r="B304" t="str">
        <f>"5740"</f>
        <v>5740</v>
      </c>
      <c r="C304" t="str">
        <f>"300845740"</f>
        <v>300845740</v>
      </c>
      <c r="D304" t="s">
        <v>623</v>
      </c>
      <c r="E304" t="s">
        <v>1231</v>
      </c>
      <c r="F304" t="s">
        <v>264</v>
      </c>
      <c r="G304" s="1">
        <v>31726</v>
      </c>
      <c r="H304" s="1">
        <v>41701</v>
      </c>
      <c r="I304" t="str">
        <f>"12"</f>
        <v>12</v>
      </c>
      <c r="J304" t="s">
        <v>245</v>
      </c>
      <c r="K304" t="s">
        <v>98</v>
      </c>
      <c r="L304" t="s">
        <v>37</v>
      </c>
      <c r="M304" t="s">
        <v>257</v>
      </c>
      <c r="N304" s="1">
        <v>41617</v>
      </c>
      <c r="O304">
        <v>10753.08</v>
      </c>
      <c r="P304">
        <v>2688.4</v>
      </c>
      <c r="Q304" t="s">
        <v>37</v>
      </c>
      <c r="R304" t="s">
        <v>110</v>
      </c>
      <c r="S304" t="s">
        <v>111</v>
      </c>
      <c r="T304" t="s">
        <v>112</v>
      </c>
    </row>
    <row r="305" spans="1:20" x14ac:dyDescent="0.25">
      <c r="A305" t="s">
        <v>1232</v>
      </c>
      <c r="B305" t="str">
        <f>"0414"</f>
        <v>0414</v>
      </c>
      <c r="C305" t="str">
        <f>"282400414"</f>
        <v>282400414</v>
      </c>
      <c r="D305" t="s">
        <v>1233</v>
      </c>
      <c r="E305" t="s">
        <v>1234</v>
      </c>
      <c r="F305" t="s">
        <v>44</v>
      </c>
      <c r="G305" s="1">
        <v>15941</v>
      </c>
      <c r="H305" s="1">
        <v>41701</v>
      </c>
      <c r="I305" t="str">
        <f>"52"</f>
        <v>52</v>
      </c>
      <c r="J305" t="s">
        <v>330</v>
      </c>
      <c r="K305" t="s">
        <v>25</v>
      </c>
      <c r="L305" t="s">
        <v>26</v>
      </c>
      <c r="M305" t="s">
        <v>27</v>
      </c>
      <c r="N305" s="1">
        <v>18629</v>
      </c>
      <c r="O305">
        <v>0</v>
      </c>
      <c r="P305">
        <v>0</v>
      </c>
      <c r="Q305" t="s">
        <v>28</v>
      </c>
      <c r="R305" t="s">
        <v>258</v>
      </c>
      <c r="S305" t="s">
        <v>1235</v>
      </c>
      <c r="T305" t="s">
        <v>1236</v>
      </c>
    </row>
    <row r="306" spans="1:20" x14ac:dyDescent="0.25">
      <c r="A306" t="s">
        <v>1237</v>
      </c>
      <c r="B306" t="str">
        <f>"2315"</f>
        <v>2315</v>
      </c>
      <c r="C306" t="str">
        <f>"280942315"</f>
        <v>280942315</v>
      </c>
      <c r="D306" t="s">
        <v>1238</v>
      </c>
      <c r="E306" t="s">
        <v>35</v>
      </c>
      <c r="F306" t="s">
        <v>588</v>
      </c>
      <c r="G306" s="1">
        <v>33391</v>
      </c>
      <c r="H306" s="1">
        <v>41701</v>
      </c>
      <c r="I306" t="str">
        <f>"51"</f>
        <v>51</v>
      </c>
      <c r="J306" t="s">
        <v>471</v>
      </c>
      <c r="K306" t="s">
        <v>25</v>
      </c>
      <c r="L306" t="s">
        <v>26</v>
      </c>
      <c r="M306" t="s">
        <v>27</v>
      </c>
      <c r="N306" s="1">
        <v>18629</v>
      </c>
      <c r="O306">
        <v>0</v>
      </c>
      <c r="P306">
        <v>0</v>
      </c>
      <c r="Q306" t="s">
        <v>28</v>
      </c>
      <c r="R306" t="s">
        <v>258</v>
      </c>
      <c r="S306" t="s">
        <v>472</v>
      </c>
      <c r="T306" t="s">
        <v>473</v>
      </c>
    </row>
    <row r="307" spans="1:20" x14ac:dyDescent="0.25">
      <c r="A307" t="s">
        <v>1239</v>
      </c>
      <c r="B307" t="str">
        <f>"9262"</f>
        <v>9262</v>
      </c>
      <c r="C307" t="str">
        <f>"269049262"</f>
        <v>269049262</v>
      </c>
      <c r="D307" t="s">
        <v>1240</v>
      </c>
      <c r="E307" t="s">
        <v>1241</v>
      </c>
      <c r="F307" t="s">
        <v>165</v>
      </c>
      <c r="G307" s="1">
        <v>27344</v>
      </c>
      <c r="H307" s="1">
        <v>41701</v>
      </c>
      <c r="I307" t="str">
        <f>"42"</f>
        <v>42</v>
      </c>
      <c r="J307" t="s">
        <v>367</v>
      </c>
      <c r="K307" t="s">
        <v>25</v>
      </c>
      <c r="L307" t="s">
        <v>26</v>
      </c>
      <c r="M307" t="s">
        <v>27</v>
      </c>
      <c r="N307" s="1">
        <v>18629</v>
      </c>
      <c r="O307">
        <v>0</v>
      </c>
      <c r="P307">
        <v>0</v>
      </c>
      <c r="Q307" t="s">
        <v>28</v>
      </c>
      <c r="R307" t="s">
        <v>51</v>
      </c>
      <c r="S307" t="s">
        <v>1222</v>
      </c>
      <c r="T307" t="s">
        <v>1223</v>
      </c>
    </row>
    <row r="308" spans="1:20" x14ac:dyDescent="0.25">
      <c r="A308" t="s">
        <v>1242</v>
      </c>
      <c r="B308" t="str">
        <f>"8363"</f>
        <v>8363</v>
      </c>
      <c r="C308" t="str">
        <f>"284648363"</f>
        <v>284648363</v>
      </c>
      <c r="D308" t="s">
        <v>1243</v>
      </c>
      <c r="E308" t="s">
        <v>991</v>
      </c>
      <c r="F308" t="s">
        <v>239</v>
      </c>
      <c r="G308" s="1">
        <v>22453</v>
      </c>
      <c r="H308" s="1">
        <v>41701</v>
      </c>
      <c r="I308" t="str">
        <f>"05"</f>
        <v>05</v>
      </c>
      <c r="J308" t="s">
        <v>58</v>
      </c>
      <c r="K308" t="s">
        <v>175</v>
      </c>
      <c r="L308" t="s">
        <v>37</v>
      </c>
      <c r="M308" t="s">
        <v>99</v>
      </c>
      <c r="N308" s="1">
        <v>41617</v>
      </c>
      <c r="O308">
        <v>16411.72</v>
      </c>
      <c r="P308">
        <v>4102.8</v>
      </c>
      <c r="Q308" t="s">
        <v>37</v>
      </c>
      <c r="R308" t="s">
        <v>51</v>
      </c>
      <c r="S308" s="2" t="s">
        <v>1244</v>
      </c>
      <c r="T308" t="s">
        <v>1245</v>
      </c>
    </row>
    <row r="309" spans="1:20" x14ac:dyDescent="0.25">
      <c r="A309" t="s">
        <v>1246</v>
      </c>
      <c r="B309" t="str">
        <f>"0849"</f>
        <v>0849</v>
      </c>
      <c r="C309" t="str">
        <f>"288820849"</f>
        <v>288820849</v>
      </c>
      <c r="D309" t="s">
        <v>1247</v>
      </c>
      <c r="E309" t="s">
        <v>1248</v>
      </c>
      <c r="F309" t="s">
        <v>1071</v>
      </c>
      <c r="G309" s="1">
        <v>29317</v>
      </c>
      <c r="H309" s="1">
        <v>41694</v>
      </c>
      <c r="I309" t="str">
        <f>"51"</f>
        <v>51</v>
      </c>
      <c r="J309" t="s">
        <v>471</v>
      </c>
      <c r="K309" t="s">
        <v>25</v>
      </c>
      <c r="L309" t="s">
        <v>26</v>
      </c>
      <c r="M309" t="s">
        <v>27</v>
      </c>
      <c r="N309" s="1">
        <v>18629</v>
      </c>
      <c r="O309">
        <v>0</v>
      </c>
      <c r="P309">
        <v>0</v>
      </c>
      <c r="Q309" t="s">
        <v>37</v>
      </c>
      <c r="R309" t="s">
        <v>29</v>
      </c>
      <c r="S309" t="s">
        <v>138</v>
      </c>
      <c r="T309" t="s">
        <v>139</v>
      </c>
    </row>
    <row r="310" spans="1:20" x14ac:dyDescent="0.25">
      <c r="A310" t="s">
        <v>1249</v>
      </c>
      <c r="B310" t="str">
        <f>"0732"</f>
        <v>0732</v>
      </c>
      <c r="C310" t="str">
        <f>"271860732"</f>
        <v>271860732</v>
      </c>
      <c r="D310" t="s">
        <v>1250</v>
      </c>
      <c r="E310" t="s">
        <v>197</v>
      </c>
      <c r="F310" t="s">
        <v>1251</v>
      </c>
      <c r="G310" s="1">
        <v>29206</v>
      </c>
      <c r="H310" s="1">
        <v>41694</v>
      </c>
      <c r="I310" t="str">
        <f>"41"</f>
        <v>41</v>
      </c>
      <c r="J310" t="s">
        <v>24</v>
      </c>
      <c r="K310" t="s">
        <v>25</v>
      </c>
      <c r="L310" t="s">
        <v>26</v>
      </c>
      <c r="M310" t="s">
        <v>27</v>
      </c>
      <c r="N310" s="1">
        <v>18629</v>
      </c>
      <c r="O310">
        <v>0</v>
      </c>
      <c r="P310">
        <v>0</v>
      </c>
      <c r="Q310" t="s">
        <v>28</v>
      </c>
      <c r="R310" t="s">
        <v>71</v>
      </c>
      <c r="S310" t="s">
        <v>83</v>
      </c>
      <c r="T310" t="s">
        <v>84</v>
      </c>
    </row>
    <row r="311" spans="1:20" x14ac:dyDescent="0.25">
      <c r="A311" t="s">
        <v>1252</v>
      </c>
      <c r="B311" t="str">
        <f>"8996"</f>
        <v>8996</v>
      </c>
      <c r="C311" t="str">
        <f>"286748996"</f>
        <v>286748996</v>
      </c>
      <c r="D311" t="s">
        <v>1253</v>
      </c>
      <c r="E311" t="s">
        <v>1254</v>
      </c>
      <c r="F311" t="s">
        <v>156</v>
      </c>
      <c r="G311" s="1">
        <v>28852</v>
      </c>
      <c r="H311" s="1">
        <v>41694</v>
      </c>
      <c r="I311" t="str">
        <f>"50"</f>
        <v>50</v>
      </c>
      <c r="J311" t="s">
        <v>208</v>
      </c>
      <c r="K311" t="s">
        <v>25</v>
      </c>
      <c r="L311" t="s">
        <v>26</v>
      </c>
      <c r="M311" t="s">
        <v>27</v>
      </c>
      <c r="N311" s="1">
        <v>18629</v>
      </c>
      <c r="O311">
        <v>0</v>
      </c>
      <c r="P311">
        <v>0</v>
      </c>
      <c r="Q311" t="s">
        <v>37</v>
      </c>
      <c r="R311" t="s">
        <v>100</v>
      </c>
      <c r="S311" t="s">
        <v>246</v>
      </c>
      <c r="T311" t="s">
        <v>247</v>
      </c>
    </row>
    <row r="312" spans="1:20" x14ac:dyDescent="0.25">
      <c r="A312" t="s">
        <v>1255</v>
      </c>
      <c r="B312" t="str">
        <f>"1564"</f>
        <v>1564</v>
      </c>
      <c r="C312" t="str">
        <f>"274841564"</f>
        <v>274841564</v>
      </c>
      <c r="D312" t="s">
        <v>1256</v>
      </c>
      <c r="E312" t="s">
        <v>344</v>
      </c>
      <c r="F312" t="s">
        <v>264</v>
      </c>
      <c r="G312" s="1">
        <v>30771</v>
      </c>
      <c r="H312" s="1">
        <v>41694</v>
      </c>
      <c r="I312" t="str">
        <f>"52"</f>
        <v>52</v>
      </c>
      <c r="J312" t="s">
        <v>330</v>
      </c>
      <c r="K312" t="s">
        <v>25</v>
      </c>
      <c r="L312" t="s">
        <v>26</v>
      </c>
      <c r="M312" t="s">
        <v>27</v>
      </c>
      <c r="N312" s="1">
        <v>18629</v>
      </c>
      <c r="O312">
        <v>0</v>
      </c>
      <c r="P312">
        <v>0</v>
      </c>
      <c r="Q312" t="s">
        <v>37</v>
      </c>
      <c r="R312" t="s">
        <v>258</v>
      </c>
      <c r="S312" t="s">
        <v>678</v>
      </c>
      <c r="T312" t="s">
        <v>679</v>
      </c>
    </row>
    <row r="313" spans="1:20" x14ac:dyDescent="0.25">
      <c r="A313" t="s">
        <v>1257</v>
      </c>
      <c r="B313" t="str">
        <f>"7623"</f>
        <v>7623</v>
      </c>
      <c r="C313" t="str">
        <f>"274907623"</f>
        <v>274907623</v>
      </c>
      <c r="D313" t="s">
        <v>1258</v>
      </c>
      <c r="E313" t="s">
        <v>654</v>
      </c>
      <c r="F313" t="s">
        <v>44</v>
      </c>
      <c r="G313" s="1">
        <v>30615</v>
      </c>
      <c r="H313" s="1">
        <v>41689</v>
      </c>
      <c r="I313" t="str">
        <f>"51"</f>
        <v>51</v>
      </c>
      <c r="J313" t="s">
        <v>471</v>
      </c>
      <c r="K313" t="s">
        <v>25</v>
      </c>
      <c r="L313" t="s">
        <v>26</v>
      </c>
      <c r="M313" t="s">
        <v>27</v>
      </c>
      <c r="N313" s="1">
        <v>18629</v>
      </c>
      <c r="O313">
        <v>0</v>
      </c>
      <c r="P313">
        <v>0</v>
      </c>
      <c r="Q313" t="s">
        <v>37</v>
      </c>
      <c r="R313" t="s">
        <v>29</v>
      </c>
      <c r="S313" t="s">
        <v>138</v>
      </c>
      <c r="T313" t="s">
        <v>139</v>
      </c>
    </row>
    <row r="314" spans="1:20" x14ac:dyDescent="0.25">
      <c r="A314" t="s">
        <v>1259</v>
      </c>
      <c r="B314" t="str">
        <f>"1072"</f>
        <v>1072</v>
      </c>
      <c r="C314" t="str">
        <f>"467651072"</f>
        <v>467651072</v>
      </c>
      <c r="D314" t="s">
        <v>1260</v>
      </c>
      <c r="E314" t="s">
        <v>322</v>
      </c>
      <c r="G314" s="1">
        <v>30332</v>
      </c>
      <c r="H314" s="1">
        <v>41687</v>
      </c>
      <c r="I314" t="str">
        <f>"50"</f>
        <v>50</v>
      </c>
      <c r="J314" t="s">
        <v>208</v>
      </c>
      <c r="K314" t="s">
        <v>25</v>
      </c>
      <c r="L314" t="s">
        <v>26</v>
      </c>
      <c r="M314" t="s">
        <v>27</v>
      </c>
      <c r="N314" s="1">
        <v>18629</v>
      </c>
      <c r="O314">
        <v>0</v>
      </c>
      <c r="P314">
        <v>0</v>
      </c>
      <c r="Q314" t="s">
        <v>37</v>
      </c>
      <c r="R314" t="s">
        <v>71</v>
      </c>
      <c r="S314" t="s">
        <v>209</v>
      </c>
      <c r="T314" t="s">
        <v>210</v>
      </c>
    </row>
    <row r="315" spans="1:20" x14ac:dyDescent="0.25">
      <c r="A315" t="s">
        <v>1261</v>
      </c>
      <c r="B315" t="str">
        <f>"3867"</f>
        <v>3867</v>
      </c>
      <c r="C315" t="str">
        <f>"293763867"</f>
        <v>293763867</v>
      </c>
      <c r="D315" t="s">
        <v>1262</v>
      </c>
      <c r="E315" t="s">
        <v>109</v>
      </c>
      <c r="F315" t="s">
        <v>1263</v>
      </c>
      <c r="G315" s="1">
        <v>25234</v>
      </c>
      <c r="H315" s="1">
        <v>41687</v>
      </c>
      <c r="I315" t="str">
        <f>"01"</f>
        <v>01</v>
      </c>
      <c r="J315" t="s">
        <v>116</v>
      </c>
      <c r="K315" t="s">
        <v>98</v>
      </c>
      <c r="L315" t="s">
        <v>37</v>
      </c>
      <c r="M315" t="s">
        <v>99</v>
      </c>
      <c r="N315" s="1">
        <v>41617</v>
      </c>
      <c r="O315">
        <v>14801.8</v>
      </c>
      <c r="P315">
        <v>3700.32</v>
      </c>
      <c r="Q315" t="s">
        <v>37</v>
      </c>
      <c r="R315" t="s">
        <v>38</v>
      </c>
      <c r="S315" t="s">
        <v>1264</v>
      </c>
      <c r="T315" t="s">
        <v>1265</v>
      </c>
    </row>
    <row r="316" spans="1:20" x14ac:dyDescent="0.25">
      <c r="A316" t="s">
        <v>1266</v>
      </c>
      <c r="B316" t="str">
        <f>"6124"</f>
        <v>6124</v>
      </c>
      <c r="C316" t="str">
        <f>"280906124"</f>
        <v>280906124</v>
      </c>
      <c r="D316" t="s">
        <v>1267</v>
      </c>
      <c r="E316" t="s">
        <v>1268</v>
      </c>
      <c r="G316" s="1">
        <v>32566</v>
      </c>
      <c r="H316" s="1">
        <v>41687</v>
      </c>
      <c r="I316" t="str">
        <f>"12"</f>
        <v>12</v>
      </c>
      <c r="J316" t="s">
        <v>245</v>
      </c>
      <c r="K316" t="s">
        <v>98</v>
      </c>
      <c r="L316" t="s">
        <v>37</v>
      </c>
      <c r="M316" t="s">
        <v>117</v>
      </c>
      <c r="N316" s="1">
        <v>41617</v>
      </c>
      <c r="O316">
        <v>4951.96</v>
      </c>
      <c r="P316">
        <v>1237.8599999999999</v>
      </c>
      <c r="Q316" t="s">
        <v>37</v>
      </c>
      <c r="R316" t="s">
        <v>38</v>
      </c>
      <c r="S316" t="s">
        <v>39</v>
      </c>
      <c r="T316" t="s">
        <v>40</v>
      </c>
    </row>
    <row r="317" spans="1:20" x14ac:dyDescent="0.25">
      <c r="A317" t="s">
        <v>1269</v>
      </c>
      <c r="B317" t="str">
        <f>"6052"</f>
        <v>6052</v>
      </c>
      <c r="C317" t="str">
        <f>"296766052"</f>
        <v>296766052</v>
      </c>
      <c r="D317" t="s">
        <v>1270</v>
      </c>
      <c r="E317" t="s">
        <v>1271</v>
      </c>
      <c r="F317" t="s">
        <v>190</v>
      </c>
      <c r="G317" s="1">
        <v>28706</v>
      </c>
      <c r="H317" s="1">
        <v>41687</v>
      </c>
      <c r="I317" t="str">
        <f>"30"</f>
        <v>30</v>
      </c>
      <c r="J317" t="s">
        <v>50</v>
      </c>
      <c r="K317" t="s">
        <v>25</v>
      </c>
      <c r="L317" t="s">
        <v>26</v>
      </c>
      <c r="M317" t="s">
        <v>27</v>
      </c>
      <c r="N317" s="1">
        <v>18629</v>
      </c>
      <c r="O317">
        <v>0</v>
      </c>
      <c r="P317">
        <v>0</v>
      </c>
      <c r="Q317" t="s">
        <v>37</v>
      </c>
      <c r="R317" t="s">
        <v>51</v>
      </c>
      <c r="S317" s="2" t="s">
        <v>1272</v>
      </c>
      <c r="T317" t="s">
        <v>1273</v>
      </c>
    </row>
    <row r="318" spans="1:20" x14ac:dyDescent="0.25">
      <c r="A318" t="s">
        <v>1274</v>
      </c>
      <c r="B318" t="str">
        <f>"1689"</f>
        <v>1689</v>
      </c>
      <c r="C318" t="str">
        <f>"284441689"</f>
        <v>284441689</v>
      </c>
      <c r="D318" t="s">
        <v>1275</v>
      </c>
      <c r="E318" t="s">
        <v>1049</v>
      </c>
      <c r="G318" s="1">
        <v>20222</v>
      </c>
      <c r="H318" s="1">
        <v>41687</v>
      </c>
      <c r="I318" t="str">
        <f>"01"</f>
        <v>01</v>
      </c>
      <c r="J318" t="s">
        <v>116</v>
      </c>
      <c r="K318" t="s">
        <v>98</v>
      </c>
      <c r="L318" t="s">
        <v>37</v>
      </c>
      <c r="M318" t="s">
        <v>99</v>
      </c>
      <c r="N318" s="1">
        <v>41883</v>
      </c>
      <c r="O318">
        <v>14801.8</v>
      </c>
      <c r="P318">
        <v>3700.32</v>
      </c>
      <c r="Q318" t="s">
        <v>28</v>
      </c>
      <c r="R318" t="s">
        <v>71</v>
      </c>
      <c r="S318" t="s">
        <v>1168</v>
      </c>
      <c r="T318" t="s">
        <v>1169</v>
      </c>
    </row>
    <row r="319" spans="1:20" x14ac:dyDescent="0.25">
      <c r="A319" t="s">
        <v>1276</v>
      </c>
      <c r="B319" t="str">
        <f>"4721"</f>
        <v>4721</v>
      </c>
      <c r="C319" t="str">
        <f>"258134721"</f>
        <v>258134721</v>
      </c>
      <c r="D319" t="s">
        <v>1277</v>
      </c>
      <c r="E319" t="s">
        <v>197</v>
      </c>
      <c r="F319" t="s">
        <v>329</v>
      </c>
      <c r="G319" s="1">
        <v>20881</v>
      </c>
      <c r="H319" s="1">
        <v>41687</v>
      </c>
      <c r="I319" t="str">
        <f>"30"</f>
        <v>30</v>
      </c>
      <c r="J319" t="s">
        <v>50</v>
      </c>
      <c r="K319" t="s">
        <v>25</v>
      </c>
      <c r="L319" t="s">
        <v>26</v>
      </c>
      <c r="M319" t="s">
        <v>27</v>
      </c>
      <c r="N319" s="1">
        <v>18629</v>
      </c>
      <c r="O319">
        <v>0</v>
      </c>
      <c r="P319">
        <v>0</v>
      </c>
      <c r="Q319" t="s">
        <v>28</v>
      </c>
      <c r="R319" t="s">
        <v>71</v>
      </c>
      <c r="S319" t="s">
        <v>373</v>
      </c>
      <c r="T319" t="s">
        <v>374</v>
      </c>
    </row>
    <row r="320" spans="1:20" x14ac:dyDescent="0.25">
      <c r="A320" t="s">
        <v>1278</v>
      </c>
      <c r="B320" t="str">
        <f>"2459"</f>
        <v>2459</v>
      </c>
      <c r="C320" t="str">
        <f>"459772459"</f>
        <v>459772459</v>
      </c>
      <c r="D320" t="s">
        <v>1279</v>
      </c>
      <c r="E320" t="s">
        <v>82</v>
      </c>
      <c r="F320" t="s">
        <v>1280</v>
      </c>
      <c r="G320" s="1">
        <v>29539</v>
      </c>
      <c r="H320" s="1">
        <v>41687</v>
      </c>
      <c r="I320" t="str">
        <f>"41"</f>
        <v>41</v>
      </c>
      <c r="J320" t="s">
        <v>24</v>
      </c>
      <c r="K320" t="s">
        <v>25</v>
      </c>
      <c r="L320" t="s">
        <v>26</v>
      </c>
      <c r="M320" t="s">
        <v>27</v>
      </c>
      <c r="N320" s="1">
        <v>18629</v>
      </c>
      <c r="O320">
        <v>0</v>
      </c>
      <c r="P320">
        <v>0</v>
      </c>
      <c r="Q320" t="s">
        <v>37</v>
      </c>
      <c r="R320" t="s">
        <v>258</v>
      </c>
      <c r="S320" t="s">
        <v>527</v>
      </c>
      <c r="T320" t="s">
        <v>528</v>
      </c>
    </row>
    <row r="321" spans="1:20" x14ac:dyDescent="0.25">
      <c r="A321" t="s">
        <v>1281</v>
      </c>
      <c r="B321" t="str">
        <f>"3705"</f>
        <v>3705</v>
      </c>
      <c r="C321" t="str">
        <f>"284503705"</f>
        <v>284503705</v>
      </c>
      <c r="D321" t="s">
        <v>1282</v>
      </c>
      <c r="E321" t="s">
        <v>1172</v>
      </c>
      <c r="F321" t="s">
        <v>165</v>
      </c>
      <c r="G321" s="1">
        <v>24530</v>
      </c>
      <c r="H321" s="1">
        <v>41687</v>
      </c>
      <c r="I321" t="str">
        <f>"50"</f>
        <v>50</v>
      </c>
      <c r="J321" t="s">
        <v>208</v>
      </c>
      <c r="K321" t="s">
        <v>25</v>
      </c>
      <c r="L321" t="s">
        <v>26</v>
      </c>
      <c r="M321" t="s">
        <v>27</v>
      </c>
      <c r="N321" s="1">
        <v>18629</v>
      </c>
      <c r="O321">
        <v>0</v>
      </c>
      <c r="P321">
        <v>0</v>
      </c>
      <c r="Q321" t="s">
        <v>28</v>
      </c>
      <c r="R321" t="s">
        <v>100</v>
      </c>
      <c r="S321" t="s">
        <v>246</v>
      </c>
      <c r="T321" t="s">
        <v>247</v>
      </c>
    </row>
    <row r="322" spans="1:20" x14ac:dyDescent="0.25">
      <c r="A322" t="s">
        <v>1283</v>
      </c>
      <c r="B322" t="str">
        <f>"1566"</f>
        <v>1566</v>
      </c>
      <c r="C322" t="str">
        <f>"277661566"</f>
        <v>277661566</v>
      </c>
      <c r="D322" t="s">
        <v>1280</v>
      </c>
      <c r="E322" t="s">
        <v>598</v>
      </c>
      <c r="F322" t="s">
        <v>1284</v>
      </c>
      <c r="G322" s="1">
        <v>22486</v>
      </c>
      <c r="H322" s="1">
        <v>41687</v>
      </c>
      <c r="I322" t="str">
        <f>"41"</f>
        <v>41</v>
      </c>
      <c r="J322" t="s">
        <v>24</v>
      </c>
      <c r="K322" t="s">
        <v>25</v>
      </c>
      <c r="L322" t="s">
        <v>26</v>
      </c>
      <c r="M322" t="s">
        <v>27</v>
      </c>
      <c r="N322" s="1">
        <v>18629</v>
      </c>
      <c r="O322">
        <v>0</v>
      </c>
      <c r="P322">
        <v>0</v>
      </c>
      <c r="Q322" t="s">
        <v>37</v>
      </c>
      <c r="R322" t="s">
        <v>258</v>
      </c>
      <c r="S322" t="s">
        <v>527</v>
      </c>
      <c r="T322" t="s">
        <v>528</v>
      </c>
    </row>
    <row r="323" spans="1:20" x14ac:dyDescent="0.25">
      <c r="A323" t="s">
        <v>1285</v>
      </c>
      <c r="B323" t="str">
        <f>"5953"</f>
        <v>5953</v>
      </c>
      <c r="C323" t="str">
        <f>"170685953"</f>
        <v>170685953</v>
      </c>
      <c r="D323" t="s">
        <v>1286</v>
      </c>
      <c r="E323" t="s">
        <v>554</v>
      </c>
      <c r="F323" t="s">
        <v>1287</v>
      </c>
      <c r="G323" s="1">
        <v>26543</v>
      </c>
      <c r="H323" s="1">
        <v>41687</v>
      </c>
      <c r="I323" t="str">
        <f>"01"</f>
        <v>01</v>
      </c>
      <c r="J323" t="s">
        <v>116</v>
      </c>
      <c r="K323" t="s">
        <v>98</v>
      </c>
      <c r="L323" t="s">
        <v>37</v>
      </c>
      <c r="M323" t="s">
        <v>117</v>
      </c>
      <c r="N323" s="1">
        <v>41687</v>
      </c>
      <c r="O323">
        <v>4951.96</v>
      </c>
      <c r="P323">
        <v>1237.8599999999999</v>
      </c>
      <c r="Q323" t="s">
        <v>37</v>
      </c>
      <c r="R323" t="s">
        <v>110</v>
      </c>
      <c r="S323" t="s">
        <v>1288</v>
      </c>
      <c r="T323" t="s">
        <v>1289</v>
      </c>
    </row>
    <row r="324" spans="1:20" x14ac:dyDescent="0.25">
      <c r="A324" t="s">
        <v>1290</v>
      </c>
      <c r="B324" t="str">
        <f>"1952"</f>
        <v>1952</v>
      </c>
      <c r="C324" t="str">
        <f>"288901952"</f>
        <v>288901952</v>
      </c>
      <c r="D324" t="s">
        <v>1291</v>
      </c>
      <c r="E324" t="s">
        <v>1292</v>
      </c>
      <c r="F324" t="s">
        <v>1247</v>
      </c>
      <c r="G324" s="1">
        <v>31301</v>
      </c>
      <c r="H324" s="1">
        <v>41687</v>
      </c>
      <c r="I324" t="str">
        <f>"12"</f>
        <v>12</v>
      </c>
      <c r="J324" t="s">
        <v>245</v>
      </c>
      <c r="K324" t="s">
        <v>98</v>
      </c>
      <c r="L324" t="s">
        <v>37</v>
      </c>
      <c r="M324" t="s">
        <v>117</v>
      </c>
      <c r="N324" s="1">
        <v>41687</v>
      </c>
      <c r="O324">
        <v>4951.96</v>
      </c>
      <c r="P324">
        <v>1237.8599999999999</v>
      </c>
      <c r="Q324" t="s">
        <v>28</v>
      </c>
      <c r="R324" t="s">
        <v>51</v>
      </c>
      <c r="S324" s="2" t="s">
        <v>198</v>
      </c>
      <c r="T324" t="s">
        <v>199</v>
      </c>
    </row>
    <row r="325" spans="1:20" x14ac:dyDescent="0.25">
      <c r="A325" t="s">
        <v>1293</v>
      </c>
      <c r="B325" t="str">
        <f>"2265"</f>
        <v>2265</v>
      </c>
      <c r="C325" t="str">
        <f>"055782265"</f>
        <v>055782265</v>
      </c>
      <c r="D325" t="s">
        <v>1294</v>
      </c>
      <c r="E325" t="s">
        <v>1198</v>
      </c>
      <c r="F325" t="s">
        <v>44</v>
      </c>
      <c r="G325" s="1">
        <v>33012</v>
      </c>
      <c r="H325" s="1">
        <v>41687</v>
      </c>
      <c r="I325" t="str">
        <f>"41"</f>
        <v>41</v>
      </c>
      <c r="J325" t="s">
        <v>24</v>
      </c>
      <c r="K325" t="s">
        <v>25</v>
      </c>
      <c r="L325" t="s">
        <v>26</v>
      </c>
      <c r="M325" t="s">
        <v>27</v>
      </c>
      <c r="N325" s="1">
        <v>18629</v>
      </c>
      <c r="O325">
        <v>0</v>
      </c>
      <c r="P325">
        <v>0</v>
      </c>
      <c r="Q325" t="s">
        <v>28</v>
      </c>
      <c r="R325" t="s">
        <v>258</v>
      </c>
      <c r="S325" t="s">
        <v>527</v>
      </c>
      <c r="T325" t="s">
        <v>528</v>
      </c>
    </row>
    <row r="326" spans="1:20" x14ac:dyDescent="0.25">
      <c r="A326" t="s">
        <v>1295</v>
      </c>
      <c r="B326" t="str">
        <f>"4977"</f>
        <v>4977</v>
      </c>
      <c r="C326" t="str">
        <f>"285584977"</f>
        <v>285584977</v>
      </c>
      <c r="D326" t="s">
        <v>1296</v>
      </c>
      <c r="E326" t="s">
        <v>122</v>
      </c>
      <c r="F326" t="s">
        <v>219</v>
      </c>
      <c r="G326" s="1">
        <v>20791</v>
      </c>
      <c r="H326" s="1">
        <v>41687</v>
      </c>
      <c r="I326" t="str">
        <f>"41"</f>
        <v>41</v>
      </c>
      <c r="J326" t="s">
        <v>24</v>
      </c>
      <c r="K326" t="s">
        <v>25</v>
      </c>
      <c r="L326" t="s">
        <v>26</v>
      </c>
      <c r="M326" t="s">
        <v>27</v>
      </c>
      <c r="N326" s="1">
        <v>18629</v>
      </c>
      <c r="O326">
        <v>0</v>
      </c>
      <c r="P326">
        <v>0</v>
      </c>
      <c r="Q326" t="s">
        <v>28</v>
      </c>
      <c r="R326" t="s">
        <v>346</v>
      </c>
      <c r="S326" t="s">
        <v>1153</v>
      </c>
      <c r="T326" t="s">
        <v>1154</v>
      </c>
    </row>
    <row r="327" spans="1:20" x14ac:dyDescent="0.25">
      <c r="A327" t="s">
        <v>1297</v>
      </c>
      <c r="B327" t="str">
        <f>"2092"</f>
        <v>2092</v>
      </c>
      <c r="C327" t="str">
        <f>"285882092"</f>
        <v>285882092</v>
      </c>
      <c r="D327" t="s">
        <v>1298</v>
      </c>
      <c r="E327" t="s">
        <v>1299</v>
      </c>
      <c r="F327" t="s">
        <v>44</v>
      </c>
      <c r="G327" s="1">
        <v>27647</v>
      </c>
      <c r="H327" s="1">
        <v>41687</v>
      </c>
      <c r="I327" t="str">
        <f>"50"</f>
        <v>50</v>
      </c>
      <c r="J327" t="s">
        <v>208</v>
      </c>
      <c r="K327" t="s">
        <v>25</v>
      </c>
      <c r="L327" t="s">
        <v>26</v>
      </c>
      <c r="M327" t="s">
        <v>27</v>
      </c>
      <c r="N327" s="1">
        <v>18629</v>
      </c>
      <c r="O327">
        <v>0</v>
      </c>
      <c r="P327">
        <v>0</v>
      </c>
      <c r="Q327" t="s">
        <v>37</v>
      </c>
      <c r="R327" t="s">
        <v>71</v>
      </c>
      <c r="S327" t="s">
        <v>209</v>
      </c>
      <c r="T327" t="s">
        <v>210</v>
      </c>
    </row>
    <row r="328" spans="1:20" x14ac:dyDescent="0.25">
      <c r="A328" t="s">
        <v>1300</v>
      </c>
      <c r="B328" t="str">
        <f>"9126"</f>
        <v>9126</v>
      </c>
      <c r="C328" t="str">
        <f>"086489126"</f>
        <v>086489126</v>
      </c>
      <c r="D328" t="s">
        <v>1301</v>
      </c>
      <c r="E328" t="s">
        <v>1302</v>
      </c>
      <c r="F328" t="s">
        <v>256</v>
      </c>
      <c r="G328" s="1">
        <v>19913</v>
      </c>
      <c r="H328" s="1">
        <v>41687</v>
      </c>
      <c r="I328" t="str">
        <f>"41"</f>
        <v>41</v>
      </c>
      <c r="J328" t="s">
        <v>24</v>
      </c>
      <c r="K328" t="s">
        <v>25</v>
      </c>
      <c r="L328" t="s">
        <v>26</v>
      </c>
      <c r="M328" t="s">
        <v>27</v>
      </c>
      <c r="N328" s="1">
        <v>18629</v>
      </c>
      <c r="O328">
        <v>0</v>
      </c>
      <c r="P328">
        <v>0</v>
      </c>
      <c r="Q328" t="s">
        <v>37</v>
      </c>
      <c r="R328" t="s">
        <v>258</v>
      </c>
      <c r="S328" t="s">
        <v>527</v>
      </c>
      <c r="T328" t="s">
        <v>528</v>
      </c>
    </row>
    <row r="329" spans="1:20" x14ac:dyDescent="0.25">
      <c r="A329" t="s">
        <v>1303</v>
      </c>
      <c r="B329" t="str">
        <f>"4187"</f>
        <v>4187</v>
      </c>
      <c r="C329" t="str">
        <f>"139564187"</f>
        <v>139564187</v>
      </c>
      <c r="D329" t="s">
        <v>1304</v>
      </c>
      <c r="E329" t="s">
        <v>1305</v>
      </c>
      <c r="F329" t="s">
        <v>1306</v>
      </c>
      <c r="G329" s="1">
        <v>21768</v>
      </c>
      <c r="H329" s="1">
        <v>41681</v>
      </c>
      <c r="I329" t="str">
        <f>"52"</f>
        <v>52</v>
      </c>
      <c r="J329" t="s">
        <v>330</v>
      </c>
      <c r="K329" t="s">
        <v>25</v>
      </c>
      <c r="L329" t="s">
        <v>26</v>
      </c>
      <c r="M329" t="s">
        <v>27</v>
      </c>
      <c r="N329" s="1">
        <v>18629</v>
      </c>
      <c r="O329">
        <v>0</v>
      </c>
      <c r="P329">
        <v>0</v>
      </c>
      <c r="Q329" t="s">
        <v>28</v>
      </c>
      <c r="R329" t="s">
        <v>100</v>
      </c>
      <c r="S329" s="2" t="s">
        <v>1148</v>
      </c>
      <c r="T329" t="s">
        <v>1149</v>
      </c>
    </row>
    <row r="330" spans="1:20" x14ac:dyDescent="0.25">
      <c r="A330" t="s">
        <v>1307</v>
      </c>
      <c r="B330" t="str">
        <f>"6880"</f>
        <v>6880</v>
      </c>
      <c r="C330" t="str">
        <f>"283526880"</f>
        <v>283526880</v>
      </c>
      <c r="D330" t="s">
        <v>1308</v>
      </c>
      <c r="E330" t="s">
        <v>1032</v>
      </c>
      <c r="F330" t="s">
        <v>438</v>
      </c>
      <c r="G330" s="1">
        <v>19243</v>
      </c>
      <c r="H330" s="1">
        <v>41680</v>
      </c>
      <c r="I330" t="str">
        <f>"30"</f>
        <v>30</v>
      </c>
      <c r="J330" t="s">
        <v>50</v>
      </c>
      <c r="K330" t="s">
        <v>25</v>
      </c>
      <c r="L330" t="s">
        <v>26</v>
      </c>
      <c r="M330" t="s">
        <v>27</v>
      </c>
      <c r="N330" s="1">
        <v>18629</v>
      </c>
      <c r="O330">
        <v>0</v>
      </c>
      <c r="P330">
        <v>0</v>
      </c>
      <c r="Q330" t="s">
        <v>28</v>
      </c>
      <c r="R330" t="s">
        <v>71</v>
      </c>
      <c r="S330" t="s">
        <v>373</v>
      </c>
      <c r="T330" t="s">
        <v>374</v>
      </c>
    </row>
    <row r="331" spans="1:20" x14ac:dyDescent="0.25">
      <c r="A331" t="s">
        <v>1309</v>
      </c>
      <c r="B331" t="str">
        <f>"0932"</f>
        <v>0932</v>
      </c>
      <c r="C331" t="str">
        <f>"117320932"</f>
        <v>117320932</v>
      </c>
      <c r="D331" t="s">
        <v>1310</v>
      </c>
      <c r="E331" t="s">
        <v>1311</v>
      </c>
      <c r="G331" s="1">
        <v>13238</v>
      </c>
      <c r="H331" s="1">
        <v>41680</v>
      </c>
      <c r="I331" t="str">
        <f>"33"</f>
        <v>33</v>
      </c>
      <c r="J331" t="s">
        <v>45</v>
      </c>
      <c r="K331" t="s">
        <v>25</v>
      </c>
      <c r="L331" t="s">
        <v>26</v>
      </c>
      <c r="M331" t="s">
        <v>27</v>
      </c>
      <c r="N331" s="1">
        <v>18629</v>
      </c>
      <c r="O331">
        <v>0</v>
      </c>
      <c r="P331">
        <v>0</v>
      </c>
      <c r="Q331" t="s">
        <v>28</v>
      </c>
      <c r="R331" t="s">
        <v>71</v>
      </c>
      <c r="S331" t="s">
        <v>203</v>
      </c>
      <c r="T331" t="s">
        <v>204</v>
      </c>
    </row>
    <row r="332" spans="1:20" x14ac:dyDescent="0.25">
      <c r="A332" t="s">
        <v>1312</v>
      </c>
      <c r="B332" t="str">
        <f>"1725"</f>
        <v>1725</v>
      </c>
      <c r="C332" t="str">
        <f>"269541725"</f>
        <v>269541725</v>
      </c>
      <c r="D332" t="s">
        <v>1313</v>
      </c>
      <c r="E332" t="s">
        <v>1314</v>
      </c>
      <c r="G332" s="1">
        <v>20853</v>
      </c>
      <c r="H332" s="1">
        <v>41680</v>
      </c>
      <c r="I332" t="str">
        <f>"51"</f>
        <v>51</v>
      </c>
      <c r="J332" t="s">
        <v>471</v>
      </c>
      <c r="K332" t="s">
        <v>25</v>
      </c>
      <c r="L332" t="s">
        <v>26</v>
      </c>
      <c r="M332" t="s">
        <v>27</v>
      </c>
      <c r="N332" s="1">
        <v>18629</v>
      </c>
      <c r="O332">
        <v>0</v>
      </c>
      <c r="P332">
        <v>0</v>
      </c>
      <c r="Q332" t="s">
        <v>28</v>
      </c>
      <c r="R332" t="s">
        <v>258</v>
      </c>
      <c r="S332" t="s">
        <v>1315</v>
      </c>
      <c r="T332" t="s">
        <v>1316</v>
      </c>
    </row>
    <row r="333" spans="1:20" x14ac:dyDescent="0.25">
      <c r="A333" t="s">
        <v>1317</v>
      </c>
      <c r="B333" t="str">
        <f>"8994"</f>
        <v>8994</v>
      </c>
      <c r="C333" t="str">
        <f>"292828994"</f>
        <v>292828994</v>
      </c>
      <c r="D333" t="s">
        <v>104</v>
      </c>
      <c r="E333" t="s">
        <v>1318</v>
      </c>
      <c r="F333" t="s">
        <v>264</v>
      </c>
      <c r="G333" s="1">
        <v>25247</v>
      </c>
      <c r="H333" s="1">
        <v>41673</v>
      </c>
      <c r="I333" t="str">
        <f>"03"</f>
        <v>03</v>
      </c>
      <c r="J333" t="s">
        <v>70</v>
      </c>
      <c r="K333" t="s">
        <v>175</v>
      </c>
      <c r="L333" t="s">
        <v>37</v>
      </c>
      <c r="M333" t="s">
        <v>99</v>
      </c>
      <c r="N333" s="1">
        <v>41617</v>
      </c>
      <c r="O333">
        <v>16411.72</v>
      </c>
      <c r="P333">
        <v>4102.8</v>
      </c>
      <c r="Q333" t="s">
        <v>37</v>
      </c>
      <c r="R333" t="s">
        <v>38</v>
      </c>
      <c r="S333" t="s">
        <v>39</v>
      </c>
      <c r="T333" t="s">
        <v>40</v>
      </c>
    </row>
    <row r="334" spans="1:20" x14ac:dyDescent="0.25">
      <c r="A334" t="s">
        <v>1319</v>
      </c>
      <c r="B334" t="str">
        <f>"9566"</f>
        <v>9566</v>
      </c>
      <c r="C334" t="str">
        <f>"329849566"</f>
        <v>329849566</v>
      </c>
      <c r="D334" t="s">
        <v>1320</v>
      </c>
      <c r="E334" t="s">
        <v>1321</v>
      </c>
      <c r="F334" t="s">
        <v>239</v>
      </c>
      <c r="G334" s="1">
        <v>32049</v>
      </c>
      <c r="H334" s="1">
        <v>41673</v>
      </c>
      <c r="I334" t="str">
        <f>"08"</f>
        <v>08</v>
      </c>
      <c r="J334" t="s">
        <v>265</v>
      </c>
      <c r="K334" t="s">
        <v>98</v>
      </c>
      <c r="L334" t="s">
        <v>37</v>
      </c>
      <c r="M334" t="s">
        <v>117</v>
      </c>
      <c r="N334" s="1">
        <v>41617</v>
      </c>
      <c r="O334">
        <v>4951.96</v>
      </c>
      <c r="P334">
        <v>1237.8599999999999</v>
      </c>
      <c r="Q334" t="s">
        <v>28</v>
      </c>
      <c r="R334" t="s">
        <v>51</v>
      </c>
      <c r="S334" t="s">
        <v>650</v>
      </c>
      <c r="T334" t="s">
        <v>651</v>
      </c>
    </row>
    <row r="335" spans="1:20" x14ac:dyDescent="0.25">
      <c r="A335" t="s">
        <v>1322</v>
      </c>
      <c r="B335" t="str">
        <f>"6603"</f>
        <v>6603</v>
      </c>
      <c r="C335" t="str">
        <f>"298926603"</f>
        <v>298926603</v>
      </c>
      <c r="D335" t="s">
        <v>1323</v>
      </c>
      <c r="E335" t="s">
        <v>213</v>
      </c>
      <c r="F335" t="s">
        <v>466</v>
      </c>
      <c r="G335" s="1">
        <v>31821</v>
      </c>
      <c r="H335" s="1">
        <v>41673</v>
      </c>
      <c r="I335" t="str">
        <f>"41"</f>
        <v>41</v>
      </c>
      <c r="J335" t="s">
        <v>24</v>
      </c>
      <c r="K335" t="s">
        <v>25</v>
      </c>
      <c r="L335" t="s">
        <v>26</v>
      </c>
      <c r="M335" t="s">
        <v>27</v>
      </c>
      <c r="N335" s="1">
        <v>18629</v>
      </c>
      <c r="O335">
        <v>0</v>
      </c>
      <c r="P335">
        <v>0</v>
      </c>
      <c r="Q335" t="s">
        <v>28</v>
      </c>
      <c r="R335" t="s">
        <v>258</v>
      </c>
      <c r="S335" t="s">
        <v>615</v>
      </c>
      <c r="T335" t="s">
        <v>616</v>
      </c>
    </row>
    <row r="336" spans="1:20" x14ac:dyDescent="0.25">
      <c r="A336" t="s">
        <v>1324</v>
      </c>
      <c r="B336" t="str">
        <f>"7960"</f>
        <v>7960</v>
      </c>
      <c r="C336" t="str">
        <f>"281827960"</f>
        <v>281827960</v>
      </c>
      <c r="D336" t="s">
        <v>1325</v>
      </c>
      <c r="E336" t="s">
        <v>1326</v>
      </c>
      <c r="F336" t="s">
        <v>97</v>
      </c>
      <c r="G336" s="1">
        <v>30869</v>
      </c>
      <c r="H336" s="1">
        <v>41673</v>
      </c>
      <c r="I336" t="str">
        <f>"30"</f>
        <v>30</v>
      </c>
      <c r="J336" t="s">
        <v>50</v>
      </c>
      <c r="K336" t="s">
        <v>25</v>
      </c>
      <c r="L336" t="s">
        <v>26</v>
      </c>
      <c r="M336" t="s">
        <v>27</v>
      </c>
      <c r="N336" s="1">
        <v>18629</v>
      </c>
      <c r="O336">
        <v>0</v>
      </c>
      <c r="P336">
        <v>0</v>
      </c>
      <c r="Q336" t="s">
        <v>37</v>
      </c>
      <c r="R336" t="s">
        <v>29</v>
      </c>
      <c r="S336" t="s">
        <v>240</v>
      </c>
      <c r="T336" t="s">
        <v>241</v>
      </c>
    </row>
    <row r="337" spans="1:20" x14ac:dyDescent="0.25">
      <c r="A337" t="s">
        <v>1327</v>
      </c>
      <c r="B337" t="str">
        <f>"2206"</f>
        <v>2206</v>
      </c>
      <c r="C337" t="str">
        <f>"301062206"</f>
        <v>301062206</v>
      </c>
      <c r="D337" t="s">
        <v>1328</v>
      </c>
      <c r="E337" t="s">
        <v>1329</v>
      </c>
      <c r="G337" s="1">
        <v>27346</v>
      </c>
      <c r="H337" s="1">
        <v>41673</v>
      </c>
      <c r="I337" t="str">
        <f>"51"</f>
        <v>51</v>
      </c>
      <c r="J337" t="s">
        <v>471</v>
      </c>
      <c r="K337" t="s">
        <v>25</v>
      </c>
      <c r="L337" t="s">
        <v>26</v>
      </c>
      <c r="M337" t="s">
        <v>27</v>
      </c>
      <c r="N337" s="1">
        <v>18629</v>
      </c>
      <c r="O337">
        <v>0</v>
      </c>
      <c r="P337">
        <v>0</v>
      </c>
      <c r="Q337" t="s">
        <v>37</v>
      </c>
      <c r="R337" t="s">
        <v>29</v>
      </c>
      <c r="S337" t="s">
        <v>147</v>
      </c>
      <c r="T337" t="s">
        <v>148</v>
      </c>
    </row>
    <row r="338" spans="1:20" x14ac:dyDescent="0.25">
      <c r="A338" t="s">
        <v>1330</v>
      </c>
      <c r="B338" t="str">
        <f>"8650"</f>
        <v>8650</v>
      </c>
      <c r="C338" t="str">
        <f>"293908650"</f>
        <v>293908650</v>
      </c>
      <c r="D338" t="s">
        <v>1331</v>
      </c>
      <c r="E338" t="s">
        <v>184</v>
      </c>
      <c r="F338" t="s">
        <v>1287</v>
      </c>
      <c r="G338" s="1">
        <v>32809</v>
      </c>
      <c r="H338" s="1">
        <v>41673</v>
      </c>
      <c r="I338" t="str">
        <f>"41"</f>
        <v>41</v>
      </c>
      <c r="J338" t="s">
        <v>24</v>
      </c>
      <c r="K338" t="s">
        <v>25</v>
      </c>
      <c r="L338" t="s">
        <v>26</v>
      </c>
      <c r="M338" t="s">
        <v>27</v>
      </c>
      <c r="N338" s="1">
        <v>18629</v>
      </c>
      <c r="O338">
        <v>0</v>
      </c>
      <c r="P338">
        <v>0</v>
      </c>
      <c r="Q338" t="s">
        <v>37</v>
      </c>
      <c r="R338" t="s">
        <v>258</v>
      </c>
      <c r="S338" t="s">
        <v>615</v>
      </c>
      <c r="T338" t="s">
        <v>616</v>
      </c>
    </row>
    <row r="339" spans="1:20" x14ac:dyDescent="0.25">
      <c r="A339" t="s">
        <v>1332</v>
      </c>
      <c r="B339" t="str">
        <f>"7239"</f>
        <v>7239</v>
      </c>
      <c r="C339" t="str">
        <f>"291627239"</f>
        <v>291627239</v>
      </c>
      <c r="D339" t="s">
        <v>1333</v>
      </c>
      <c r="E339" t="s">
        <v>448</v>
      </c>
      <c r="F339" t="s">
        <v>264</v>
      </c>
      <c r="G339" s="1">
        <v>21140</v>
      </c>
      <c r="H339" s="1">
        <v>41673</v>
      </c>
      <c r="I339" t="str">
        <f>"33"</f>
        <v>33</v>
      </c>
      <c r="J339" t="s">
        <v>45</v>
      </c>
      <c r="K339" t="s">
        <v>25</v>
      </c>
      <c r="L339" t="s">
        <v>26</v>
      </c>
      <c r="M339" t="s">
        <v>27</v>
      </c>
      <c r="N339" s="1">
        <v>18629</v>
      </c>
      <c r="O339">
        <v>0</v>
      </c>
      <c r="P339">
        <v>0</v>
      </c>
      <c r="Q339" t="s">
        <v>37</v>
      </c>
      <c r="R339" t="s">
        <v>51</v>
      </c>
      <c r="S339" t="s">
        <v>795</v>
      </c>
      <c r="T339" t="s">
        <v>796</v>
      </c>
    </row>
    <row r="340" spans="1:20" x14ac:dyDescent="0.25">
      <c r="A340" t="s">
        <v>1334</v>
      </c>
      <c r="B340" t="str">
        <f>"9014"</f>
        <v>9014</v>
      </c>
      <c r="C340" t="str">
        <f>"295889014"</f>
        <v>295889014</v>
      </c>
      <c r="D340" t="s">
        <v>1335</v>
      </c>
      <c r="E340" t="s">
        <v>1336</v>
      </c>
      <c r="G340" s="1">
        <v>31928</v>
      </c>
      <c r="H340" s="1">
        <v>41673</v>
      </c>
      <c r="I340" t="str">
        <f>"12"</f>
        <v>12</v>
      </c>
      <c r="J340" t="s">
        <v>245</v>
      </c>
      <c r="K340" t="s">
        <v>98</v>
      </c>
      <c r="L340" t="s">
        <v>37</v>
      </c>
      <c r="M340" t="s">
        <v>117</v>
      </c>
      <c r="N340" s="1">
        <v>41673</v>
      </c>
      <c r="O340">
        <v>4951.96</v>
      </c>
      <c r="P340">
        <v>1237.8599999999999</v>
      </c>
      <c r="Q340" t="s">
        <v>37</v>
      </c>
      <c r="R340" t="s">
        <v>110</v>
      </c>
      <c r="S340" t="s">
        <v>482</v>
      </c>
      <c r="T340" t="s">
        <v>483</v>
      </c>
    </row>
    <row r="341" spans="1:20" x14ac:dyDescent="0.25">
      <c r="A341" t="s">
        <v>1337</v>
      </c>
      <c r="B341" t="str">
        <f>"0754"</f>
        <v>0754</v>
      </c>
      <c r="C341" t="str">
        <f>"287880754"</f>
        <v>287880754</v>
      </c>
      <c r="D341" t="s">
        <v>1338</v>
      </c>
      <c r="E341" t="s">
        <v>1339</v>
      </c>
      <c r="F341" t="s">
        <v>44</v>
      </c>
      <c r="G341" s="1">
        <v>30609</v>
      </c>
      <c r="H341" s="1">
        <v>41673</v>
      </c>
      <c r="I341" t="str">
        <f>"12"</f>
        <v>12</v>
      </c>
      <c r="J341" t="s">
        <v>245</v>
      </c>
      <c r="K341" t="s">
        <v>98</v>
      </c>
      <c r="L341" t="s">
        <v>37</v>
      </c>
      <c r="M341" t="s">
        <v>257</v>
      </c>
      <c r="N341" s="1">
        <v>41673</v>
      </c>
      <c r="O341">
        <v>10753.08</v>
      </c>
      <c r="P341">
        <v>2688.4</v>
      </c>
      <c r="Q341" t="s">
        <v>37</v>
      </c>
      <c r="R341" t="s">
        <v>110</v>
      </c>
      <c r="S341" t="s">
        <v>482</v>
      </c>
      <c r="T341" t="s">
        <v>483</v>
      </c>
    </row>
    <row r="342" spans="1:20" x14ac:dyDescent="0.25">
      <c r="A342" t="s">
        <v>1340</v>
      </c>
      <c r="B342" t="str">
        <f>"2905"</f>
        <v>2905</v>
      </c>
      <c r="C342" t="str">
        <f>"293742905"</f>
        <v>293742905</v>
      </c>
      <c r="D342" t="s">
        <v>1341</v>
      </c>
      <c r="E342" t="s">
        <v>1342</v>
      </c>
      <c r="F342" t="s">
        <v>256</v>
      </c>
      <c r="G342" s="1">
        <v>29012</v>
      </c>
      <c r="H342" s="1">
        <v>41673</v>
      </c>
      <c r="I342" t="str">
        <f>"03"</f>
        <v>03</v>
      </c>
      <c r="J342" t="s">
        <v>70</v>
      </c>
      <c r="K342" t="s">
        <v>98</v>
      </c>
      <c r="L342" t="s">
        <v>37</v>
      </c>
      <c r="M342" t="s">
        <v>99</v>
      </c>
      <c r="N342" s="1">
        <v>41715</v>
      </c>
      <c r="O342">
        <v>14801.8</v>
      </c>
      <c r="P342">
        <v>3700.32</v>
      </c>
      <c r="Q342" t="s">
        <v>37</v>
      </c>
      <c r="R342" t="s">
        <v>258</v>
      </c>
      <c r="S342" t="s">
        <v>259</v>
      </c>
      <c r="T342" t="s">
        <v>260</v>
      </c>
    </row>
    <row r="343" spans="1:20" x14ac:dyDescent="0.25">
      <c r="A343" t="s">
        <v>1343</v>
      </c>
      <c r="B343" t="str">
        <f>"9113"</f>
        <v>9113</v>
      </c>
      <c r="C343" t="str">
        <f>"063849113"</f>
        <v>063849113</v>
      </c>
      <c r="D343" t="s">
        <v>1344</v>
      </c>
      <c r="E343" t="s">
        <v>1345</v>
      </c>
      <c r="G343" s="1">
        <v>32013</v>
      </c>
      <c r="H343" s="1">
        <v>41673</v>
      </c>
      <c r="I343" t="str">
        <f>"12"</f>
        <v>12</v>
      </c>
      <c r="J343" t="s">
        <v>245</v>
      </c>
      <c r="K343" t="s">
        <v>98</v>
      </c>
      <c r="L343" t="s">
        <v>37</v>
      </c>
      <c r="M343" t="s">
        <v>117</v>
      </c>
      <c r="N343" s="1">
        <v>41673</v>
      </c>
      <c r="O343">
        <v>4951.96</v>
      </c>
      <c r="P343">
        <v>1237.8599999999999</v>
      </c>
      <c r="Q343" t="s">
        <v>37</v>
      </c>
      <c r="R343" t="s">
        <v>110</v>
      </c>
      <c r="S343" t="s">
        <v>1346</v>
      </c>
      <c r="T343" t="s">
        <v>1347</v>
      </c>
    </row>
    <row r="344" spans="1:20" x14ac:dyDescent="0.25">
      <c r="A344" t="s">
        <v>1348</v>
      </c>
      <c r="B344" t="str">
        <f>"4162"</f>
        <v>4162</v>
      </c>
      <c r="C344" t="str">
        <f>"274584162"</f>
        <v>274584162</v>
      </c>
      <c r="D344" t="s">
        <v>1349</v>
      </c>
      <c r="E344" t="s">
        <v>1350</v>
      </c>
      <c r="F344" t="s">
        <v>93</v>
      </c>
      <c r="G344" s="1">
        <v>22711</v>
      </c>
      <c r="H344" s="1">
        <v>41673</v>
      </c>
      <c r="I344" t="str">
        <f>"33"</f>
        <v>33</v>
      </c>
      <c r="J344" t="s">
        <v>45</v>
      </c>
      <c r="K344" t="s">
        <v>25</v>
      </c>
      <c r="L344" t="s">
        <v>26</v>
      </c>
      <c r="M344" t="s">
        <v>27</v>
      </c>
      <c r="N344" s="1">
        <v>18629</v>
      </c>
      <c r="O344">
        <v>0</v>
      </c>
      <c r="P344">
        <v>0</v>
      </c>
      <c r="Q344" t="s">
        <v>37</v>
      </c>
      <c r="R344" t="s">
        <v>51</v>
      </c>
      <c r="S344" t="s">
        <v>795</v>
      </c>
      <c r="T344" t="s">
        <v>796</v>
      </c>
    </row>
    <row r="345" spans="1:20" x14ac:dyDescent="0.25">
      <c r="A345" t="s">
        <v>1351</v>
      </c>
      <c r="B345" t="str">
        <f>"9887"</f>
        <v>9887</v>
      </c>
      <c r="C345" t="str">
        <f>"298729887"</f>
        <v>298729887</v>
      </c>
      <c r="D345" t="s">
        <v>1352</v>
      </c>
      <c r="E345" t="s">
        <v>1353</v>
      </c>
      <c r="F345" t="s">
        <v>219</v>
      </c>
      <c r="G345" s="1">
        <v>23692</v>
      </c>
      <c r="H345" s="1">
        <v>41673</v>
      </c>
      <c r="I345" t="str">
        <f>"33"</f>
        <v>33</v>
      </c>
      <c r="J345" t="s">
        <v>45</v>
      </c>
      <c r="K345" t="s">
        <v>25</v>
      </c>
      <c r="L345" t="s">
        <v>26</v>
      </c>
      <c r="M345" t="s">
        <v>27</v>
      </c>
      <c r="N345" s="1">
        <v>18629</v>
      </c>
      <c r="O345">
        <v>0</v>
      </c>
      <c r="P345">
        <v>0</v>
      </c>
      <c r="Q345" t="s">
        <v>37</v>
      </c>
      <c r="R345" t="s">
        <v>51</v>
      </c>
      <c r="S345" t="s">
        <v>795</v>
      </c>
      <c r="T345" t="s">
        <v>796</v>
      </c>
    </row>
    <row r="346" spans="1:20" x14ac:dyDescent="0.25">
      <c r="A346" t="s">
        <v>1354</v>
      </c>
      <c r="B346" t="str">
        <f>"9191"</f>
        <v>9191</v>
      </c>
      <c r="C346" t="str">
        <f>"272669191"</f>
        <v>272669191</v>
      </c>
      <c r="D346" t="s">
        <v>1355</v>
      </c>
      <c r="E346" t="s">
        <v>1353</v>
      </c>
      <c r="G346" s="1">
        <v>21918</v>
      </c>
      <c r="H346" s="1">
        <v>41673</v>
      </c>
      <c r="I346" t="str">
        <f>"41"</f>
        <v>41</v>
      </c>
      <c r="J346" t="s">
        <v>24</v>
      </c>
      <c r="K346" t="s">
        <v>25</v>
      </c>
      <c r="L346" t="s">
        <v>26</v>
      </c>
      <c r="M346" t="s">
        <v>27</v>
      </c>
      <c r="N346" s="1">
        <v>18629</v>
      </c>
      <c r="O346">
        <v>0</v>
      </c>
      <c r="P346">
        <v>0</v>
      </c>
      <c r="Q346" t="s">
        <v>37</v>
      </c>
      <c r="R346" t="s">
        <v>258</v>
      </c>
      <c r="S346" t="s">
        <v>527</v>
      </c>
      <c r="T346" t="s">
        <v>528</v>
      </c>
    </row>
    <row r="347" spans="1:20" x14ac:dyDescent="0.25">
      <c r="A347" t="s">
        <v>1356</v>
      </c>
      <c r="B347" t="str">
        <f>"9910"</f>
        <v>9910</v>
      </c>
      <c r="C347" t="str">
        <f>"287789910"</f>
        <v>287789910</v>
      </c>
      <c r="D347" t="s">
        <v>1357</v>
      </c>
      <c r="E347" t="s">
        <v>1358</v>
      </c>
      <c r="F347" t="s">
        <v>414</v>
      </c>
      <c r="G347" s="1">
        <v>24264</v>
      </c>
      <c r="H347" s="1">
        <v>41673</v>
      </c>
      <c r="I347" t="str">
        <f>"41"</f>
        <v>41</v>
      </c>
      <c r="J347" t="s">
        <v>24</v>
      </c>
      <c r="K347" t="s">
        <v>25</v>
      </c>
      <c r="L347" t="s">
        <v>26</v>
      </c>
      <c r="M347" t="s">
        <v>27</v>
      </c>
      <c r="N347" s="1">
        <v>18629</v>
      </c>
      <c r="O347">
        <v>0</v>
      </c>
      <c r="P347">
        <v>0</v>
      </c>
      <c r="Q347" t="s">
        <v>28</v>
      </c>
      <c r="R347" t="s">
        <v>51</v>
      </c>
      <c r="S347" s="2" t="s">
        <v>1359</v>
      </c>
      <c r="T347" t="s">
        <v>1360</v>
      </c>
    </row>
    <row r="348" spans="1:20" x14ac:dyDescent="0.25">
      <c r="A348" t="s">
        <v>1361</v>
      </c>
      <c r="B348" t="str">
        <f>"2280"</f>
        <v>2280</v>
      </c>
      <c r="C348" t="str">
        <f>"301702280"</f>
        <v>301702280</v>
      </c>
      <c r="D348" t="s">
        <v>1362</v>
      </c>
      <c r="E348" t="s">
        <v>1363</v>
      </c>
      <c r="F348" t="s">
        <v>146</v>
      </c>
      <c r="G348" s="1">
        <v>26363</v>
      </c>
      <c r="H348" s="1">
        <v>41673</v>
      </c>
      <c r="I348" t="str">
        <f>"41"</f>
        <v>41</v>
      </c>
      <c r="J348" t="s">
        <v>24</v>
      </c>
      <c r="K348" t="s">
        <v>25</v>
      </c>
      <c r="L348" t="s">
        <v>26</v>
      </c>
      <c r="M348" t="s">
        <v>27</v>
      </c>
      <c r="N348" s="1">
        <v>18629</v>
      </c>
      <c r="O348">
        <v>0</v>
      </c>
      <c r="P348">
        <v>0</v>
      </c>
      <c r="Q348" t="s">
        <v>37</v>
      </c>
      <c r="R348" t="s">
        <v>258</v>
      </c>
      <c r="S348" t="s">
        <v>527</v>
      </c>
      <c r="T348" t="s">
        <v>528</v>
      </c>
    </row>
    <row r="349" spans="1:20" x14ac:dyDescent="0.25">
      <c r="A349" t="s">
        <v>1364</v>
      </c>
      <c r="B349" t="str">
        <f>"2622"</f>
        <v>2622</v>
      </c>
      <c r="C349" t="str">
        <f>"421232622"</f>
        <v>421232622</v>
      </c>
      <c r="D349" t="s">
        <v>1365</v>
      </c>
      <c r="E349" t="s">
        <v>173</v>
      </c>
      <c r="F349" t="s">
        <v>1366</v>
      </c>
      <c r="G349" s="1">
        <v>31189</v>
      </c>
      <c r="H349" s="1">
        <v>41673</v>
      </c>
      <c r="I349" t="str">
        <f>"01"</f>
        <v>01</v>
      </c>
      <c r="J349" t="s">
        <v>116</v>
      </c>
      <c r="K349" t="s">
        <v>98</v>
      </c>
      <c r="L349" t="s">
        <v>37</v>
      </c>
      <c r="M349" t="s">
        <v>99</v>
      </c>
      <c r="N349" s="1">
        <v>41673</v>
      </c>
      <c r="O349">
        <v>14801.8</v>
      </c>
      <c r="P349">
        <v>3700.32</v>
      </c>
      <c r="Q349" t="s">
        <v>37</v>
      </c>
      <c r="R349" t="s">
        <v>71</v>
      </c>
      <c r="S349" t="s">
        <v>660</v>
      </c>
      <c r="T349" t="s">
        <v>661</v>
      </c>
    </row>
    <row r="350" spans="1:20" x14ac:dyDescent="0.25">
      <c r="A350" t="s">
        <v>1367</v>
      </c>
      <c r="B350" t="str">
        <f>"8718"</f>
        <v>8718</v>
      </c>
      <c r="C350" t="str">
        <f>"278668718"</f>
        <v>278668718</v>
      </c>
      <c r="D350" t="s">
        <v>1368</v>
      </c>
      <c r="E350" t="s">
        <v>756</v>
      </c>
      <c r="F350" t="s">
        <v>264</v>
      </c>
      <c r="G350" s="1">
        <v>22499</v>
      </c>
      <c r="H350" s="1">
        <v>41673</v>
      </c>
      <c r="I350" t="str">
        <f>"05"</f>
        <v>05</v>
      </c>
      <c r="J350" t="s">
        <v>58</v>
      </c>
      <c r="K350" t="s">
        <v>98</v>
      </c>
      <c r="L350" t="s">
        <v>37</v>
      </c>
      <c r="M350" t="s">
        <v>117</v>
      </c>
      <c r="N350" s="1">
        <v>41617</v>
      </c>
      <c r="O350">
        <v>4951.96</v>
      </c>
      <c r="P350">
        <v>1237.8599999999999</v>
      </c>
      <c r="Q350" t="s">
        <v>37</v>
      </c>
      <c r="R350" t="s">
        <v>71</v>
      </c>
      <c r="S350" t="s">
        <v>209</v>
      </c>
      <c r="T350" t="s">
        <v>210</v>
      </c>
    </row>
    <row r="351" spans="1:20" x14ac:dyDescent="0.25">
      <c r="A351" t="s">
        <v>1369</v>
      </c>
      <c r="B351" t="str">
        <f>"3665"</f>
        <v>3665</v>
      </c>
      <c r="C351" t="str">
        <f>"297503665"</f>
        <v>297503665</v>
      </c>
      <c r="D351" t="s">
        <v>860</v>
      </c>
      <c r="E351" t="s">
        <v>583</v>
      </c>
      <c r="F351" t="s">
        <v>256</v>
      </c>
      <c r="G351" s="1">
        <v>20661</v>
      </c>
      <c r="H351" s="1">
        <v>41673</v>
      </c>
      <c r="I351" t="str">
        <f>"52"</f>
        <v>52</v>
      </c>
      <c r="J351" t="s">
        <v>330</v>
      </c>
      <c r="K351" t="s">
        <v>25</v>
      </c>
      <c r="L351" t="s">
        <v>26</v>
      </c>
      <c r="M351" t="s">
        <v>27</v>
      </c>
      <c r="N351" s="1">
        <v>18629</v>
      </c>
      <c r="O351">
        <v>0</v>
      </c>
      <c r="P351">
        <v>0</v>
      </c>
      <c r="Q351" t="s">
        <v>37</v>
      </c>
      <c r="R351" t="s">
        <v>71</v>
      </c>
      <c r="S351" s="2" t="s">
        <v>1148</v>
      </c>
      <c r="T351" t="s">
        <v>1149</v>
      </c>
    </row>
    <row r="352" spans="1:20" x14ac:dyDescent="0.25">
      <c r="A352" t="s">
        <v>1370</v>
      </c>
      <c r="B352" t="str">
        <f>"5206"</f>
        <v>5206</v>
      </c>
      <c r="C352" t="str">
        <f>"301365206"</f>
        <v>301365206</v>
      </c>
      <c r="D352" t="s">
        <v>1371</v>
      </c>
      <c r="E352" t="s">
        <v>1372</v>
      </c>
      <c r="F352" t="s">
        <v>381</v>
      </c>
      <c r="G352" s="1">
        <v>15441</v>
      </c>
      <c r="H352" s="1">
        <v>41673</v>
      </c>
      <c r="I352" t="str">
        <f>"52"</f>
        <v>52</v>
      </c>
      <c r="J352" t="s">
        <v>330</v>
      </c>
      <c r="K352" t="s">
        <v>25</v>
      </c>
      <c r="L352" t="s">
        <v>26</v>
      </c>
      <c r="M352" t="s">
        <v>27</v>
      </c>
      <c r="N352" s="1">
        <v>18629</v>
      </c>
      <c r="O352">
        <v>0</v>
      </c>
      <c r="P352">
        <v>0</v>
      </c>
      <c r="Q352" t="s">
        <v>37</v>
      </c>
      <c r="R352" t="s">
        <v>51</v>
      </c>
      <c r="S352" s="2" t="s">
        <v>1148</v>
      </c>
      <c r="T352" t="s">
        <v>1149</v>
      </c>
    </row>
    <row r="353" spans="1:20" x14ac:dyDescent="0.25">
      <c r="A353" t="s">
        <v>1373</v>
      </c>
      <c r="B353" t="str">
        <f>"6992"</f>
        <v>6992</v>
      </c>
      <c r="C353" t="str">
        <f>"286586992"</f>
        <v>286586992</v>
      </c>
      <c r="D353" t="s">
        <v>1374</v>
      </c>
      <c r="E353" t="s">
        <v>969</v>
      </c>
      <c r="F353" t="s">
        <v>629</v>
      </c>
      <c r="G353" s="1">
        <v>21308</v>
      </c>
      <c r="H353" s="1">
        <v>41673</v>
      </c>
      <c r="I353" t="str">
        <f>"41"</f>
        <v>41</v>
      </c>
      <c r="J353" t="s">
        <v>24</v>
      </c>
      <c r="K353" t="s">
        <v>25</v>
      </c>
      <c r="L353" t="s">
        <v>26</v>
      </c>
      <c r="M353" t="s">
        <v>27</v>
      </c>
      <c r="N353" s="1">
        <v>18629</v>
      </c>
      <c r="O353">
        <v>0</v>
      </c>
      <c r="P353">
        <v>0</v>
      </c>
      <c r="Q353" t="s">
        <v>37</v>
      </c>
      <c r="R353" t="s">
        <v>51</v>
      </c>
      <c r="S353" t="s">
        <v>527</v>
      </c>
      <c r="T353" t="s">
        <v>528</v>
      </c>
    </row>
    <row r="354" spans="1:20" x14ac:dyDescent="0.25">
      <c r="A354" t="s">
        <v>1375</v>
      </c>
      <c r="B354" t="str">
        <f>"5252"</f>
        <v>5252</v>
      </c>
      <c r="C354" t="str">
        <f>"278505252"</f>
        <v>278505252</v>
      </c>
      <c r="D354" t="s">
        <v>1376</v>
      </c>
      <c r="E354" t="s">
        <v>1377</v>
      </c>
      <c r="F354" t="s">
        <v>1074</v>
      </c>
      <c r="G354" s="1">
        <v>21552</v>
      </c>
      <c r="H354" s="1">
        <v>41673</v>
      </c>
      <c r="I354" t="str">
        <f>"05"</f>
        <v>05</v>
      </c>
      <c r="J354" t="s">
        <v>58</v>
      </c>
      <c r="K354" t="s">
        <v>98</v>
      </c>
      <c r="L354" t="s">
        <v>37</v>
      </c>
      <c r="M354" t="s">
        <v>117</v>
      </c>
      <c r="N354" s="1">
        <v>41617</v>
      </c>
      <c r="O354">
        <v>4951.96</v>
      </c>
      <c r="P354">
        <v>1237.8599999999999</v>
      </c>
      <c r="Q354" t="s">
        <v>37</v>
      </c>
      <c r="R354" t="s">
        <v>38</v>
      </c>
      <c r="S354" t="s">
        <v>566</v>
      </c>
      <c r="T354" t="s">
        <v>567</v>
      </c>
    </row>
    <row r="355" spans="1:20" x14ac:dyDescent="0.25">
      <c r="A355" t="s">
        <v>1378</v>
      </c>
      <c r="B355" t="str">
        <f>"1638"</f>
        <v>1638</v>
      </c>
      <c r="C355" t="str">
        <f>"200441638"</f>
        <v>200441638</v>
      </c>
      <c r="D355" t="s">
        <v>1379</v>
      </c>
      <c r="E355" t="s">
        <v>1380</v>
      </c>
      <c r="F355" t="s">
        <v>1381</v>
      </c>
      <c r="G355" s="1">
        <v>19451</v>
      </c>
      <c r="H355" s="1">
        <v>41668</v>
      </c>
      <c r="I355" t="str">
        <f>"52"</f>
        <v>52</v>
      </c>
      <c r="J355" t="s">
        <v>330</v>
      </c>
      <c r="K355" t="s">
        <v>25</v>
      </c>
      <c r="L355" t="s">
        <v>26</v>
      </c>
      <c r="M355" t="s">
        <v>27</v>
      </c>
      <c r="N355" s="1">
        <v>18629</v>
      </c>
      <c r="O355">
        <v>0</v>
      </c>
      <c r="P355">
        <v>0</v>
      </c>
      <c r="Q355" t="s">
        <v>28</v>
      </c>
      <c r="R355" t="s">
        <v>599</v>
      </c>
      <c r="S355" s="2" t="s">
        <v>362</v>
      </c>
      <c r="T355" t="s">
        <v>363</v>
      </c>
    </row>
    <row r="356" spans="1:20" x14ac:dyDescent="0.25">
      <c r="A356" t="s">
        <v>1382</v>
      </c>
      <c r="B356" t="str">
        <f>"5622"</f>
        <v>5622</v>
      </c>
      <c r="C356" t="str">
        <f>"276685622"</f>
        <v>276685622</v>
      </c>
      <c r="D356" t="s">
        <v>1383</v>
      </c>
      <c r="E356" t="s">
        <v>430</v>
      </c>
      <c r="F356" t="s">
        <v>988</v>
      </c>
      <c r="G356" s="1">
        <v>22093</v>
      </c>
      <c r="H356" s="1">
        <v>41666</v>
      </c>
      <c r="I356" t="str">
        <f>"41"</f>
        <v>41</v>
      </c>
      <c r="J356" t="s">
        <v>24</v>
      </c>
      <c r="K356" t="s">
        <v>25</v>
      </c>
      <c r="L356" t="s">
        <v>26</v>
      </c>
      <c r="M356" t="s">
        <v>27</v>
      </c>
      <c r="N356" s="1">
        <v>18629</v>
      </c>
      <c r="O356">
        <v>0</v>
      </c>
      <c r="P356">
        <v>0</v>
      </c>
      <c r="Q356" t="s">
        <v>28</v>
      </c>
      <c r="R356" t="s">
        <v>29</v>
      </c>
      <c r="S356" t="s">
        <v>215</v>
      </c>
      <c r="T356" t="s">
        <v>216</v>
      </c>
    </row>
    <row r="357" spans="1:20" x14ac:dyDescent="0.25">
      <c r="A357" t="s">
        <v>1384</v>
      </c>
      <c r="B357" t="str">
        <f>"1380"</f>
        <v>1380</v>
      </c>
      <c r="C357" t="str">
        <f>"283881380"</f>
        <v>283881380</v>
      </c>
      <c r="D357" t="s">
        <v>1385</v>
      </c>
      <c r="E357" t="s">
        <v>1386</v>
      </c>
      <c r="F357" t="s">
        <v>629</v>
      </c>
      <c r="G357" s="1">
        <v>28953</v>
      </c>
      <c r="H357" s="1">
        <v>41666</v>
      </c>
      <c r="I357" t="str">
        <f>"51"</f>
        <v>51</v>
      </c>
      <c r="J357" t="s">
        <v>471</v>
      </c>
      <c r="K357" t="s">
        <v>25</v>
      </c>
      <c r="L357" t="s">
        <v>26</v>
      </c>
      <c r="M357" t="s">
        <v>27</v>
      </c>
      <c r="N357" s="1">
        <v>18629</v>
      </c>
      <c r="O357">
        <v>0</v>
      </c>
      <c r="P357">
        <v>0</v>
      </c>
      <c r="Q357" t="s">
        <v>37</v>
      </c>
      <c r="R357" t="s">
        <v>100</v>
      </c>
      <c r="S357" t="s">
        <v>1387</v>
      </c>
      <c r="T357" t="s">
        <v>1388</v>
      </c>
    </row>
    <row r="358" spans="1:20" x14ac:dyDescent="0.25">
      <c r="A358" t="s">
        <v>1389</v>
      </c>
      <c r="B358" t="str">
        <f>"1770"</f>
        <v>1770</v>
      </c>
      <c r="C358" t="str">
        <f>"669141770"</f>
        <v>669141770</v>
      </c>
      <c r="D358" t="s">
        <v>1390</v>
      </c>
      <c r="E358" t="s">
        <v>1391</v>
      </c>
      <c r="F358" t="s">
        <v>37</v>
      </c>
      <c r="G358" s="1">
        <v>24375</v>
      </c>
      <c r="H358" s="1">
        <v>41666</v>
      </c>
      <c r="I358" t="str">
        <f>"51"</f>
        <v>51</v>
      </c>
      <c r="J358" t="s">
        <v>471</v>
      </c>
      <c r="K358" t="s">
        <v>25</v>
      </c>
      <c r="L358" t="s">
        <v>26</v>
      </c>
      <c r="M358" t="s">
        <v>27</v>
      </c>
      <c r="N358" s="1">
        <v>18629</v>
      </c>
      <c r="O358">
        <v>0</v>
      </c>
      <c r="P358">
        <v>0</v>
      </c>
      <c r="Q358" t="s">
        <v>28</v>
      </c>
      <c r="R358" t="s">
        <v>100</v>
      </c>
      <c r="S358" t="s">
        <v>1392</v>
      </c>
      <c r="T358" t="s">
        <v>1393</v>
      </c>
    </row>
    <row r="359" spans="1:20" x14ac:dyDescent="0.25">
      <c r="A359" t="s">
        <v>1394</v>
      </c>
      <c r="B359" t="str">
        <f>"2121"</f>
        <v>2121</v>
      </c>
      <c r="C359" t="str">
        <f>"368082121"</f>
        <v>368082121</v>
      </c>
      <c r="D359" t="s">
        <v>1381</v>
      </c>
      <c r="E359" t="s">
        <v>1395</v>
      </c>
      <c r="G359" s="1">
        <v>31991</v>
      </c>
      <c r="H359" s="1">
        <v>41666</v>
      </c>
      <c r="I359" t="str">
        <f>"51"</f>
        <v>51</v>
      </c>
      <c r="J359" t="s">
        <v>471</v>
      </c>
      <c r="K359" t="s">
        <v>25</v>
      </c>
      <c r="L359" t="s">
        <v>26</v>
      </c>
      <c r="M359" t="s">
        <v>27</v>
      </c>
      <c r="N359" s="1">
        <v>18629</v>
      </c>
      <c r="O359">
        <v>0</v>
      </c>
      <c r="P359">
        <v>0</v>
      </c>
      <c r="Q359" t="s">
        <v>37</v>
      </c>
      <c r="R359" t="s">
        <v>100</v>
      </c>
      <c r="S359" t="s">
        <v>1392</v>
      </c>
      <c r="T359" t="s">
        <v>1393</v>
      </c>
    </row>
    <row r="360" spans="1:20" x14ac:dyDescent="0.25">
      <c r="A360" t="s">
        <v>1396</v>
      </c>
      <c r="B360" t="str">
        <f>"8297"</f>
        <v>8297</v>
      </c>
      <c r="C360" t="str">
        <f>"279628297"</f>
        <v>279628297</v>
      </c>
      <c r="D360" t="s">
        <v>463</v>
      </c>
      <c r="E360" t="s">
        <v>812</v>
      </c>
      <c r="F360" t="s">
        <v>28</v>
      </c>
      <c r="G360" s="1">
        <v>22082</v>
      </c>
      <c r="H360" s="1">
        <v>41666</v>
      </c>
      <c r="I360" t="str">
        <f>"51"</f>
        <v>51</v>
      </c>
      <c r="J360" t="s">
        <v>471</v>
      </c>
      <c r="K360" t="s">
        <v>25</v>
      </c>
      <c r="L360" t="s">
        <v>26</v>
      </c>
      <c r="M360" t="s">
        <v>27</v>
      </c>
      <c r="N360" s="1">
        <v>18629</v>
      </c>
      <c r="O360">
        <v>0</v>
      </c>
      <c r="P360">
        <v>0</v>
      </c>
      <c r="Q360" t="s">
        <v>37</v>
      </c>
      <c r="R360" t="s">
        <v>29</v>
      </c>
      <c r="S360" t="s">
        <v>717</v>
      </c>
      <c r="T360" t="s">
        <v>718</v>
      </c>
    </row>
    <row r="361" spans="1:20" x14ac:dyDescent="0.25">
      <c r="A361" t="s">
        <v>1397</v>
      </c>
      <c r="B361" t="str">
        <f>"4144"</f>
        <v>4144</v>
      </c>
      <c r="C361" t="str">
        <f>"196444144"</f>
        <v>196444144</v>
      </c>
      <c r="D361" t="s">
        <v>1398</v>
      </c>
      <c r="E361" t="s">
        <v>1399</v>
      </c>
      <c r="F361" t="s">
        <v>174</v>
      </c>
      <c r="G361" s="1">
        <v>19295</v>
      </c>
      <c r="H361" s="1">
        <v>41666</v>
      </c>
      <c r="I361" t="str">
        <f>"51"</f>
        <v>51</v>
      </c>
      <c r="J361" t="s">
        <v>471</v>
      </c>
      <c r="K361" t="s">
        <v>25</v>
      </c>
      <c r="L361" t="s">
        <v>26</v>
      </c>
      <c r="M361" t="s">
        <v>27</v>
      </c>
      <c r="N361" s="1">
        <v>18629</v>
      </c>
      <c r="O361">
        <v>0</v>
      </c>
      <c r="P361">
        <v>0</v>
      </c>
      <c r="Q361" t="s">
        <v>28</v>
      </c>
      <c r="R361" t="s">
        <v>100</v>
      </c>
      <c r="S361" t="s">
        <v>1392</v>
      </c>
      <c r="T361" t="s">
        <v>1393</v>
      </c>
    </row>
    <row r="362" spans="1:20" x14ac:dyDescent="0.25">
      <c r="A362" t="s">
        <v>1400</v>
      </c>
      <c r="B362" t="str">
        <f>"4877"</f>
        <v>4877</v>
      </c>
      <c r="C362" t="str">
        <f>"196564877"</f>
        <v>196564877</v>
      </c>
      <c r="D362" t="s">
        <v>1401</v>
      </c>
      <c r="E362" t="s">
        <v>1402</v>
      </c>
      <c r="F362" t="s">
        <v>97</v>
      </c>
      <c r="G362" s="1">
        <v>24387</v>
      </c>
      <c r="H362" s="1">
        <v>41666</v>
      </c>
      <c r="I362" t="str">
        <f>"52"</f>
        <v>52</v>
      </c>
      <c r="J362" t="s">
        <v>330</v>
      </c>
      <c r="K362" t="s">
        <v>25</v>
      </c>
      <c r="L362" t="s">
        <v>26</v>
      </c>
      <c r="M362" t="s">
        <v>27</v>
      </c>
      <c r="N362" s="1">
        <v>18629</v>
      </c>
      <c r="O362">
        <v>0</v>
      </c>
      <c r="P362">
        <v>0</v>
      </c>
      <c r="Q362" t="s">
        <v>37</v>
      </c>
      <c r="R362" t="s">
        <v>258</v>
      </c>
      <c r="S362" t="s">
        <v>1403</v>
      </c>
      <c r="T362" t="s">
        <v>1404</v>
      </c>
    </row>
    <row r="363" spans="1:20" x14ac:dyDescent="0.25">
      <c r="A363" t="s">
        <v>1405</v>
      </c>
      <c r="B363" t="str">
        <f>"0132"</f>
        <v>0132</v>
      </c>
      <c r="C363" t="str">
        <f>"115740132"</f>
        <v>115740132</v>
      </c>
      <c r="D363" t="s">
        <v>1406</v>
      </c>
      <c r="E363" t="s">
        <v>1407</v>
      </c>
      <c r="G363" s="1">
        <v>32150</v>
      </c>
      <c r="H363" s="1">
        <v>41666</v>
      </c>
      <c r="I363" t="str">
        <f>"41"</f>
        <v>41</v>
      </c>
      <c r="J363" t="s">
        <v>24</v>
      </c>
      <c r="K363" t="s">
        <v>25</v>
      </c>
      <c r="L363" t="s">
        <v>26</v>
      </c>
      <c r="M363" t="s">
        <v>27</v>
      </c>
      <c r="N363" s="1">
        <v>18629</v>
      </c>
      <c r="O363">
        <v>0</v>
      </c>
      <c r="P363">
        <v>0</v>
      </c>
      <c r="Q363" t="s">
        <v>37</v>
      </c>
      <c r="R363" t="s">
        <v>258</v>
      </c>
      <c r="S363" t="s">
        <v>615</v>
      </c>
      <c r="T363" t="s">
        <v>616</v>
      </c>
    </row>
    <row r="364" spans="1:20" x14ac:dyDescent="0.25">
      <c r="A364" t="s">
        <v>1408</v>
      </c>
      <c r="B364" t="str">
        <f>"2806"</f>
        <v>2806</v>
      </c>
      <c r="C364" t="str">
        <f>"286482806"</f>
        <v>286482806</v>
      </c>
      <c r="D364" t="s">
        <v>1409</v>
      </c>
      <c r="E364" t="s">
        <v>704</v>
      </c>
      <c r="F364" t="s">
        <v>97</v>
      </c>
      <c r="G364" s="1">
        <v>23602</v>
      </c>
      <c r="H364" s="1">
        <v>41666</v>
      </c>
      <c r="I364" t="str">
        <f>"52"</f>
        <v>52</v>
      </c>
      <c r="J364" t="s">
        <v>330</v>
      </c>
      <c r="K364" t="s">
        <v>25</v>
      </c>
      <c r="L364" t="s">
        <v>26</v>
      </c>
      <c r="M364" t="s">
        <v>27</v>
      </c>
      <c r="N364" s="1">
        <v>18629</v>
      </c>
      <c r="O364">
        <v>0</v>
      </c>
      <c r="P364">
        <v>0</v>
      </c>
      <c r="Q364" t="s">
        <v>28</v>
      </c>
      <c r="R364" t="s">
        <v>258</v>
      </c>
      <c r="S364" t="s">
        <v>678</v>
      </c>
      <c r="T364" t="s">
        <v>679</v>
      </c>
    </row>
    <row r="365" spans="1:20" x14ac:dyDescent="0.25">
      <c r="A365" t="s">
        <v>1410</v>
      </c>
      <c r="B365" t="str">
        <f>"6638"</f>
        <v>6638</v>
      </c>
      <c r="C365" t="str">
        <f>"282946638"</f>
        <v>282946638</v>
      </c>
      <c r="D365" t="s">
        <v>1411</v>
      </c>
      <c r="E365" t="s">
        <v>704</v>
      </c>
      <c r="F365" t="s">
        <v>1412</v>
      </c>
      <c r="G365" s="1">
        <v>32661</v>
      </c>
      <c r="H365" s="1">
        <v>41666</v>
      </c>
      <c r="I365" t="str">
        <f>"51"</f>
        <v>51</v>
      </c>
      <c r="J365" t="s">
        <v>471</v>
      </c>
      <c r="K365" t="s">
        <v>25</v>
      </c>
      <c r="L365" t="s">
        <v>26</v>
      </c>
      <c r="M365" t="s">
        <v>27</v>
      </c>
      <c r="N365" s="1">
        <v>18629</v>
      </c>
      <c r="O365">
        <v>0</v>
      </c>
      <c r="P365">
        <v>0</v>
      </c>
      <c r="Q365" t="s">
        <v>28</v>
      </c>
      <c r="R365" t="s">
        <v>71</v>
      </c>
      <c r="S365" t="s">
        <v>72</v>
      </c>
      <c r="T365" t="s">
        <v>73</v>
      </c>
    </row>
    <row r="366" spans="1:20" x14ac:dyDescent="0.25">
      <c r="A366" t="s">
        <v>1413</v>
      </c>
      <c r="B366" t="str">
        <f>"1078"</f>
        <v>1078</v>
      </c>
      <c r="C366" t="str">
        <f>"288461078"</f>
        <v>288461078</v>
      </c>
      <c r="D366" t="s">
        <v>1414</v>
      </c>
      <c r="E366" t="s">
        <v>1415</v>
      </c>
      <c r="F366" t="s">
        <v>317</v>
      </c>
      <c r="G366" s="1">
        <v>21328</v>
      </c>
      <c r="H366" s="1">
        <v>41663</v>
      </c>
      <c r="I366" t="str">
        <f>"52"</f>
        <v>52</v>
      </c>
      <c r="J366" t="s">
        <v>330</v>
      </c>
      <c r="K366" t="s">
        <v>25</v>
      </c>
      <c r="L366" t="s">
        <v>26</v>
      </c>
      <c r="M366" t="s">
        <v>27</v>
      </c>
      <c r="N366" s="1">
        <v>18629</v>
      </c>
      <c r="O366">
        <v>0</v>
      </c>
      <c r="P366">
        <v>0</v>
      </c>
      <c r="Q366" t="s">
        <v>37</v>
      </c>
      <c r="R366" t="s">
        <v>51</v>
      </c>
      <c r="S366" s="2" t="s">
        <v>362</v>
      </c>
      <c r="T366" t="s">
        <v>363</v>
      </c>
    </row>
    <row r="367" spans="1:20" x14ac:dyDescent="0.25">
      <c r="A367" t="s">
        <v>1416</v>
      </c>
      <c r="B367" t="str">
        <f>"2153"</f>
        <v>2153</v>
      </c>
      <c r="C367" t="str">
        <f>"300802153"</f>
        <v>300802153</v>
      </c>
      <c r="D367" t="s">
        <v>1417</v>
      </c>
      <c r="E367" t="s">
        <v>905</v>
      </c>
      <c r="F367" t="s">
        <v>28</v>
      </c>
      <c r="G367" s="1">
        <v>26196</v>
      </c>
      <c r="H367" s="1">
        <v>41662</v>
      </c>
      <c r="I367" t="str">
        <f>"51"</f>
        <v>51</v>
      </c>
      <c r="J367" t="s">
        <v>471</v>
      </c>
      <c r="K367" t="s">
        <v>25</v>
      </c>
      <c r="L367" t="s">
        <v>26</v>
      </c>
      <c r="M367" t="s">
        <v>27</v>
      </c>
      <c r="N367" s="1">
        <v>18629</v>
      </c>
      <c r="O367">
        <v>0</v>
      </c>
      <c r="P367">
        <v>0</v>
      </c>
      <c r="Q367" t="s">
        <v>37</v>
      </c>
      <c r="R367" t="s">
        <v>29</v>
      </c>
      <c r="S367" t="s">
        <v>138</v>
      </c>
      <c r="T367" t="s">
        <v>139</v>
      </c>
    </row>
    <row r="368" spans="1:20" x14ac:dyDescent="0.25">
      <c r="A368" t="s">
        <v>1418</v>
      </c>
      <c r="B368" t="str">
        <f>"9990"</f>
        <v>9990</v>
      </c>
      <c r="C368" t="str">
        <f>"279649990"</f>
        <v>279649990</v>
      </c>
      <c r="D368" t="s">
        <v>1419</v>
      </c>
      <c r="E368" t="s">
        <v>1381</v>
      </c>
      <c r="F368" t="s">
        <v>97</v>
      </c>
      <c r="G368" s="1">
        <v>21417</v>
      </c>
      <c r="H368" s="1">
        <v>41660</v>
      </c>
      <c r="I368" t="str">
        <f>"52"</f>
        <v>52</v>
      </c>
      <c r="J368" t="s">
        <v>330</v>
      </c>
      <c r="K368" t="s">
        <v>25</v>
      </c>
      <c r="L368" t="s">
        <v>26</v>
      </c>
      <c r="M368" t="s">
        <v>27</v>
      </c>
      <c r="N368" s="1">
        <v>18629</v>
      </c>
      <c r="O368">
        <v>0</v>
      </c>
      <c r="P368">
        <v>0</v>
      </c>
      <c r="Q368" t="s">
        <v>28</v>
      </c>
      <c r="R368" t="s">
        <v>258</v>
      </c>
      <c r="S368" t="s">
        <v>1235</v>
      </c>
      <c r="T368" t="s">
        <v>1236</v>
      </c>
    </row>
    <row r="369" spans="1:20" x14ac:dyDescent="0.25">
      <c r="A369" t="s">
        <v>1420</v>
      </c>
      <c r="B369" t="str">
        <f>"5548"</f>
        <v>5548</v>
      </c>
      <c r="C369" t="str">
        <f>"288865548"</f>
        <v>288865548</v>
      </c>
      <c r="D369" t="s">
        <v>1421</v>
      </c>
      <c r="E369" t="s">
        <v>178</v>
      </c>
      <c r="F369" t="s">
        <v>97</v>
      </c>
      <c r="G369" s="1">
        <v>30052</v>
      </c>
      <c r="H369" s="1">
        <v>41660</v>
      </c>
      <c r="I369" t="str">
        <f>"41"</f>
        <v>41</v>
      </c>
      <c r="J369" t="s">
        <v>24</v>
      </c>
      <c r="K369" t="s">
        <v>25</v>
      </c>
      <c r="L369" t="s">
        <v>26</v>
      </c>
      <c r="M369" t="s">
        <v>27</v>
      </c>
      <c r="N369" s="1">
        <v>18629</v>
      </c>
      <c r="O369">
        <v>0</v>
      </c>
      <c r="P369">
        <v>0</v>
      </c>
      <c r="Q369" t="s">
        <v>28</v>
      </c>
      <c r="R369" t="s">
        <v>29</v>
      </c>
      <c r="S369" t="s">
        <v>1422</v>
      </c>
      <c r="T369" t="s">
        <v>1423</v>
      </c>
    </row>
    <row r="370" spans="1:20" x14ac:dyDescent="0.25">
      <c r="A370" t="s">
        <v>1424</v>
      </c>
      <c r="B370" t="str">
        <f>"3424"</f>
        <v>3424</v>
      </c>
      <c r="C370" t="str">
        <f>"370083424"</f>
        <v>370083424</v>
      </c>
      <c r="D370" t="s">
        <v>1425</v>
      </c>
      <c r="E370" t="s">
        <v>1426</v>
      </c>
      <c r="F370" t="s">
        <v>93</v>
      </c>
      <c r="G370" s="1">
        <v>32603</v>
      </c>
      <c r="H370" s="1">
        <v>41660</v>
      </c>
      <c r="I370" t="str">
        <f>"51"</f>
        <v>51</v>
      </c>
      <c r="J370" t="s">
        <v>471</v>
      </c>
      <c r="K370" t="s">
        <v>25</v>
      </c>
      <c r="L370" t="s">
        <v>26</v>
      </c>
      <c r="M370" t="s">
        <v>27</v>
      </c>
      <c r="N370" s="1">
        <v>18629</v>
      </c>
      <c r="O370">
        <v>0</v>
      </c>
      <c r="P370">
        <v>0</v>
      </c>
      <c r="Q370" t="s">
        <v>37</v>
      </c>
      <c r="R370" t="s">
        <v>29</v>
      </c>
      <c r="S370" t="s">
        <v>1427</v>
      </c>
      <c r="T370" t="s">
        <v>1428</v>
      </c>
    </row>
    <row r="371" spans="1:20" x14ac:dyDescent="0.25">
      <c r="A371" t="s">
        <v>1429</v>
      </c>
      <c r="B371" t="str">
        <f>"3988"</f>
        <v>3988</v>
      </c>
      <c r="C371" t="str">
        <f>"280643988"</f>
        <v>280643988</v>
      </c>
      <c r="D371" t="s">
        <v>1430</v>
      </c>
      <c r="E371" t="s">
        <v>197</v>
      </c>
      <c r="F371" t="s">
        <v>178</v>
      </c>
      <c r="G371" s="1">
        <v>26355</v>
      </c>
      <c r="H371" s="1">
        <v>41659</v>
      </c>
      <c r="I371" t="str">
        <f>"52"</f>
        <v>52</v>
      </c>
      <c r="J371" t="s">
        <v>330</v>
      </c>
      <c r="K371" t="s">
        <v>25</v>
      </c>
      <c r="L371" t="s">
        <v>26</v>
      </c>
      <c r="M371" t="s">
        <v>27</v>
      </c>
      <c r="N371" s="1">
        <v>18629</v>
      </c>
      <c r="O371">
        <v>0</v>
      </c>
      <c r="P371">
        <v>0</v>
      </c>
      <c r="Q371" t="s">
        <v>28</v>
      </c>
      <c r="R371" t="s">
        <v>258</v>
      </c>
      <c r="S371" t="s">
        <v>331</v>
      </c>
      <c r="T371" t="s">
        <v>332</v>
      </c>
    </row>
    <row r="372" spans="1:20" x14ac:dyDescent="0.25">
      <c r="A372" t="s">
        <v>1431</v>
      </c>
      <c r="B372" t="str">
        <f>"4933"</f>
        <v>4933</v>
      </c>
      <c r="C372" t="str">
        <f>"288784933"</f>
        <v>288784933</v>
      </c>
      <c r="D372" t="s">
        <v>1432</v>
      </c>
      <c r="E372" t="s">
        <v>588</v>
      </c>
      <c r="F372" t="s">
        <v>97</v>
      </c>
      <c r="G372" s="1">
        <v>29776</v>
      </c>
      <c r="H372" s="1">
        <v>41659</v>
      </c>
      <c r="I372" t="str">
        <f>"05"</f>
        <v>05</v>
      </c>
      <c r="J372" t="s">
        <v>58</v>
      </c>
      <c r="K372" t="s">
        <v>98</v>
      </c>
      <c r="L372" t="s">
        <v>37</v>
      </c>
      <c r="M372" t="s">
        <v>117</v>
      </c>
      <c r="N372" s="1">
        <v>41673</v>
      </c>
      <c r="O372">
        <v>4951.96</v>
      </c>
      <c r="P372">
        <v>1237.8599999999999</v>
      </c>
      <c r="Q372" t="s">
        <v>28</v>
      </c>
      <c r="R372" t="s">
        <v>51</v>
      </c>
      <c r="S372" s="2" t="s">
        <v>198</v>
      </c>
      <c r="T372" t="s">
        <v>199</v>
      </c>
    </row>
    <row r="373" spans="1:20" x14ac:dyDescent="0.25">
      <c r="A373" t="s">
        <v>1433</v>
      </c>
      <c r="B373" t="str">
        <f>"9826"</f>
        <v>9826</v>
      </c>
      <c r="C373" t="str">
        <f>"290929826"</f>
        <v>290929826</v>
      </c>
      <c r="D373" t="s">
        <v>1434</v>
      </c>
      <c r="E373" t="s">
        <v>1435</v>
      </c>
      <c r="F373" t="s">
        <v>44</v>
      </c>
      <c r="G373" s="1">
        <v>31092</v>
      </c>
      <c r="H373" s="1">
        <v>41659</v>
      </c>
      <c r="I373" t="str">
        <f>"41"</f>
        <v>41</v>
      </c>
      <c r="J373" t="s">
        <v>24</v>
      </c>
      <c r="K373" t="s">
        <v>25</v>
      </c>
      <c r="L373" t="s">
        <v>26</v>
      </c>
      <c r="M373" t="s">
        <v>27</v>
      </c>
      <c r="N373" s="1">
        <v>18629</v>
      </c>
      <c r="O373">
        <v>0</v>
      </c>
      <c r="P373">
        <v>0</v>
      </c>
      <c r="Q373" t="s">
        <v>37</v>
      </c>
      <c r="R373" t="s">
        <v>38</v>
      </c>
      <c r="S373" t="s">
        <v>545</v>
      </c>
      <c r="T373" t="s">
        <v>546</v>
      </c>
    </row>
    <row r="374" spans="1:20" x14ac:dyDescent="0.25">
      <c r="A374" t="s">
        <v>1436</v>
      </c>
      <c r="B374" t="str">
        <f>"2236"</f>
        <v>2236</v>
      </c>
      <c r="C374" t="str">
        <f>"299922236"</f>
        <v>299922236</v>
      </c>
      <c r="D374" t="s">
        <v>1437</v>
      </c>
      <c r="E374" t="s">
        <v>35</v>
      </c>
      <c r="F374" t="s">
        <v>174</v>
      </c>
      <c r="G374" s="1">
        <v>33224</v>
      </c>
      <c r="H374" s="1">
        <v>41659</v>
      </c>
      <c r="I374" t="str">
        <f>"08"</f>
        <v>08</v>
      </c>
      <c r="J374" t="s">
        <v>265</v>
      </c>
      <c r="L374" t="s">
        <v>37</v>
      </c>
      <c r="M374" t="s">
        <v>143</v>
      </c>
      <c r="N374" s="1">
        <v>41673</v>
      </c>
      <c r="O374">
        <v>185.9</v>
      </c>
      <c r="P374">
        <v>-185.9</v>
      </c>
      <c r="Q374" t="s">
        <v>28</v>
      </c>
      <c r="R374" t="s">
        <v>71</v>
      </c>
      <c r="S374" t="s">
        <v>1438</v>
      </c>
      <c r="T374" t="s">
        <v>1439</v>
      </c>
    </row>
    <row r="375" spans="1:20" x14ac:dyDescent="0.25">
      <c r="A375" t="s">
        <v>1440</v>
      </c>
      <c r="B375" t="str">
        <f>"9591"</f>
        <v>9591</v>
      </c>
      <c r="C375" t="str">
        <f>"278609591"</f>
        <v>278609591</v>
      </c>
      <c r="D375" t="s">
        <v>1441</v>
      </c>
      <c r="E375" t="s">
        <v>1442</v>
      </c>
      <c r="F375" t="s">
        <v>97</v>
      </c>
      <c r="G375" s="1">
        <v>22257</v>
      </c>
      <c r="H375" s="1">
        <v>41659</v>
      </c>
      <c r="I375" t="str">
        <f>"30"</f>
        <v>30</v>
      </c>
      <c r="J375" t="s">
        <v>50</v>
      </c>
      <c r="K375" t="s">
        <v>25</v>
      </c>
      <c r="L375" t="s">
        <v>26</v>
      </c>
      <c r="M375" t="s">
        <v>27</v>
      </c>
      <c r="N375" s="1">
        <v>18629</v>
      </c>
      <c r="O375">
        <v>0</v>
      </c>
      <c r="P375">
        <v>0</v>
      </c>
      <c r="Q375" t="s">
        <v>37</v>
      </c>
      <c r="R375" t="s">
        <v>29</v>
      </c>
      <c r="S375" t="s">
        <v>1443</v>
      </c>
      <c r="T375" t="s">
        <v>1444</v>
      </c>
    </row>
    <row r="376" spans="1:20" x14ac:dyDescent="0.25">
      <c r="A376" t="s">
        <v>1445</v>
      </c>
      <c r="B376" t="str">
        <f>"6705"</f>
        <v>6705</v>
      </c>
      <c r="C376" t="str">
        <f>"280886705"</f>
        <v>280886705</v>
      </c>
      <c r="D376" t="s">
        <v>1446</v>
      </c>
      <c r="E376" t="s">
        <v>1447</v>
      </c>
      <c r="G376" s="1">
        <v>28217</v>
      </c>
      <c r="H376" s="1">
        <v>41655</v>
      </c>
      <c r="I376" t="str">
        <f>"51"</f>
        <v>51</v>
      </c>
      <c r="J376" t="s">
        <v>471</v>
      </c>
      <c r="K376" t="s">
        <v>25</v>
      </c>
      <c r="L376" t="s">
        <v>26</v>
      </c>
      <c r="M376" t="s">
        <v>27</v>
      </c>
      <c r="N376" s="1">
        <v>18629</v>
      </c>
      <c r="O376">
        <v>0</v>
      </c>
      <c r="P376">
        <v>0</v>
      </c>
      <c r="Q376" t="s">
        <v>37</v>
      </c>
      <c r="R376" t="s">
        <v>29</v>
      </c>
      <c r="S376" t="s">
        <v>138</v>
      </c>
      <c r="T376" t="s">
        <v>139</v>
      </c>
    </row>
    <row r="377" spans="1:20" x14ac:dyDescent="0.25">
      <c r="A377" t="s">
        <v>1448</v>
      </c>
      <c r="B377" t="str">
        <f>"9894"</f>
        <v>9894</v>
      </c>
      <c r="C377" t="str">
        <f>"275529894"</f>
        <v>275529894</v>
      </c>
      <c r="D377" t="s">
        <v>1449</v>
      </c>
      <c r="E377" t="s">
        <v>1450</v>
      </c>
      <c r="F377" t="s">
        <v>256</v>
      </c>
      <c r="G377" s="1">
        <v>20663</v>
      </c>
      <c r="H377" s="1">
        <v>41655</v>
      </c>
      <c r="I377" t="str">
        <f>"51"</f>
        <v>51</v>
      </c>
      <c r="J377" t="s">
        <v>471</v>
      </c>
      <c r="K377" t="s">
        <v>25</v>
      </c>
      <c r="L377" t="s">
        <v>26</v>
      </c>
      <c r="M377" t="s">
        <v>27</v>
      </c>
      <c r="N377" s="1">
        <v>18629</v>
      </c>
      <c r="O377">
        <v>0</v>
      </c>
      <c r="P377">
        <v>0</v>
      </c>
      <c r="Q377" t="s">
        <v>37</v>
      </c>
      <c r="R377" t="s">
        <v>29</v>
      </c>
      <c r="S377" t="s">
        <v>151</v>
      </c>
      <c r="T377" t="s">
        <v>152</v>
      </c>
    </row>
    <row r="378" spans="1:20" x14ac:dyDescent="0.25">
      <c r="A378" t="s">
        <v>1451</v>
      </c>
      <c r="B378" t="str">
        <f>"7727"</f>
        <v>7727</v>
      </c>
      <c r="C378" t="str">
        <f>"291867727"</f>
        <v>291867727</v>
      </c>
      <c r="D378" t="s">
        <v>1452</v>
      </c>
      <c r="E378" t="s">
        <v>1453</v>
      </c>
      <c r="F378" t="s">
        <v>26</v>
      </c>
      <c r="G378" s="1">
        <v>29428</v>
      </c>
      <c r="H378" s="1">
        <v>41655</v>
      </c>
      <c r="I378" t="str">
        <f>"51"</f>
        <v>51</v>
      </c>
      <c r="J378" t="s">
        <v>471</v>
      </c>
      <c r="K378" t="s">
        <v>25</v>
      </c>
      <c r="L378" t="s">
        <v>26</v>
      </c>
      <c r="M378" t="s">
        <v>27</v>
      </c>
      <c r="N378" s="1">
        <v>18629</v>
      </c>
      <c r="O378">
        <v>0</v>
      </c>
      <c r="P378">
        <v>0</v>
      </c>
      <c r="Q378" t="s">
        <v>28</v>
      </c>
      <c r="R378" t="s">
        <v>29</v>
      </c>
      <c r="S378" t="s">
        <v>1454</v>
      </c>
      <c r="T378" t="s">
        <v>1455</v>
      </c>
    </row>
    <row r="379" spans="1:20" x14ac:dyDescent="0.25">
      <c r="A379" t="s">
        <v>1456</v>
      </c>
      <c r="B379" t="str">
        <f>"0807"</f>
        <v>0807</v>
      </c>
      <c r="C379" t="str">
        <f>"268980807"</f>
        <v>268980807</v>
      </c>
      <c r="D379" t="s">
        <v>1457</v>
      </c>
      <c r="E379" t="s">
        <v>1458</v>
      </c>
      <c r="F379" t="s">
        <v>1459</v>
      </c>
      <c r="G379" s="1">
        <v>34492</v>
      </c>
      <c r="H379" s="1">
        <v>41654</v>
      </c>
      <c r="I379" t="str">
        <f>"34"</f>
        <v>34</v>
      </c>
      <c r="J379" t="s">
        <v>388</v>
      </c>
      <c r="K379" t="s">
        <v>25</v>
      </c>
      <c r="L379" t="s">
        <v>26</v>
      </c>
      <c r="M379" t="s">
        <v>27</v>
      </c>
      <c r="N379" s="1">
        <v>18629</v>
      </c>
      <c r="O379">
        <v>0</v>
      </c>
      <c r="P379">
        <v>0</v>
      </c>
      <c r="Q379" t="s">
        <v>28</v>
      </c>
      <c r="R379" t="s">
        <v>1015</v>
      </c>
      <c r="S379" t="s">
        <v>615</v>
      </c>
      <c r="T379" t="s">
        <v>616</v>
      </c>
    </row>
    <row r="380" spans="1:20" x14ac:dyDescent="0.25">
      <c r="A380" t="s">
        <v>1460</v>
      </c>
      <c r="B380" t="str">
        <f>"3324"</f>
        <v>3324</v>
      </c>
      <c r="C380" t="str">
        <f>"277723324"</f>
        <v>277723324</v>
      </c>
      <c r="D380" t="s">
        <v>1461</v>
      </c>
      <c r="E380" t="s">
        <v>48</v>
      </c>
      <c r="F380" t="s">
        <v>28</v>
      </c>
      <c r="G380" s="1">
        <v>27498</v>
      </c>
      <c r="H380" s="1">
        <v>41653</v>
      </c>
      <c r="I380" t="str">
        <f>"51"</f>
        <v>51</v>
      </c>
      <c r="J380" t="s">
        <v>471</v>
      </c>
      <c r="K380" t="s">
        <v>25</v>
      </c>
      <c r="L380" t="s">
        <v>26</v>
      </c>
      <c r="M380" t="s">
        <v>27</v>
      </c>
      <c r="N380" s="1">
        <v>18629</v>
      </c>
      <c r="O380">
        <v>0</v>
      </c>
      <c r="P380">
        <v>0</v>
      </c>
      <c r="Q380" t="s">
        <v>37</v>
      </c>
      <c r="R380" t="s">
        <v>100</v>
      </c>
      <c r="S380" t="s">
        <v>1462</v>
      </c>
      <c r="T380" t="s">
        <v>1463</v>
      </c>
    </row>
    <row r="381" spans="1:20" x14ac:dyDescent="0.25">
      <c r="A381" t="s">
        <v>1464</v>
      </c>
      <c r="B381" t="str">
        <f>"7749"</f>
        <v>7749</v>
      </c>
      <c r="C381" t="str">
        <f>"285967749"</f>
        <v>285967749</v>
      </c>
      <c r="D381" t="s">
        <v>824</v>
      </c>
      <c r="E381" t="s">
        <v>1465</v>
      </c>
      <c r="F381" t="s">
        <v>69</v>
      </c>
      <c r="G381" s="1">
        <v>34313</v>
      </c>
      <c r="H381" s="1">
        <v>41653</v>
      </c>
      <c r="I381" t="str">
        <f>"34"</f>
        <v>34</v>
      </c>
      <c r="J381" t="s">
        <v>388</v>
      </c>
      <c r="K381" t="s">
        <v>25</v>
      </c>
      <c r="L381" t="s">
        <v>26</v>
      </c>
      <c r="M381" t="s">
        <v>27</v>
      </c>
      <c r="N381" s="1">
        <v>18629</v>
      </c>
      <c r="O381">
        <v>0</v>
      </c>
      <c r="P381">
        <v>0</v>
      </c>
      <c r="Q381" t="s">
        <v>28</v>
      </c>
      <c r="R381" t="s">
        <v>258</v>
      </c>
      <c r="S381" t="s">
        <v>615</v>
      </c>
      <c r="T381" t="s">
        <v>616</v>
      </c>
    </row>
    <row r="382" spans="1:20" x14ac:dyDescent="0.25">
      <c r="A382" t="s">
        <v>1466</v>
      </c>
      <c r="B382" t="str">
        <f>"2046"</f>
        <v>2046</v>
      </c>
      <c r="C382" t="str">
        <f>"281702046"</f>
        <v>281702046</v>
      </c>
      <c r="D382" t="s">
        <v>1467</v>
      </c>
      <c r="E382" t="s">
        <v>1468</v>
      </c>
      <c r="F382" t="s">
        <v>28</v>
      </c>
      <c r="G382" s="1">
        <v>25398</v>
      </c>
      <c r="H382" s="1">
        <v>41653</v>
      </c>
      <c r="I382" t="str">
        <f t="shared" ref="I382:I407" si="2">"51"</f>
        <v>51</v>
      </c>
      <c r="J382" t="s">
        <v>471</v>
      </c>
      <c r="K382" t="s">
        <v>25</v>
      </c>
      <c r="L382" t="s">
        <v>26</v>
      </c>
      <c r="M382" t="s">
        <v>27</v>
      </c>
      <c r="N382" s="1">
        <v>18629</v>
      </c>
      <c r="O382">
        <v>0</v>
      </c>
      <c r="P382">
        <v>0</v>
      </c>
      <c r="Q382" t="s">
        <v>37</v>
      </c>
      <c r="R382" t="s">
        <v>100</v>
      </c>
      <c r="S382" t="s">
        <v>166</v>
      </c>
      <c r="T382" t="s">
        <v>167</v>
      </c>
    </row>
    <row r="383" spans="1:20" x14ac:dyDescent="0.25">
      <c r="A383" t="s">
        <v>1469</v>
      </c>
      <c r="B383" t="str">
        <f>"0645"</f>
        <v>0645</v>
      </c>
      <c r="C383" t="str">
        <f>"279080645"</f>
        <v>279080645</v>
      </c>
      <c r="D383" t="s">
        <v>1470</v>
      </c>
      <c r="E383" t="s">
        <v>1471</v>
      </c>
      <c r="G383" s="1">
        <v>22272</v>
      </c>
      <c r="H383" s="1">
        <v>41652</v>
      </c>
      <c r="I383" t="str">
        <f t="shared" si="2"/>
        <v>51</v>
      </c>
      <c r="J383" t="s">
        <v>471</v>
      </c>
      <c r="K383" t="s">
        <v>25</v>
      </c>
      <c r="L383" t="s">
        <v>26</v>
      </c>
      <c r="M383" t="s">
        <v>27</v>
      </c>
      <c r="N383" s="1">
        <v>18629</v>
      </c>
      <c r="O383">
        <v>0</v>
      </c>
      <c r="P383">
        <v>0</v>
      </c>
      <c r="Q383" t="s">
        <v>28</v>
      </c>
      <c r="R383" t="s">
        <v>51</v>
      </c>
      <c r="S383" s="2" t="s">
        <v>774</v>
      </c>
      <c r="T383" t="s">
        <v>775</v>
      </c>
    </row>
    <row r="384" spans="1:20" x14ac:dyDescent="0.25">
      <c r="A384" t="s">
        <v>1472</v>
      </c>
      <c r="B384" t="str">
        <f>"1516"</f>
        <v>1516</v>
      </c>
      <c r="C384" t="str">
        <f>"238371516"</f>
        <v>238371516</v>
      </c>
      <c r="D384" t="s">
        <v>1473</v>
      </c>
      <c r="E384" t="s">
        <v>227</v>
      </c>
      <c r="F384" t="s">
        <v>97</v>
      </c>
      <c r="G384" s="1">
        <v>29813</v>
      </c>
      <c r="H384" s="1">
        <v>41652</v>
      </c>
      <c r="I384" t="str">
        <f t="shared" si="2"/>
        <v>51</v>
      </c>
      <c r="J384" t="s">
        <v>471</v>
      </c>
      <c r="K384" t="s">
        <v>25</v>
      </c>
      <c r="L384" t="s">
        <v>26</v>
      </c>
      <c r="M384" t="s">
        <v>27</v>
      </c>
      <c r="N384" s="1">
        <v>18629</v>
      </c>
      <c r="O384">
        <v>0</v>
      </c>
      <c r="P384">
        <v>0</v>
      </c>
      <c r="Q384" t="s">
        <v>28</v>
      </c>
      <c r="R384" t="s">
        <v>71</v>
      </c>
      <c r="S384" t="s">
        <v>1474</v>
      </c>
      <c r="T384" t="s">
        <v>1475</v>
      </c>
    </row>
    <row r="385" spans="1:20" x14ac:dyDescent="0.25">
      <c r="A385" t="s">
        <v>1476</v>
      </c>
      <c r="B385" t="str">
        <f>"3145"</f>
        <v>3145</v>
      </c>
      <c r="C385" t="str">
        <f>"274483145"</f>
        <v>274483145</v>
      </c>
      <c r="D385" t="s">
        <v>1477</v>
      </c>
      <c r="E385" t="s">
        <v>1478</v>
      </c>
      <c r="F385" t="s">
        <v>93</v>
      </c>
      <c r="G385" s="1">
        <v>17932</v>
      </c>
      <c r="H385" s="1">
        <v>41652</v>
      </c>
      <c r="I385" t="str">
        <f t="shared" si="2"/>
        <v>51</v>
      </c>
      <c r="J385" t="s">
        <v>471</v>
      </c>
      <c r="K385" t="s">
        <v>25</v>
      </c>
      <c r="L385" t="s">
        <v>26</v>
      </c>
      <c r="M385" t="s">
        <v>27</v>
      </c>
      <c r="N385" s="1">
        <v>18629</v>
      </c>
      <c r="O385">
        <v>0</v>
      </c>
      <c r="P385">
        <v>0</v>
      </c>
      <c r="Q385" t="s">
        <v>37</v>
      </c>
      <c r="R385" t="s">
        <v>71</v>
      </c>
      <c r="S385" t="s">
        <v>157</v>
      </c>
      <c r="T385" t="s">
        <v>158</v>
      </c>
    </row>
    <row r="386" spans="1:20" x14ac:dyDescent="0.25">
      <c r="A386" t="s">
        <v>1479</v>
      </c>
      <c r="B386" t="str">
        <f>"2157"</f>
        <v>2157</v>
      </c>
      <c r="C386" t="str">
        <f>"296842157"</f>
        <v>296842157</v>
      </c>
      <c r="D386" t="s">
        <v>1480</v>
      </c>
      <c r="E386" t="s">
        <v>1481</v>
      </c>
      <c r="G386" s="1">
        <v>31631</v>
      </c>
      <c r="H386" s="1">
        <v>41652</v>
      </c>
      <c r="I386" t="str">
        <f t="shared" si="2"/>
        <v>51</v>
      </c>
      <c r="J386" t="s">
        <v>471</v>
      </c>
      <c r="K386" t="s">
        <v>25</v>
      </c>
      <c r="L386" t="s">
        <v>26</v>
      </c>
      <c r="M386" t="s">
        <v>27</v>
      </c>
      <c r="N386" s="1">
        <v>18629</v>
      </c>
      <c r="O386">
        <v>0</v>
      </c>
      <c r="P386">
        <v>0</v>
      </c>
      <c r="Q386" t="s">
        <v>37</v>
      </c>
      <c r="R386" t="s">
        <v>71</v>
      </c>
      <c r="S386" t="s">
        <v>790</v>
      </c>
      <c r="T386" t="s">
        <v>791</v>
      </c>
    </row>
    <row r="387" spans="1:20" x14ac:dyDescent="0.25">
      <c r="A387" t="s">
        <v>1482</v>
      </c>
      <c r="B387" t="str">
        <f>"2905"</f>
        <v>2905</v>
      </c>
      <c r="C387" t="str">
        <f>"296762905"</f>
        <v>296762905</v>
      </c>
      <c r="D387" t="s">
        <v>1483</v>
      </c>
      <c r="E387" t="s">
        <v>1484</v>
      </c>
      <c r="F387" t="s">
        <v>165</v>
      </c>
      <c r="G387" s="1">
        <v>23837</v>
      </c>
      <c r="H387" s="1">
        <v>41652</v>
      </c>
      <c r="I387" t="str">
        <f t="shared" si="2"/>
        <v>51</v>
      </c>
      <c r="J387" t="s">
        <v>471</v>
      </c>
      <c r="K387" t="s">
        <v>25</v>
      </c>
      <c r="L387" t="s">
        <v>26</v>
      </c>
      <c r="M387" t="s">
        <v>27</v>
      </c>
      <c r="N387" s="1">
        <v>18629</v>
      </c>
      <c r="O387">
        <v>0</v>
      </c>
      <c r="P387">
        <v>0</v>
      </c>
      <c r="Q387" t="s">
        <v>37</v>
      </c>
      <c r="R387" t="s">
        <v>29</v>
      </c>
      <c r="S387" t="s">
        <v>138</v>
      </c>
      <c r="T387" t="s">
        <v>139</v>
      </c>
    </row>
    <row r="388" spans="1:20" x14ac:dyDescent="0.25">
      <c r="A388" t="s">
        <v>1485</v>
      </c>
      <c r="B388" t="str">
        <f>"9002"</f>
        <v>9002</v>
      </c>
      <c r="C388" t="str">
        <f>"290909002"</f>
        <v>290909002</v>
      </c>
      <c r="D388" t="s">
        <v>1486</v>
      </c>
      <c r="E388" t="s">
        <v>1487</v>
      </c>
      <c r="F388" t="s">
        <v>44</v>
      </c>
      <c r="G388" s="1">
        <v>32753</v>
      </c>
      <c r="H388" s="1">
        <v>41652</v>
      </c>
      <c r="I388" t="str">
        <f t="shared" si="2"/>
        <v>51</v>
      </c>
      <c r="J388" t="s">
        <v>471</v>
      </c>
      <c r="K388" t="s">
        <v>25</v>
      </c>
      <c r="L388" t="s">
        <v>26</v>
      </c>
      <c r="M388" t="s">
        <v>27</v>
      </c>
      <c r="N388" s="1">
        <v>18629</v>
      </c>
      <c r="O388">
        <v>0</v>
      </c>
      <c r="P388">
        <v>0</v>
      </c>
      <c r="Q388" t="s">
        <v>28</v>
      </c>
      <c r="R388" t="s">
        <v>29</v>
      </c>
      <c r="S388" t="s">
        <v>1204</v>
      </c>
      <c r="T388" t="s">
        <v>1205</v>
      </c>
    </row>
    <row r="389" spans="1:20" x14ac:dyDescent="0.25">
      <c r="A389" t="s">
        <v>1488</v>
      </c>
      <c r="B389" t="str">
        <f>"3261"</f>
        <v>3261</v>
      </c>
      <c r="C389" t="str">
        <f>"268663261"</f>
        <v>268663261</v>
      </c>
      <c r="D389" t="s">
        <v>553</v>
      </c>
      <c r="E389" t="s">
        <v>1489</v>
      </c>
      <c r="F389" t="s">
        <v>49</v>
      </c>
      <c r="G389" s="1">
        <v>25908</v>
      </c>
      <c r="H389" s="1">
        <v>41652</v>
      </c>
      <c r="I389" t="str">
        <f t="shared" si="2"/>
        <v>51</v>
      </c>
      <c r="J389" t="s">
        <v>471</v>
      </c>
      <c r="K389" t="s">
        <v>25</v>
      </c>
      <c r="L389" t="s">
        <v>26</v>
      </c>
      <c r="M389" t="s">
        <v>27</v>
      </c>
      <c r="N389" s="1">
        <v>18629</v>
      </c>
      <c r="O389">
        <v>0</v>
      </c>
      <c r="P389">
        <v>0</v>
      </c>
      <c r="Q389" t="s">
        <v>37</v>
      </c>
      <c r="R389" t="s">
        <v>29</v>
      </c>
      <c r="S389" t="s">
        <v>1490</v>
      </c>
      <c r="T389" t="s">
        <v>1491</v>
      </c>
    </row>
    <row r="390" spans="1:20" x14ac:dyDescent="0.25">
      <c r="A390" t="s">
        <v>1492</v>
      </c>
      <c r="B390" t="str">
        <f>"1449"</f>
        <v>1449</v>
      </c>
      <c r="C390" t="str">
        <f>"269481449"</f>
        <v>269481449</v>
      </c>
      <c r="D390" t="s">
        <v>1213</v>
      </c>
      <c r="E390" t="s">
        <v>1493</v>
      </c>
      <c r="G390" s="1">
        <v>17514</v>
      </c>
      <c r="H390" s="1">
        <v>41652</v>
      </c>
      <c r="I390" t="str">
        <f t="shared" si="2"/>
        <v>51</v>
      </c>
      <c r="J390" t="s">
        <v>471</v>
      </c>
      <c r="K390" t="s">
        <v>25</v>
      </c>
      <c r="L390" t="s">
        <v>26</v>
      </c>
      <c r="M390" t="s">
        <v>27</v>
      </c>
      <c r="N390" s="1">
        <v>18629</v>
      </c>
      <c r="O390">
        <v>0</v>
      </c>
      <c r="P390">
        <v>0</v>
      </c>
      <c r="Q390" t="s">
        <v>37</v>
      </c>
      <c r="R390" t="s">
        <v>29</v>
      </c>
      <c r="S390" t="s">
        <v>1494</v>
      </c>
      <c r="T390" t="s">
        <v>1495</v>
      </c>
    </row>
    <row r="391" spans="1:20" x14ac:dyDescent="0.25">
      <c r="A391" t="s">
        <v>1496</v>
      </c>
      <c r="B391" t="str">
        <f>"0870"</f>
        <v>0870</v>
      </c>
      <c r="C391" t="str">
        <f>"497110870"</f>
        <v>497110870</v>
      </c>
      <c r="D391" t="s">
        <v>1497</v>
      </c>
      <c r="E391" t="s">
        <v>1498</v>
      </c>
      <c r="G391" s="1">
        <v>26317</v>
      </c>
      <c r="H391" s="1">
        <v>41652</v>
      </c>
      <c r="I391" t="str">
        <f t="shared" si="2"/>
        <v>51</v>
      </c>
      <c r="J391" t="s">
        <v>471</v>
      </c>
      <c r="K391" t="s">
        <v>25</v>
      </c>
      <c r="L391" t="s">
        <v>26</v>
      </c>
      <c r="M391" t="s">
        <v>27</v>
      </c>
      <c r="N391" s="1">
        <v>18629</v>
      </c>
      <c r="O391">
        <v>0</v>
      </c>
      <c r="P391">
        <v>0</v>
      </c>
      <c r="Q391" t="s">
        <v>37</v>
      </c>
      <c r="R391" t="s">
        <v>71</v>
      </c>
      <c r="S391" t="s">
        <v>1499</v>
      </c>
      <c r="T391" t="s">
        <v>1500</v>
      </c>
    </row>
    <row r="392" spans="1:20" x14ac:dyDescent="0.25">
      <c r="A392" t="s">
        <v>1501</v>
      </c>
      <c r="B392" t="str">
        <f>"6151"</f>
        <v>6151</v>
      </c>
      <c r="C392" t="str">
        <f>"286046151"</f>
        <v>286046151</v>
      </c>
      <c r="D392" t="s">
        <v>1502</v>
      </c>
      <c r="E392" t="s">
        <v>1503</v>
      </c>
      <c r="G392" s="1">
        <v>23458</v>
      </c>
      <c r="H392" s="1">
        <v>41652</v>
      </c>
      <c r="I392" t="str">
        <f t="shared" si="2"/>
        <v>51</v>
      </c>
      <c r="J392" t="s">
        <v>471</v>
      </c>
      <c r="K392" t="s">
        <v>25</v>
      </c>
      <c r="L392" t="s">
        <v>26</v>
      </c>
      <c r="M392" t="s">
        <v>27</v>
      </c>
      <c r="N392" s="1">
        <v>18629</v>
      </c>
      <c r="O392">
        <v>0</v>
      </c>
      <c r="P392">
        <v>0</v>
      </c>
      <c r="Q392" t="s">
        <v>37</v>
      </c>
      <c r="R392" t="s">
        <v>71</v>
      </c>
      <c r="S392" t="s">
        <v>1504</v>
      </c>
      <c r="T392" t="s">
        <v>1505</v>
      </c>
    </row>
    <row r="393" spans="1:20" x14ac:dyDescent="0.25">
      <c r="A393" t="s">
        <v>1506</v>
      </c>
      <c r="B393" t="str">
        <f>"7001"</f>
        <v>7001</v>
      </c>
      <c r="C393" t="str">
        <f>"285627001"</f>
        <v>285627001</v>
      </c>
      <c r="D393" t="s">
        <v>1507</v>
      </c>
      <c r="E393" t="s">
        <v>944</v>
      </c>
      <c r="F393" t="s">
        <v>97</v>
      </c>
      <c r="G393" s="1">
        <v>20965</v>
      </c>
      <c r="H393" s="1">
        <v>41652</v>
      </c>
      <c r="I393" t="str">
        <f t="shared" si="2"/>
        <v>51</v>
      </c>
      <c r="J393" t="s">
        <v>471</v>
      </c>
      <c r="K393" t="s">
        <v>25</v>
      </c>
      <c r="L393" t="s">
        <v>26</v>
      </c>
      <c r="M393" t="s">
        <v>27</v>
      </c>
      <c r="N393" s="1">
        <v>18629</v>
      </c>
      <c r="O393">
        <v>0</v>
      </c>
      <c r="P393">
        <v>0</v>
      </c>
      <c r="Q393" t="s">
        <v>28</v>
      </c>
      <c r="R393" t="s">
        <v>51</v>
      </c>
      <c r="S393" s="2" t="s">
        <v>1508</v>
      </c>
      <c r="T393" t="s">
        <v>1509</v>
      </c>
    </row>
    <row r="394" spans="1:20" x14ac:dyDescent="0.25">
      <c r="A394" t="s">
        <v>1510</v>
      </c>
      <c r="B394" t="str">
        <f>"1018"</f>
        <v>1018</v>
      </c>
      <c r="C394" t="str">
        <f>"591721018"</f>
        <v>591721018</v>
      </c>
      <c r="D394" t="s">
        <v>1511</v>
      </c>
      <c r="E394" t="s">
        <v>194</v>
      </c>
      <c r="F394" t="s">
        <v>1512</v>
      </c>
      <c r="G394" s="1">
        <v>32024</v>
      </c>
      <c r="H394" s="1">
        <v>41652</v>
      </c>
      <c r="I394" t="str">
        <f t="shared" si="2"/>
        <v>51</v>
      </c>
      <c r="J394" t="s">
        <v>471</v>
      </c>
      <c r="K394" t="s">
        <v>25</v>
      </c>
      <c r="L394" t="s">
        <v>26</v>
      </c>
      <c r="M394" t="s">
        <v>27</v>
      </c>
      <c r="N394" s="1">
        <v>18629</v>
      </c>
      <c r="O394">
        <v>0</v>
      </c>
      <c r="P394">
        <v>0</v>
      </c>
      <c r="Q394" t="s">
        <v>37</v>
      </c>
      <c r="R394" t="s">
        <v>71</v>
      </c>
      <c r="S394" t="s">
        <v>1513</v>
      </c>
      <c r="T394" t="s">
        <v>1514</v>
      </c>
    </row>
    <row r="395" spans="1:20" x14ac:dyDescent="0.25">
      <c r="A395" t="s">
        <v>1515</v>
      </c>
      <c r="B395" t="str">
        <f>"5518"</f>
        <v>5518</v>
      </c>
      <c r="C395" t="str">
        <f>"276705518"</f>
        <v>276705518</v>
      </c>
      <c r="D395" t="s">
        <v>1516</v>
      </c>
      <c r="E395" t="s">
        <v>1372</v>
      </c>
      <c r="F395" t="s">
        <v>164</v>
      </c>
      <c r="G395" s="1">
        <v>25491</v>
      </c>
      <c r="H395" s="1">
        <v>41652</v>
      </c>
      <c r="I395" t="str">
        <f t="shared" si="2"/>
        <v>51</v>
      </c>
      <c r="J395" t="s">
        <v>471</v>
      </c>
      <c r="K395" t="s">
        <v>25</v>
      </c>
      <c r="L395" t="s">
        <v>26</v>
      </c>
      <c r="M395" t="s">
        <v>27</v>
      </c>
      <c r="N395" s="1">
        <v>18629</v>
      </c>
      <c r="O395">
        <v>0</v>
      </c>
      <c r="P395">
        <v>0</v>
      </c>
      <c r="Q395" t="s">
        <v>37</v>
      </c>
      <c r="R395" t="s">
        <v>71</v>
      </c>
      <c r="S395" t="s">
        <v>1517</v>
      </c>
      <c r="T395" t="s">
        <v>1518</v>
      </c>
    </row>
    <row r="396" spans="1:20" x14ac:dyDescent="0.25">
      <c r="A396" t="s">
        <v>1519</v>
      </c>
      <c r="B396" t="str">
        <f>"1254"</f>
        <v>1254</v>
      </c>
      <c r="C396" t="str">
        <f>"286941254"</f>
        <v>286941254</v>
      </c>
      <c r="D396" t="s">
        <v>1520</v>
      </c>
      <c r="E396" t="s">
        <v>1521</v>
      </c>
      <c r="F396" t="s">
        <v>44</v>
      </c>
      <c r="G396" s="1">
        <v>32161</v>
      </c>
      <c r="H396" s="1">
        <v>41652</v>
      </c>
      <c r="I396" t="str">
        <f t="shared" si="2"/>
        <v>51</v>
      </c>
      <c r="J396" t="s">
        <v>471</v>
      </c>
      <c r="K396" t="s">
        <v>25</v>
      </c>
      <c r="L396" t="s">
        <v>26</v>
      </c>
      <c r="M396" t="s">
        <v>27</v>
      </c>
      <c r="N396" s="1">
        <v>18629</v>
      </c>
      <c r="O396">
        <v>0</v>
      </c>
      <c r="P396">
        <v>0</v>
      </c>
      <c r="Q396" t="s">
        <v>37</v>
      </c>
      <c r="R396" t="s">
        <v>51</v>
      </c>
      <c r="S396" s="2" t="s">
        <v>1522</v>
      </c>
      <c r="T396" t="s">
        <v>1523</v>
      </c>
    </row>
    <row r="397" spans="1:20" x14ac:dyDescent="0.25">
      <c r="A397" t="s">
        <v>1524</v>
      </c>
      <c r="B397" t="str">
        <f>"5089"</f>
        <v>5089</v>
      </c>
      <c r="C397" t="str">
        <f>"282745089"</f>
        <v>282745089</v>
      </c>
      <c r="D397" t="s">
        <v>1525</v>
      </c>
      <c r="E397" t="s">
        <v>35</v>
      </c>
      <c r="G397" s="1">
        <v>23348</v>
      </c>
      <c r="H397" s="1">
        <v>41652</v>
      </c>
      <c r="I397" t="str">
        <f t="shared" si="2"/>
        <v>51</v>
      </c>
      <c r="J397" t="s">
        <v>471</v>
      </c>
      <c r="K397" t="s">
        <v>25</v>
      </c>
      <c r="L397" t="s">
        <v>26</v>
      </c>
      <c r="M397" t="s">
        <v>27</v>
      </c>
      <c r="N397" s="1">
        <v>18629</v>
      </c>
      <c r="O397">
        <v>0</v>
      </c>
      <c r="P397">
        <v>0</v>
      </c>
      <c r="Q397" t="s">
        <v>28</v>
      </c>
      <c r="R397" t="s">
        <v>100</v>
      </c>
      <c r="S397" t="s">
        <v>1526</v>
      </c>
      <c r="T397" t="s">
        <v>1527</v>
      </c>
    </row>
    <row r="398" spans="1:20" x14ac:dyDescent="0.25">
      <c r="A398" t="s">
        <v>1528</v>
      </c>
      <c r="B398" t="str">
        <f>"9978"</f>
        <v>9978</v>
      </c>
      <c r="C398" t="str">
        <f>"286869978"</f>
        <v>286869978</v>
      </c>
      <c r="D398" t="s">
        <v>1529</v>
      </c>
      <c r="E398" t="s">
        <v>1530</v>
      </c>
      <c r="F398" t="s">
        <v>239</v>
      </c>
      <c r="G398" s="1">
        <v>30801</v>
      </c>
      <c r="H398" s="1">
        <v>41652</v>
      </c>
      <c r="I398" t="str">
        <f t="shared" si="2"/>
        <v>51</v>
      </c>
      <c r="J398" t="s">
        <v>471</v>
      </c>
      <c r="K398" t="s">
        <v>25</v>
      </c>
      <c r="L398" t="s">
        <v>26</v>
      </c>
      <c r="M398" t="s">
        <v>27</v>
      </c>
      <c r="N398" s="1">
        <v>18629</v>
      </c>
      <c r="O398">
        <v>0</v>
      </c>
      <c r="P398">
        <v>0</v>
      </c>
      <c r="Q398" t="s">
        <v>37</v>
      </c>
      <c r="R398" t="s">
        <v>71</v>
      </c>
      <c r="S398" t="s">
        <v>157</v>
      </c>
      <c r="T398" t="s">
        <v>158</v>
      </c>
    </row>
    <row r="399" spans="1:20" x14ac:dyDescent="0.25">
      <c r="A399" t="s">
        <v>1531</v>
      </c>
      <c r="B399" t="str">
        <f>"3824"</f>
        <v>3824</v>
      </c>
      <c r="C399" t="str">
        <f>"293903824"</f>
        <v>293903824</v>
      </c>
      <c r="D399" t="s">
        <v>1532</v>
      </c>
      <c r="E399" t="s">
        <v>1533</v>
      </c>
      <c r="F399" t="s">
        <v>44</v>
      </c>
      <c r="G399" s="1">
        <v>31269</v>
      </c>
      <c r="H399" s="1">
        <v>41652</v>
      </c>
      <c r="I399" t="str">
        <f t="shared" si="2"/>
        <v>51</v>
      </c>
      <c r="J399" t="s">
        <v>471</v>
      </c>
      <c r="K399" t="s">
        <v>25</v>
      </c>
      <c r="L399" t="s">
        <v>26</v>
      </c>
      <c r="M399" t="s">
        <v>27</v>
      </c>
      <c r="N399" s="1">
        <v>18629</v>
      </c>
      <c r="O399">
        <v>0</v>
      </c>
      <c r="P399">
        <v>0</v>
      </c>
      <c r="Q399" t="s">
        <v>37</v>
      </c>
      <c r="R399" t="s">
        <v>71</v>
      </c>
      <c r="S399" t="s">
        <v>871</v>
      </c>
      <c r="T399" t="s">
        <v>872</v>
      </c>
    </row>
    <row r="400" spans="1:20" x14ac:dyDescent="0.25">
      <c r="A400" t="s">
        <v>1534</v>
      </c>
      <c r="B400" t="str">
        <f>"2493"</f>
        <v>2493</v>
      </c>
      <c r="C400" t="str">
        <f>"272742493"</f>
        <v>272742493</v>
      </c>
      <c r="D400" t="s">
        <v>1535</v>
      </c>
      <c r="E400" t="s">
        <v>194</v>
      </c>
      <c r="F400" t="s">
        <v>69</v>
      </c>
      <c r="G400" s="1">
        <v>27650</v>
      </c>
      <c r="H400" s="1">
        <v>41652</v>
      </c>
      <c r="I400" t="str">
        <f t="shared" si="2"/>
        <v>51</v>
      </c>
      <c r="J400" t="s">
        <v>471</v>
      </c>
      <c r="K400" t="s">
        <v>25</v>
      </c>
      <c r="L400" t="s">
        <v>26</v>
      </c>
      <c r="M400" t="s">
        <v>27</v>
      </c>
      <c r="N400" s="1">
        <v>18629</v>
      </c>
      <c r="O400">
        <v>0</v>
      </c>
      <c r="P400">
        <v>0</v>
      </c>
      <c r="Q400" t="s">
        <v>37</v>
      </c>
      <c r="R400" t="s">
        <v>71</v>
      </c>
      <c r="S400" t="s">
        <v>790</v>
      </c>
      <c r="T400" t="s">
        <v>791</v>
      </c>
    </row>
    <row r="401" spans="1:20" x14ac:dyDescent="0.25">
      <c r="A401" t="s">
        <v>1536</v>
      </c>
      <c r="B401" t="str">
        <f>"3449"</f>
        <v>3449</v>
      </c>
      <c r="C401" t="str">
        <f>"292883449"</f>
        <v>292883449</v>
      </c>
      <c r="D401" t="s">
        <v>1537</v>
      </c>
      <c r="E401" t="s">
        <v>724</v>
      </c>
      <c r="F401" t="s">
        <v>165</v>
      </c>
      <c r="G401" s="1">
        <v>29545</v>
      </c>
      <c r="H401" s="1">
        <v>41652</v>
      </c>
      <c r="I401" t="str">
        <f t="shared" si="2"/>
        <v>51</v>
      </c>
      <c r="J401" t="s">
        <v>471</v>
      </c>
      <c r="K401" t="s">
        <v>25</v>
      </c>
      <c r="L401" t="s">
        <v>26</v>
      </c>
      <c r="M401" t="s">
        <v>27</v>
      </c>
      <c r="N401" s="1">
        <v>18629</v>
      </c>
      <c r="O401">
        <v>0</v>
      </c>
      <c r="P401">
        <v>0</v>
      </c>
      <c r="Q401" t="s">
        <v>28</v>
      </c>
      <c r="R401" t="s">
        <v>51</v>
      </c>
      <c r="S401" s="2" t="s">
        <v>1538</v>
      </c>
      <c r="T401" t="s">
        <v>1539</v>
      </c>
    </row>
    <row r="402" spans="1:20" x14ac:dyDescent="0.25">
      <c r="A402" t="s">
        <v>1540</v>
      </c>
      <c r="B402" t="str">
        <f>"2455"</f>
        <v>2455</v>
      </c>
      <c r="C402" t="str">
        <f>"293822455"</f>
        <v>293822455</v>
      </c>
      <c r="D402" t="s">
        <v>1541</v>
      </c>
      <c r="E402" t="s">
        <v>351</v>
      </c>
      <c r="F402" t="s">
        <v>282</v>
      </c>
      <c r="G402" s="1">
        <v>29542</v>
      </c>
      <c r="H402" s="1">
        <v>41652</v>
      </c>
      <c r="I402" t="str">
        <f t="shared" si="2"/>
        <v>51</v>
      </c>
      <c r="J402" t="s">
        <v>471</v>
      </c>
      <c r="K402" t="s">
        <v>25</v>
      </c>
      <c r="L402" t="s">
        <v>26</v>
      </c>
      <c r="M402" t="s">
        <v>27</v>
      </c>
      <c r="N402" s="1">
        <v>18629</v>
      </c>
      <c r="O402">
        <v>0</v>
      </c>
      <c r="P402">
        <v>0</v>
      </c>
      <c r="Q402" t="s">
        <v>28</v>
      </c>
      <c r="R402" t="s">
        <v>29</v>
      </c>
      <c r="S402" t="s">
        <v>1542</v>
      </c>
      <c r="T402" t="s">
        <v>1543</v>
      </c>
    </row>
    <row r="403" spans="1:20" x14ac:dyDescent="0.25">
      <c r="A403" t="s">
        <v>1544</v>
      </c>
      <c r="B403" t="str">
        <f>"8017"</f>
        <v>8017</v>
      </c>
      <c r="C403" t="str">
        <f>"292868017"</f>
        <v>292868017</v>
      </c>
      <c r="D403" t="s">
        <v>1545</v>
      </c>
      <c r="E403" t="s">
        <v>1546</v>
      </c>
      <c r="F403" t="s">
        <v>165</v>
      </c>
      <c r="G403" s="1">
        <v>29826</v>
      </c>
      <c r="H403" s="1">
        <v>41652</v>
      </c>
      <c r="I403" t="str">
        <f t="shared" si="2"/>
        <v>51</v>
      </c>
      <c r="J403" t="s">
        <v>471</v>
      </c>
      <c r="K403" t="s">
        <v>25</v>
      </c>
      <c r="L403" t="s">
        <v>26</v>
      </c>
      <c r="M403" t="s">
        <v>27</v>
      </c>
      <c r="N403" s="1">
        <v>18629</v>
      </c>
      <c r="O403">
        <v>0</v>
      </c>
      <c r="P403">
        <v>0</v>
      </c>
      <c r="Q403" t="s">
        <v>37</v>
      </c>
      <c r="R403" t="s">
        <v>71</v>
      </c>
      <c r="S403" t="s">
        <v>1547</v>
      </c>
      <c r="T403" t="s">
        <v>1548</v>
      </c>
    </row>
    <row r="404" spans="1:20" x14ac:dyDescent="0.25">
      <c r="A404" t="s">
        <v>1549</v>
      </c>
      <c r="B404" t="str">
        <f>"9911"</f>
        <v>9911</v>
      </c>
      <c r="C404" t="str">
        <f>"285929911"</f>
        <v>285929911</v>
      </c>
      <c r="D404" t="s">
        <v>1550</v>
      </c>
      <c r="E404" t="s">
        <v>963</v>
      </c>
      <c r="F404" t="s">
        <v>165</v>
      </c>
      <c r="G404" s="1">
        <v>33067</v>
      </c>
      <c r="H404" s="1">
        <v>41652</v>
      </c>
      <c r="I404" t="str">
        <f t="shared" si="2"/>
        <v>51</v>
      </c>
      <c r="J404" t="s">
        <v>471</v>
      </c>
      <c r="K404" t="s">
        <v>25</v>
      </c>
      <c r="L404" t="s">
        <v>26</v>
      </c>
      <c r="M404" t="s">
        <v>27</v>
      </c>
      <c r="N404" s="1">
        <v>18629</v>
      </c>
      <c r="O404">
        <v>0</v>
      </c>
      <c r="P404">
        <v>0</v>
      </c>
      <c r="Q404" t="s">
        <v>37</v>
      </c>
      <c r="R404" t="s">
        <v>71</v>
      </c>
      <c r="S404" t="s">
        <v>1474</v>
      </c>
      <c r="T404" t="s">
        <v>1475</v>
      </c>
    </row>
    <row r="405" spans="1:20" x14ac:dyDescent="0.25">
      <c r="A405" t="s">
        <v>1551</v>
      </c>
      <c r="B405" t="str">
        <f>"8884"</f>
        <v>8884</v>
      </c>
      <c r="C405" t="str">
        <f>"363088884"</f>
        <v>363088884</v>
      </c>
      <c r="D405" t="s">
        <v>1552</v>
      </c>
      <c r="E405" t="s">
        <v>430</v>
      </c>
      <c r="F405" t="s">
        <v>93</v>
      </c>
      <c r="G405" s="1">
        <v>31992</v>
      </c>
      <c r="H405" s="1">
        <v>41652</v>
      </c>
      <c r="I405" t="str">
        <f t="shared" si="2"/>
        <v>51</v>
      </c>
      <c r="J405" t="s">
        <v>471</v>
      </c>
      <c r="K405" t="s">
        <v>25</v>
      </c>
      <c r="L405" t="s">
        <v>26</v>
      </c>
      <c r="M405" t="s">
        <v>27</v>
      </c>
      <c r="N405" s="1">
        <v>18629</v>
      </c>
      <c r="O405">
        <v>0</v>
      </c>
      <c r="P405">
        <v>0</v>
      </c>
      <c r="Q405" t="s">
        <v>28</v>
      </c>
      <c r="R405" t="s">
        <v>29</v>
      </c>
      <c r="S405" t="s">
        <v>717</v>
      </c>
      <c r="T405" t="s">
        <v>718</v>
      </c>
    </row>
    <row r="406" spans="1:20" x14ac:dyDescent="0.25">
      <c r="A406" t="s">
        <v>1553</v>
      </c>
      <c r="B406" t="str">
        <f>"8333"</f>
        <v>8333</v>
      </c>
      <c r="C406" t="str">
        <f>"174708333"</f>
        <v>174708333</v>
      </c>
      <c r="D406" t="s">
        <v>1554</v>
      </c>
      <c r="E406" t="s">
        <v>988</v>
      </c>
      <c r="F406" t="s">
        <v>26</v>
      </c>
      <c r="G406" s="1">
        <v>30451</v>
      </c>
      <c r="H406" s="1">
        <v>41652</v>
      </c>
      <c r="I406" t="str">
        <f t="shared" si="2"/>
        <v>51</v>
      </c>
      <c r="J406" t="s">
        <v>471</v>
      </c>
      <c r="K406" t="s">
        <v>25</v>
      </c>
      <c r="L406" t="s">
        <v>26</v>
      </c>
      <c r="M406" t="s">
        <v>27</v>
      </c>
      <c r="N406" s="1">
        <v>18629</v>
      </c>
      <c r="O406">
        <v>0</v>
      </c>
      <c r="P406">
        <v>0</v>
      </c>
      <c r="Q406" t="s">
        <v>28</v>
      </c>
      <c r="R406" t="s">
        <v>29</v>
      </c>
      <c r="S406" t="s">
        <v>1555</v>
      </c>
      <c r="T406" t="s">
        <v>1556</v>
      </c>
    </row>
    <row r="407" spans="1:20" x14ac:dyDescent="0.25">
      <c r="A407" t="s">
        <v>1557</v>
      </c>
      <c r="B407" t="str">
        <f>"1676"</f>
        <v>1676</v>
      </c>
      <c r="C407" t="str">
        <f>"445191676"</f>
        <v>445191676</v>
      </c>
      <c r="D407" t="s">
        <v>1558</v>
      </c>
      <c r="E407" t="s">
        <v>1559</v>
      </c>
      <c r="G407" s="1">
        <v>25902</v>
      </c>
      <c r="H407" s="1">
        <v>41652</v>
      </c>
      <c r="I407" t="str">
        <f t="shared" si="2"/>
        <v>51</v>
      </c>
      <c r="J407" t="s">
        <v>471</v>
      </c>
      <c r="K407" t="s">
        <v>25</v>
      </c>
      <c r="L407" t="s">
        <v>26</v>
      </c>
      <c r="M407" t="s">
        <v>27</v>
      </c>
      <c r="N407" s="1">
        <v>18629</v>
      </c>
      <c r="O407">
        <v>0</v>
      </c>
      <c r="P407">
        <v>0</v>
      </c>
      <c r="Q407" t="s">
        <v>37</v>
      </c>
      <c r="R407" t="s">
        <v>71</v>
      </c>
      <c r="S407" t="s">
        <v>157</v>
      </c>
      <c r="T407" t="s">
        <v>158</v>
      </c>
    </row>
    <row r="408" spans="1:20" x14ac:dyDescent="0.25">
      <c r="A408" t="s">
        <v>1560</v>
      </c>
      <c r="B408" t="str">
        <f>"0956"</f>
        <v>0956</v>
      </c>
      <c r="C408" t="str">
        <f>"286960956"</f>
        <v>286960956</v>
      </c>
      <c r="D408" t="s">
        <v>1561</v>
      </c>
      <c r="E408" t="s">
        <v>1562</v>
      </c>
      <c r="F408" t="s">
        <v>1563</v>
      </c>
      <c r="G408" s="1">
        <v>34316</v>
      </c>
      <c r="H408" s="1">
        <v>41652</v>
      </c>
      <c r="I408" t="str">
        <f>"41"</f>
        <v>41</v>
      </c>
      <c r="J408" t="s">
        <v>24</v>
      </c>
      <c r="K408" t="s">
        <v>25</v>
      </c>
      <c r="L408" t="s">
        <v>26</v>
      </c>
      <c r="M408" t="s">
        <v>27</v>
      </c>
      <c r="N408" s="1">
        <v>18629</v>
      </c>
      <c r="O408">
        <v>0</v>
      </c>
      <c r="P408">
        <v>0</v>
      </c>
      <c r="Q408" t="s">
        <v>37</v>
      </c>
      <c r="R408" t="s">
        <v>258</v>
      </c>
      <c r="S408" t="s">
        <v>615</v>
      </c>
      <c r="T408" t="s">
        <v>616</v>
      </c>
    </row>
    <row r="409" spans="1:20" x14ac:dyDescent="0.25">
      <c r="A409" t="s">
        <v>1564</v>
      </c>
      <c r="B409" t="str">
        <f>"7458"</f>
        <v>7458</v>
      </c>
      <c r="C409" t="str">
        <f>"282807458"</f>
        <v>282807458</v>
      </c>
      <c r="D409" t="s">
        <v>1565</v>
      </c>
      <c r="E409" t="s">
        <v>682</v>
      </c>
      <c r="F409" t="s">
        <v>264</v>
      </c>
      <c r="G409" s="1">
        <v>25520</v>
      </c>
      <c r="H409" s="1">
        <v>41652</v>
      </c>
      <c r="I409" t="str">
        <f>"51"</f>
        <v>51</v>
      </c>
      <c r="J409" t="s">
        <v>471</v>
      </c>
      <c r="K409" t="s">
        <v>25</v>
      </c>
      <c r="L409" t="s">
        <v>26</v>
      </c>
      <c r="M409" t="s">
        <v>27</v>
      </c>
      <c r="N409" s="1">
        <v>18629</v>
      </c>
      <c r="O409">
        <v>0</v>
      </c>
      <c r="P409">
        <v>0</v>
      </c>
      <c r="Q409" t="s">
        <v>37</v>
      </c>
      <c r="R409" t="s">
        <v>71</v>
      </c>
      <c r="S409" t="s">
        <v>770</v>
      </c>
      <c r="T409" t="s">
        <v>771</v>
      </c>
    </row>
    <row r="410" spans="1:20" x14ac:dyDescent="0.25">
      <c r="A410" t="s">
        <v>1566</v>
      </c>
      <c r="B410" t="str">
        <f>"7272"</f>
        <v>7272</v>
      </c>
      <c r="C410" t="str">
        <f>"278847272"</f>
        <v>278847272</v>
      </c>
      <c r="D410" t="s">
        <v>1567</v>
      </c>
      <c r="E410" t="s">
        <v>1530</v>
      </c>
      <c r="F410" t="s">
        <v>93</v>
      </c>
      <c r="G410" s="1">
        <v>31391</v>
      </c>
      <c r="H410" s="1">
        <v>41652</v>
      </c>
      <c r="I410" t="str">
        <f>"51"</f>
        <v>51</v>
      </c>
      <c r="J410" t="s">
        <v>471</v>
      </c>
      <c r="K410" t="s">
        <v>25</v>
      </c>
      <c r="L410" t="s">
        <v>26</v>
      </c>
      <c r="M410" t="s">
        <v>27</v>
      </c>
      <c r="N410" s="1">
        <v>18629</v>
      </c>
      <c r="O410">
        <v>0</v>
      </c>
      <c r="P410">
        <v>0</v>
      </c>
      <c r="Q410" t="s">
        <v>37</v>
      </c>
      <c r="R410" t="s">
        <v>51</v>
      </c>
      <c r="S410" s="2" t="s">
        <v>1568</v>
      </c>
      <c r="T410" t="s">
        <v>1569</v>
      </c>
    </row>
    <row r="411" spans="1:20" x14ac:dyDescent="0.25">
      <c r="A411" t="s">
        <v>1570</v>
      </c>
      <c r="B411" t="str">
        <f>"6459"</f>
        <v>6459</v>
      </c>
      <c r="C411" t="str">
        <f>"301906459"</f>
        <v>301906459</v>
      </c>
      <c r="D411" t="s">
        <v>1571</v>
      </c>
      <c r="E411" t="s">
        <v>322</v>
      </c>
      <c r="G411" s="1">
        <v>31871</v>
      </c>
      <c r="H411" s="1">
        <v>41652</v>
      </c>
      <c r="I411" t="str">
        <f>"33"</f>
        <v>33</v>
      </c>
      <c r="J411" t="s">
        <v>45</v>
      </c>
      <c r="K411" t="s">
        <v>25</v>
      </c>
      <c r="L411" t="s">
        <v>26</v>
      </c>
      <c r="M411" t="s">
        <v>27</v>
      </c>
      <c r="N411" s="1">
        <v>18629</v>
      </c>
      <c r="O411">
        <v>0</v>
      </c>
      <c r="P411">
        <v>0</v>
      </c>
      <c r="Q411" t="s">
        <v>37</v>
      </c>
      <c r="R411" t="s">
        <v>29</v>
      </c>
      <c r="S411" t="s">
        <v>1572</v>
      </c>
      <c r="T411" t="s">
        <v>1573</v>
      </c>
    </row>
    <row r="412" spans="1:20" x14ac:dyDescent="0.25">
      <c r="A412" t="s">
        <v>1574</v>
      </c>
      <c r="B412" t="str">
        <f>"0862"</f>
        <v>0862</v>
      </c>
      <c r="C412" t="str">
        <f>"276400862"</f>
        <v>276400862</v>
      </c>
      <c r="D412" t="s">
        <v>1575</v>
      </c>
      <c r="E412" t="s">
        <v>1248</v>
      </c>
      <c r="F412" t="s">
        <v>345</v>
      </c>
      <c r="G412" s="1">
        <v>16895</v>
      </c>
      <c r="H412" s="1">
        <v>41652</v>
      </c>
      <c r="I412" t="str">
        <f t="shared" ref="I412:I418" si="3">"51"</f>
        <v>51</v>
      </c>
      <c r="J412" t="s">
        <v>471</v>
      </c>
      <c r="K412" t="s">
        <v>25</v>
      </c>
      <c r="L412" t="s">
        <v>26</v>
      </c>
      <c r="M412" t="s">
        <v>27</v>
      </c>
      <c r="N412" s="1">
        <v>18629</v>
      </c>
      <c r="O412">
        <v>0</v>
      </c>
      <c r="P412">
        <v>0</v>
      </c>
      <c r="Q412" t="s">
        <v>37</v>
      </c>
      <c r="R412" t="s">
        <v>29</v>
      </c>
      <c r="S412" t="s">
        <v>251</v>
      </c>
      <c r="T412" t="s">
        <v>252</v>
      </c>
    </row>
    <row r="413" spans="1:20" x14ac:dyDescent="0.25">
      <c r="A413" t="s">
        <v>1576</v>
      </c>
      <c r="B413" t="str">
        <f>"8851"</f>
        <v>8851</v>
      </c>
      <c r="C413" t="str">
        <f>"293708851"</f>
        <v>293708851</v>
      </c>
      <c r="D413" t="s">
        <v>1577</v>
      </c>
      <c r="E413" t="s">
        <v>782</v>
      </c>
      <c r="F413" t="s">
        <v>264</v>
      </c>
      <c r="G413" s="1">
        <v>22513</v>
      </c>
      <c r="H413" s="1">
        <v>41652</v>
      </c>
      <c r="I413" t="str">
        <f t="shared" si="3"/>
        <v>51</v>
      </c>
      <c r="J413" t="s">
        <v>471</v>
      </c>
      <c r="K413" t="s">
        <v>25</v>
      </c>
      <c r="L413" t="s">
        <v>26</v>
      </c>
      <c r="M413" t="s">
        <v>27</v>
      </c>
      <c r="N413" s="1">
        <v>18629</v>
      </c>
      <c r="O413">
        <v>0</v>
      </c>
      <c r="P413">
        <v>0</v>
      </c>
      <c r="Q413" t="s">
        <v>37</v>
      </c>
      <c r="R413" t="s">
        <v>29</v>
      </c>
      <c r="S413" t="s">
        <v>138</v>
      </c>
      <c r="T413" t="s">
        <v>139</v>
      </c>
    </row>
    <row r="414" spans="1:20" x14ac:dyDescent="0.25">
      <c r="A414" t="s">
        <v>1578</v>
      </c>
      <c r="B414" t="str">
        <f>"4926"</f>
        <v>4926</v>
      </c>
      <c r="C414" t="str">
        <f>"576494926"</f>
        <v>576494926</v>
      </c>
      <c r="D414" t="s">
        <v>470</v>
      </c>
      <c r="E414" t="s">
        <v>1579</v>
      </c>
      <c r="G414" s="1">
        <v>31855</v>
      </c>
      <c r="H414" s="1">
        <v>41652</v>
      </c>
      <c r="I414" t="str">
        <f t="shared" si="3"/>
        <v>51</v>
      </c>
      <c r="J414" t="s">
        <v>471</v>
      </c>
      <c r="K414" t="s">
        <v>25</v>
      </c>
      <c r="L414" t="s">
        <v>26</v>
      </c>
      <c r="M414" t="s">
        <v>27</v>
      </c>
      <c r="N414" s="1">
        <v>18629</v>
      </c>
      <c r="O414">
        <v>0</v>
      </c>
      <c r="P414">
        <v>0</v>
      </c>
      <c r="Q414" t="s">
        <v>37</v>
      </c>
      <c r="R414" t="s">
        <v>71</v>
      </c>
      <c r="S414" t="s">
        <v>1474</v>
      </c>
      <c r="T414" t="s">
        <v>1475</v>
      </c>
    </row>
    <row r="415" spans="1:20" x14ac:dyDescent="0.25">
      <c r="A415" t="s">
        <v>1580</v>
      </c>
      <c r="B415" t="str">
        <f>"5354"</f>
        <v>5354</v>
      </c>
      <c r="C415" t="str">
        <f>"302865354"</f>
        <v>302865354</v>
      </c>
      <c r="D415" t="s">
        <v>1581</v>
      </c>
      <c r="E415" t="s">
        <v>588</v>
      </c>
      <c r="F415" t="s">
        <v>93</v>
      </c>
      <c r="G415" s="1">
        <v>31319</v>
      </c>
      <c r="H415" s="1">
        <v>41652</v>
      </c>
      <c r="I415" t="str">
        <f t="shared" si="3"/>
        <v>51</v>
      </c>
      <c r="J415" t="s">
        <v>471</v>
      </c>
      <c r="K415" t="s">
        <v>25</v>
      </c>
      <c r="L415" t="s">
        <v>26</v>
      </c>
      <c r="M415" t="s">
        <v>27</v>
      </c>
      <c r="N415" s="1">
        <v>18629</v>
      </c>
      <c r="O415">
        <v>0</v>
      </c>
      <c r="P415">
        <v>0</v>
      </c>
      <c r="Q415" t="s">
        <v>28</v>
      </c>
      <c r="R415" t="s">
        <v>71</v>
      </c>
      <c r="S415" t="s">
        <v>180</v>
      </c>
      <c r="T415" t="s">
        <v>181</v>
      </c>
    </row>
    <row r="416" spans="1:20" x14ac:dyDescent="0.25">
      <c r="A416" t="s">
        <v>1582</v>
      </c>
      <c r="B416" t="str">
        <f>"1169"</f>
        <v>1169</v>
      </c>
      <c r="C416" t="str">
        <f>"302881169"</f>
        <v>302881169</v>
      </c>
      <c r="D416" t="s">
        <v>1583</v>
      </c>
      <c r="E416" t="s">
        <v>1584</v>
      </c>
      <c r="F416" t="s">
        <v>97</v>
      </c>
      <c r="G416" s="1">
        <v>29626</v>
      </c>
      <c r="H416" s="1">
        <v>41652</v>
      </c>
      <c r="I416" t="str">
        <f t="shared" si="3"/>
        <v>51</v>
      </c>
      <c r="J416" t="s">
        <v>471</v>
      </c>
      <c r="K416" t="s">
        <v>25</v>
      </c>
      <c r="L416" t="s">
        <v>26</v>
      </c>
      <c r="M416" t="s">
        <v>27</v>
      </c>
      <c r="N416" s="1">
        <v>18629</v>
      </c>
      <c r="O416">
        <v>0</v>
      </c>
      <c r="P416">
        <v>0</v>
      </c>
      <c r="Q416" t="s">
        <v>28</v>
      </c>
      <c r="R416" t="s">
        <v>71</v>
      </c>
      <c r="S416" t="s">
        <v>1585</v>
      </c>
      <c r="T416" t="s">
        <v>1586</v>
      </c>
    </row>
    <row r="417" spans="1:20" x14ac:dyDescent="0.25">
      <c r="A417" t="s">
        <v>1587</v>
      </c>
      <c r="B417" t="str">
        <f>"6474"</f>
        <v>6474</v>
      </c>
      <c r="C417" t="str">
        <f>"289386474"</f>
        <v>289386474</v>
      </c>
      <c r="D417" t="s">
        <v>1588</v>
      </c>
      <c r="E417" t="s">
        <v>1589</v>
      </c>
      <c r="F417" t="s">
        <v>69</v>
      </c>
      <c r="G417" s="1">
        <v>15186</v>
      </c>
      <c r="H417" s="1">
        <v>41652</v>
      </c>
      <c r="I417" t="str">
        <f t="shared" si="3"/>
        <v>51</v>
      </c>
      <c r="J417" t="s">
        <v>471</v>
      </c>
      <c r="K417" t="s">
        <v>25</v>
      </c>
      <c r="L417" t="s">
        <v>26</v>
      </c>
      <c r="M417" t="s">
        <v>27</v>
      </c>
      <c r="N417" s="1">
        <v>18629</v>
      </c>
      <c r="O417">
        <v>0</v>
      </c>
      <c r="P417">
        <v>0</v>
      </c>
      <c r="Q417" t="s">
        <v>37</v>
      </c>
      <c r="R417" t="s">
        <v>100</v>
      </c>
      <c r="S417" t="s">
        <v>1526</v>
      </c>
      <c r="T417" t="s">
        <v>1527</v>
      </c>
    </row>
    <row r="418" spans="1:20" x14ac:dyDescent="0.25">
      <c r="A418" t="s">
        <v>1590</v>
      </c>
      <c r="B418" t="str">
        <f>"7001"</f>
        <v>7001</v>
      </c>
      <c r="C418" t="str">
        <f>"293907001"</f>
        <v>293907001</v>
      </c>
      <c r="D418" t="s">
        <v>1591</v>
      </c>
      <c r="E418" t="s">
        <v>1592</v>
      </c>
      <c r="F418" t="s">
        <v>190</v>
      </c>
      <c r="G418" s="1">
        <v>32779</v>
      </c>
      <c r="H418" s="1">
        <v>41652</v>
      </c>
      <c r="I418" t="str">
        <f t="shared" si="3"/>
        <v>51</v>
      </c>
      <c r="J418" t="s">
        <v>471</v>
      </c>
      <c r="K418" t="s">
        <v>25</v>
      </c>
      <c r="L418" t="s">
        <v>26</v>
      </c>
      <c r="M418" t="s">
        <v>27</v>
      </c>
      <c r="N418" s="1">
        <v>18629</v>
      </c>
      <c r="O418">
        <v>0</v>
      </c>
      <c r="P418">
        <v>0</v>
      </c>
      <c r="Q418" t="s">
        <v>37</v>
      </c>
      <c r="R418" t="s">
        <v>29</v>
      </c>
      <c r="S418" t="s">
        <v>717</v>
      </c>
      <c r="T418" t="s">
        <v>718</v>
      </c>
    </row>
    <row r="419" spans="1:20" x14ac:dyDescent="0.25">
      <c r="A419" t="s">
        <v>1593</v>
      </c>
      <c r="B419" t="str">
        <f>"7467"</f>
        <v>7467</v>
      </c>
      <c r="C419" t="str">
        <f>"296727467"</f>
        <v>296727467</v>
      </c>
      <c r="D419" t="s">
        <v>1594</v>
      </c>
      <c r="E419" t="s">
        <v>1595</v>
      </c>
      <c r="F419" t="s">
        <v>264</v>
      </c>
      <c r="G419" s="1">
        <v>23392</v>
      </c>
      <c r="H419" s="1">
        <v>41652</v>
      </c>
      <c r="I419" t="str">
        <f>"03"</f>
        <v>03</v>
      </c>
      <c r="J419" t="s">
        <v>70</v>
      </c>
      <c r="K419" t="s">
        <v>98</v>
      </c>
      <c r="L419" t="s">
        <v>37</v>
      </c>
      <c r="M419" t="s">
        <v>99</v>
      </c>
      <c r="N419" s="1">
        <v>41617</v>
      </c>
      <c r="O419">
        <v>14801.8</v>
      </c>
      <c r="P419">
        <v>3700.32</v>
      </c>
      <c r="Q419" t="s">
        <v>37</v>
      </c>
      <c r="R419" t="s">
        <v>110</v>
      </c>
      <c r="S419" t="s">
        <v>635</v>
      </c>
      <c r="T419" t="s">
        <v>636</v>
      </c>
    </row>
    <row r="420" spans="1:20" x14ac:dyDescent="0.25">
      <c r="A420" t="s">
        <v>1596</v>
      </c>
      <c r="B420" t="str">
        <f>"1676"</f>
        <v>1676</v>
      </c>
      <c r="C420" t="str">
        <f>"193441676"</f>
        <v>193441676</v>
      </c>
      <c r="D420" t="s">
        <v>1597</v>
      </c>
      <c r="E420" t="s">
        <v>959</v>
      </c>
      <c r="F420" t="s">
        <v>44</v>
      </c>
      <c r="G420" s="1">
        <v>18933</v>
      </c>
      <c r="H420" s="1">
        <v>41652</v>
      </c>
      <c r="I420" t="str">
        <f t="shared" ref="I420:I437" si="4">"51"</f>
        <v>51</v>
      </c>
      <c r="J420" t="s">
        <v>471</v>
      </c>
      <c r="K420" t="s">
        <v>25</v>
      </c>
      <c r="L420" t="s">
        <v>26</v>
      </c>
      <c r="M420" t="s">
        <v>27</v>
      </c>
      <c r="N420" s="1">
        <v>18629</v>
      </c>
      <c r="O420">
        <v>0</v>
      </c>
      <c r="P420">
        <v>0</v>
      </c>
      <c r="Q420" t="s">
        <v>28</v>
      </c>
      <c r="R420" t="s">
        <v>51</v>
      </c>
      <c r="S420" s="2" t="s">
        <v>1538</v>
      </c>
      <c r="T420" t="s">
        <v>1539</v>
      </c>
    </row>
    <row r="421" spans="1:20" x14ac:dyDescent="0.25">
      <c r="A421" t="s">
        <v>1598</v>
      </c>
      <c r="B421" t="str">
        <f>"1134"</f>
        <v>1134</v>
      </c>
      <c r="C421" t="str">
        <f>"291901134"</f>
        <v>291901134</v>
      </c>
      <c r="D421" t="s">
        <v>1599</v>
      </c>
      <c r="E421" t="s">
        <v>1600</v>
      </c>
      <c r="F421" t="s">
        <v>358</v>
      </c>
      <c r="G421" s="1">
        <v>31849</v>
      </c>
      <c r="H421" s="1">
        <v>41652</v>
      </c>
      <c r="I421" t="str">
        <f t="shared" si="4"/>
        <v>51</v>
      </c>
      <c r="J421" t="s">
        <v>471</v>
      </c>
      <c r="K421" t="s">
        <v>25</v>
      </c>
      <c r="L421" t="s">
        <v>26</v>
      </c>
      <c r="M421" t="s">
        <v>27</v>
      </c>
      <c r="N421" s="1">
        <v>18629</v>
      </c>
      <c r="O421">
        <v>0</v>
      </c>
      <c r="P421">
        <v>0</v>
      </c>
      <c r="Q421" t="s">
        <v>37</v>
      </c>
      <c r="R421" t="s">
        <v>71</v>
      </c>
      <c r="S421" t="s">
        <v>1474</v>
      </c>
      <c r="T421" t="s">
        <v>1475</v>
      </c>
    </row>
    <row r="422" spans="1:20" x14ac:dyDescent="0.25">
      <c r="A422" t="s">
        <v>1601</v>
      </c>
      <c r="B422" t="str">
        <f>"7033"</f>
        <v>7033</v>
      </c>
      <c r="C422" t="str">
        <f>"570937033"</f>
        <v>570937033</v>
      </c>
      <c r="D422" t="s">
        <v>445</v>
      </c>
      <c r="E422" t="s">
        <v>1602</v>
      </c>
      <c r="F422" t="s">
        <v>1603</v>
      </c>
      <c r="G422" s="1">
        <v>28968</v>
      </c>
      <c r="H422" s="1">
        <v>41652</v>
      </c>
      <c r="I422" t="str">
        <f t="shared" si="4"/>
        <v>51</v>
      </c>
      <c r="J422" t="s">
        <v>471</v>
      </c>
      <c r="K422" t="s">
        <v>25</v>
      </c>
      <c r="L422" t="s">
        <v>26</v>
      </c>
      <c r="M422" t="s">
        <v>27</v>
      </c>
      <c r="N422" s="1">
        <v>18629</v>
      </c>
      <c r="O422">
        <v>0</v>
      </c>
      <c r="P422">
        <v>0</v>
      </c>
      <c r="Q422" t="s">
        <v>37</v>
      </c>
      <c r="R422" t="s">
        <v>29</v>
      </c>
      <c r="S422" t="s">
        <v>138</v>
      </c>
      <c r="T422" t="s">
        <v>139</v>
      </c>
    </row>
    <row r="423" spans="1:20" x14ac:dyDescent="0.25">
      <c r="A423" t="s">
        <v>1604</v>
      </c>
      <c r="B423" t="str">
        <f>"6710"</f>
        <v>6710</v>
      </c>
      <c r="C423" t="str">
        <f>"274666710"</f>
        <v>274666710</v>
      </c>
      <c r="D423" t="s">
        <v>1045</v>
      </c>
      <c r="E423" t="s">
        <v>1468</v>
      </c>
      <c r="F423" t="s">
        <v>28</v>
      </c>
      <c r="G423" s="1">
        <v>22141</v>
      </c>
      <c r="H423" s="1">
        <v>41652</v>
      </c>
      <c r="I423" t="str">
        <f t="shared" si="4"/>
        <v>51</v>
      </c>
      <c r="J423" t="s">
        <v>471</v>
      </c>
      <c r="K423" t="s">
        <v>25</v>
      </c>
      <c r="L423" t="s">
        <v>26</v>
      </c>
      <c r="M423" t="s">
        <v>27</v>
      </c>
      <c r="N423" s="1">
        <v>18629</v>
      </c>
      <c r="O423">
        <v>0</v>
      </c>
      <c r="P423">
        <v>0</v>
      </c>
      <c r="Q423" t="s">
        <v>37</v>
      </c>
      <c r="R423" t="s">
        <v>29</v>
      </c>
      <c r="S423" t="s">
        <v>1605</v>
      </c>
      <c r="T423" t="s">
        <v>1606</v>
      </c>
    </row>
    <row r="424" spans="1:20" x14ac:dyDescent="0.25">
      <c r="A424" t="s">
        <v>1607</v>
      </c>
      <c r="B424" t="str">
        <f>"6576"</f>
        <v>6576</v>
      </c>
      <c r="C424" t="str">
        <f>"066566576"</f>
        <v>066566576</v>
      </c>
      <c r="D424" t="s">
        <v>1608</v>
      </c>
      <c r="E424" t="s">
        <v>1609</v>
      </c>
      <c r="F424" t="s">
        <v>97</v>
      </c>
      <c r="G424" s="1">
        <v>27367</v>
      </c>
      <c r="H424" s="1">
        <v>41652</v>
      </c>
      <c r="I424" t="str">
        <f t="shared" si="4"/>
        <v>51</v>
      </c>
      <c r="J424" t="s">
        <v>471</v>
      </c>
      <c r="K424" t="s">
        <v>25</v>
      </c>
      <c r="L424" t="s">
        <v>26</v>
      </c>
      <c r="M424" t="s">
        <v>27</v>
      </c>
      <c r="N424" s="1">
        <v>18629</v>
      </c>
      <c r="O424">
        <v>0</v>
      </c>
      <c r="P424">
        <v>0</v>
      </c>
      <c r="Q424" t="s">
        <v>28</v>
      </c>
      <c r="R424" t="s">
        <v>71</v>
      </c>
      <c r="S424" t="s">
        <v>1610</v>
      </c>
      <c r="T424" t="s">
        <v>1611</v>
      </c>
    </row>
    <row r="425" spans="1:20" x14ac:dyDescent="0.25">
      <c r="A425" t="s">
        <v>1612</v>
      </c>
      <c r="B425" t="str">
        <f>"1674"</f>
        <v>1674</v>
      </c>
      <c r="C425" t="str">
        <f>"027661674"</f>
        <v>027661674</v>
      </c>
      <c r="D425" t="s">
        <v>1613</v>
      </c>
      <c r="E425" t="s">
        <v>905</v>
      </c>
      <c r="F425" t="s">
        <v>44</v>
      </c>
      <c r="G425" s="1">
        <v>31412</v>
      </c>
      <c r="H425" s="1">
        <v>41652</v>
      </c>
      <c r="I425" t="str">
        <f t="shared" si="4"/>
        <v>51</v>
      </c>
      <c r="J425" t="s">
        <v>471</v>
      </c>
      <c r="K425" t="s">
        <v>25</v>
      </c>
      <c r="L425" t="s">
        <v>26</v>
      </c>
      <c r="M425" t="s">
        <v>27</v>
      </c>
      <c r="N425" s="1">
        <v>18629</v>
      </c>
      <c r="O425">
        <v>0</v>
      </c>
      <c r="P425">
        <v>0</v>
      </c>
      <c r="Q425" t="s">
        <v>37</v>
      </c>
      <c r="R425" t="s">
        <v>71</v>
      </c>
      <c r="S425" t="s">
        <v>790</v>
      </c>
      <c r="T425" t="s">
        <v>791</v>
      </c>
    </row>
    <row r="426" spans="1:20" x14ac:dyDescent="0.25">
      <c r="A426" t="s">
        <v>1614</v>
      </c>
      <c r="B426" t="str">
        <f>"1771"</f>
        <v>1771</v>
      </c>
      <c r="C426" t="str">
        <f>"271681771"</f>
        <v>271681771</v>
      </c>
      <c r="D426" t="s">
        <v>1615</v>
      </c>
      <c r="E426" t="s">
        <v>1616</v>
      </c>
      <c r="F426" t="s">
        <v>28</v>
      </c>
      <c r="G426" s="1">
        <v>22643</v>
      </c>
      <c r="H426" s="1">
        <v>41652</v>
      </c>
      <c r="I426" t="str">
        <f t="shared" si="4"/>
        <v>51</v>
      </c>
      <c r="J426" t="s">
        <v>471</v>
      </c>
      <c r="K426" t="s">
        <v>25</v>
      </c>
      <c r="L426" t="s">
        <v>26</v>
      </c>
      <c r="M426" t="s">
        <v>27</v>
      </c>
      <c r="N426" s="1">
        <v>18629</v>
      </c>
      <c r="O426">
        <v>0</v>
      </c>
      <c r="P426">
        <v>0</v>
      </c>
      <c r="Q426" t="s">
        <v>37</v>
      </c>
      <c r="R426" t="s">
        <v>29</v>
      </c>
      <c r="S426" t="s">
        <v>251</v>
      </c>
      <c r="T426" t="s">
        <v>252</v>
      </c>
    </row>
    <row r="427" spans="1:20" x14ac:dyDescent="0.25">
      <c r="A427" t="s">
        <v>1617</v>
      </c>
      <c r="B427" t="str">
        <f>"1778"</f>
        <v>1778</v>
      </c>
      <c r="C427" t="str">
        <f>"295661778"</f>
        <v>295661778</v>
      </c>
      <c r="D427" t="s">
        <v>1618</v>
      </c>
      <c r="E427" t="s">
        <v>609</v>
      </c>
      <c r="F427" t="s">
        <v>304</v>
      </c>
      <c r="G427" s="1">
        <v>27317</v>
      </c>
      <c r="H427" s="1">
        <v>41652</v>
      </c>
      <c r="I427" t="str">
        <f t="shared" si="4"/>
        <v>51</v>
      </c>
      <c r="J427" t="s">
        <v>471</v>
      </c>
      <c r="K427" t="s">
        <v>25</v>
      </c>
      <c r="L427" t="s">
        <v>26</v>
      </c>
      <c r="M427" t="s">
        <v>27</v>
      </c>
      <c r="N427" s="1">
        <v>18629</v>
      </c>
      <c r="O427">
        <v>0</v>
      </c>
      <c r="P427">
        <v>0</v>
      </c>
      <c r="Q427" t="s">
        <v>28</v>
      </c>
      <c r="R427" t="s">
        <v>29</v>
      </c>
      <c r="S427" t="s">
        <v>1494</v>
      </c>
      <c r="T427" t="s">
        <v>1495</v>
      </c>
    </row>
    <row r="428" spans="1:20" x14ac:dyDescent="0.25">
      <c r="A428" t="s">
        <v>1619</v>
      </c>
      <c r="B428" t="str">
        <f>"5814"</f>
        <v>5814</v>
      </c>
      <c r="C428" t="str">
        <f>"302685814"</f>
        <v>302685814</v>
      </c>
      <c r="D428" t="s">
        <v>1620</v>
      </c>
      <c r="E428" t="s">
        <v>721</v>
      </c>
      <c r="F428" t="s">
        <v>28</v>
      </c>
      <c r="G428" s="1">
        <v>27737</v>
      </c>
      <c r="H428" s="1">
        <v>41652</v>
      </c>
      <c r="I428" t="str">
        <f t="shared" si="4"/>
        <v>51</v>
      </c>
      <c r="J428" t="s">
        <v>471</v>
      </c>
      <c r="K428" t="s">
        <v>25</v>
      </c>
      <c r="L428" t="s">
        <v>26</v>
      </c>
      <c r="M428" t="s">
        <v>27</v>
      </c>
      <c r="N428" s="1">
        <v>18629</v>
      </c>
      <c r="O428">
        <v>0</v>
      </c>
      <c r="P428">
        <v>0</v>
      </c>
      <c r="Q428" t="s">
        <v>28</v>
      </c>
      <c r="R428" t="s">
        <v>71</v>
      </c>
      <c r="S428" t="s">
        <v>180</v>
      </c>
      <c r="T428" t="s">
        <v>181</v>
      </c>
    </row>
    <row r="429" spans="1:20" x14ac:dyDescent="0.25">
      <c r="A429" t="s">
        <v>1621</v>
      </c>
      <c r="B429" t="str">
        <f>"4090"</f>
        <v>4090</v>
      </c>
      <c r="C429" t="str">
        <f>"078784090"</f>
        <v>078784090</v>
      </c>
      <c r="D429" t="s">
        <v>1622</v>
      </c>
      <c r="E429" t="s">
        <v>184</v>
      </c>
      <c r="F429" t="s">
        <v>165</v>
      </c>
      <c r="G429" s="1">
        <v>32391</v>
      </c>
      <c r="H429" s="1">
        <v>41652</v>
      </c>
      <c r="I429" t="str">
        <f t="shared" si="4"/>
        <v>51</v>
      </c>
      <c r="J429" t="s">
        <v>471</v>
      </c>
      <c r="K429" t="s">
        <v>25</v>
      </c>
      <c r="L429" t="s">
        <v>26</v>
      </c>
      <c r="M429" t="s">
        <v>27</v>
      </c>
      <c r="N429" s="1">
        <v>18629</v>
      </c>
      <c r="O429">
        <v>0</v>
      </c>
      <c r="P429">
        <v>0</v>
      </c>
      <c r="Q429" t="s">
        <v>37</v>
      </c>
      <c r="R429" t="s">
        <v>71</v>
      </c>
      <c r="S429" t="s">
        <v>790</v>
      </c>
      <c r="T429" t="s">
        <v>791</v>
      </c>
    </row>
    <row r="430" spans="1:20" x14ac:dyDescent="0.25">
      <c r="A430" t="s">
        <v>1623</v>
      </c>
      <c r="B430" t="str">
        <f>"2106"</f>
        <v>2106</v>
      </c>
      <c r="C430" t="str">
        <f>"281642106"</f>
        <v>281642106</v>
      </c>
      <c r="D430" t="s">
        <v>1624</v>
      </c>
      <c r="E430" t="s">
        <v>48</v>
      </c>
      <c r="F430" t="s">
        <v>239</v>
      </c>
      <c r="G430" s="1">
        <v>24508</v>
      </c>
      <c r="H430" s="1">
        <v>41652</v>
      </c>
      <c r="I430" t="str">
        <f t="shared" si="4"/>
        <v>51</v>
      </c>
      <c r="J430" t="s">
        <v>471</v>
      </c>
      <c r="K430" t="s">
        <v>25</v>
      </c>
      <c r="L430" t="s">
        <v>26</v>
      </c>
      <c r="M430" t="s">
        <v>27</v>
      </c>
      <c r="N430" s="1">
        <v>18629</v>
      </c>
      <c r="O430">
        <v>0</v>
      </c>
      <c r="P430">
        <v>0</v>
      </c>
      <c r="Q430" t="s">
        <v>37</v>
      </c>
      <c r="R430" t="s">
        <v>29</v>
      </c>
      <c r="S430" t="s">
        <v>1422</v>
      </c>
      <c r="T430" t="s">
        <v>1423</v>
      </c>
    </row>
    <row r="431" spans="1:20" x14ac:dyDescent="0.25">
      <c r="A431" t="s">
        <v>1625</v>
      </c>
      <c r="B431" t="str">
        <f>"5012"</f>
        <v>5012</v>
      </c>
      <c r="C431" t="str">
        <f>"431595012"</f>
        <v>431595012</v>
      </c>
      <c r="D431" t="s">
        <v>1626</v>
      </c>
      <c r="E431" t="s">
        <v>1627</v>
      </c>
      <c r="G431" s="1">
        <v>20487</v>
      </c>
      <c r="H431" s="1">
        <v>41652</v>
      </c>
      <c r="I431" t="str">
        <f t="shared" si="4"/>
        <v>51</v>
      </c>
      <c r="J431" t="s">
        <v>471</v>
      </c>
      <c r="K431" t="s">
        <v>25</v>
      </c>
      <c r="L431" t="s">
        <v>26</v>
      </c>
      <c r="M431" t="s">
        <v>27</v>
      </c>
      <c r="N431" s="1">
        <v>18629</v>
      </c>
      <c r="O431">
        <v>0</v>
      </c>
      <c r="P431">
        <v>0</v>
      </c>
      <c r="Q431" t="s">
        <v>28</v>
      </c>
      <c r="R431" t="s">
        <v>71</v>
      </c>
      <c r="S431" t="s">
        <v>610</v>
      </c>
      <c r="T431" t="s">
        <v>611</v>
      </c>
    </row>
    <row r="432" spans="1:20" x14ac:dyDescent="0.25">
      <c r="A432" t="s">
        <v>1628</v>
      </c>
      <c r="B432" t="str">
        <f>"8893"</f>
        <v>8893</v>
      </c>
      <c r="C432" t="str">
        <f>"210608893"</f>
        <v>210608893</v>
      </c>
      <c r="D432" t="s">
        <v>1629</v>
      </c>
      <c r="E432" t="s">
        <v>179</v>
      </c>
      <c r="F432" t="s">
        <v>44</v>
      </c>
      <c r="G432" s="1">
        <v>28389</v>
      </c>
      <c r="H432" s="1">
        <v>41652</v>
      </c>
      <c r="I432" t="str">
        <f t="shared" si="4"/>
        <v>51</v>
      </c>
      <c r="J432" t="s">
        <v>471</v>
      </c>
      <c r="K432" t="s">
        <v>25</v>
      </c>
      <c r="L432" t="s">
        <v>26</v>
      </c>
      <c r="M432" t="s">
        <v>27</v>
      </c>
      <c r="N432" s="1">
        <v>18629</v>
      </c>
      <c r="O432">
        <v>0</v>
      </c>
      <c r="P432">
        <v>0</v>
      </c>
      <c r="Q432" t="s">
        <v>28</v>
      </c>
      <c r="R432" t="s">
        <v>71</v>
      </c>
      <c r="S432" t="s">
        <v>1547</v>
      </c>
      <c r="T432" t="s">
        <v>1548</v>
      </c>
    </row>
    <row r="433" spans="1:20" x14ac:dyDescent="0.25">
      <c r="A433" t="s">
        <v>1630</v>
      </c>
      <c r="B433" t="str">
        <f>"5885"</f>
        <v>5885</v>
      </c>
      <c r="C433" t="str">
        <f>"583955885"</f>
        <v>583955885</v>
      </c>
      <c r="D433" t="s">
        <v>1631</v>
      </c>
      <c r="E433" t="s">
        <v>531</v>
      </c>
      <c r="G433" s="1">
        <v>30350</v>
      </c>
      <c r="H433" s="1">
        <v>41652</v>
      </c>
      <c r="I433" t="str">
        <f t="shared" si="4"/>
        <v>51</v>
      </c>
      <c r="J433" t="s">
        <v>471</v>
      </c>
      <c r="K433" t="s">
        <v>25</v>
      </c>
      <c r="L433" t="s">
        <v>26</v>
      </c>
      <c r="M433" t="s">
        <v>27</v>
      </c>
      <c r="N433" s="1">
        <v>18629</v>
      </c>
      <c r="O433">
        <v>0</v>
      </c>
      <c r="P433">
        <v>0</v>
      </c>
      <c r="Q433" t="s">
        <v>28</v>
      </c>
      <c r="R433" t="s">
        <v>100</v>
      </c>
      <c r="S433" t="s">
        <v>1526</v>
      </c>
      <c r="T433" t="s">
        <v>1527</v>
      </c>
    </row>
    <row r="434" spans="1:20" x14ac:dyDescent="0.25">
      <c r="A434" t="s">
        <v>1632</v>
      </c>
      <c r="B434" t="str">
        <f>"0491"</f>
        <v>0491</v>
      </c>
      <c r="C434" t="str">
        <f>"272540491"</f>
        <v>272540491</v>
      </c>
      <c r="D434" t="s">
        <v>462</v>
      </c>
      <c r="E434" t="s">
        <v>1633</v>
      </c>
      <c r="F434" t="s">
        <v>264</v>
      </c>
      <c r="G434" s="1">
        <v>19819</v>
      </c>
      <c r="H434" s="1">
        <v>41652</v>
      </c>
      <c r="I434" t="str">
        <f t="shared" si="4"/>
        <v>51</v>
      </c>
      <c r="J434" t="s">
        <v>471</v>
      </c>
      <c r="K434" t="s">
        <v>25</v>
      </c>
      <c r="L434" t="s">
        <v>26</v>
      </c>
      <c r="M434" t="s">
        <v>27</v>
      </c>
      <c r="N434" s="1">
        <v>18629</v>
      </c>
      <c r="O434">
        <v>0</v>
      </c>
      <c r="P434">
        <v>0</v>
      </c>
      <c r="Q434" t="s">
        <v>37</v>
      </c>
      <c r="R434" t="s">
        <v>29</v>
      </c>
      <c r="S434" t="s">
        <v>138</v>
      </c>
      <c r="T434" t="s">
        <v>139</v>
      </c>
    </row>
    <row r="435" spans="1:20" x14ac:dyDescent="0.25">
      <c r="A435" t="s">
        <v>1634</v>
      </c>
      <c r="B435" t="str">
        <f>"5802"</f>
        <v>5802</v>
      </c>
      <c r="C435" t="str">
        <f>"294845802"</f>
        <v>294845802</v>
      </c>
      <c r="D435" t="s">
        <v>1635</v>
      </c>
      <c r="E435" t="s">
        <v>1636</v>
      </c>
      <c r="F435" t="s">
        <v>629</v>
      </c>
      <c r="G435" s="1">
        <v>30062</v>
      </c>
      <c r="H435" s="1">
        <v>41652</v>
      </c>
      <c r="I435" t="str">
        <f t="shared" si="4"/>
        <v>51</v>
      </c>
      <c r="J435" t="s">
        <v>471</v>
      </c>
      <c r="K435" t="s">
        <v>25</v>
      </c>
      <c r="L435" t="s">
        <v>26</v>
      </c>
      <c r="M435" t="s">
        <v>27</v>
      </c>
      <c r="N435" s="1">
        <v>18629</v>
      </c>
      <c r="O435">
        <v>0</v>
      </c>
      <c r="P435">
        <v>0</v>
      </c>
      <c r="Q435" t="s">
        <v>37</v>
      </c>
      <c r="R435" t="s">
        <v>29</v>
      </c>
      <c r="S435" t="s">
        <v>717</v>
      </c>
      <c r="T435" t="s">
        <v>718</v>
      </c>
    </row>
    <row r="436" spans="1:20" x14ac:dyDescent="0.25">
      <c r="A436" t="s">
        <v>1637</v>
      </c>
      <c r="B436" t="str">
        <f>"9664"</f>
        <v>9664</v>
      </c>
      <c r="C436" t="str">
        <f>"292629664"</f>
        <v>292629664</v>
      </c>
      <c r="D436" t="s">
        <v>1638</v>
      </c>
      <c r="E436" t="s">
        <v>1639</v>
      </c>
      <c r="F436" t="s">
        <v>37</v>
      </c>
      <c r="G436" s="1">
        <v>23195</v>
      </c>
      <c r="H436" s="1">
        <v>41652</v>
      </c>
      <c r="I436" t="str">
        <f t="shared" si="4"/>
        <v>51</v>
      </c>
      <c r="J436" t="s">
        <v>471</v>
      </c>
      <c r="K436" t="s">
        <v>25</v>
      </c>
      <c r="L436" t="s">
        <v>26</v>
      </c>
      <c r="M436" t="s">
        <v>27</v>
      </c>
      <c r="N436" s="1">
        <v>18629</v>
      </c>
      <c r="O436">
        <v>0</v>
      </c>
      <c r="P436">
        <v>0</v>
      </c>
      <c r="Q436" t="s">
        <v>28</v>
      </c>
      <c r="R436" t="s">
        <v>29</v>
      </c>
      <c r="S436" t="s">
        <v>1640</v>
      </c>
      <c r="T436" t="s">
        <v>983</v>
      </c>
    </row>
    <row r="437" spans="1:20" x14ac:dyDescent="0.25">
      <c r="A437" t="s">
        <v>1641</v>
      </c>
      <c r="B437" t="str">
        <f>"2406"</f>
        <v>2406</v>
      </c>
      <c r="C437" t="str">
        <f>"295702406"</f>
        <v>295702406</v>
      </c>
      <c r="D437" t="s">
        <v>1642</v>
      </c>
      <c r="E437" t="s">
        <v>609</v>
      </c>
      <c r="F437" t="s">
        <v>219</v>
      </c>
      <c r="G437" s="1">
        <v>26392</v>
      </c>
      <c r="H437" s="1">
        <v>41652</v>
      </c>
      <c r="I437" t="str">
        <f t="shared" si="4"/>
        <v>51</v>
      </c>
      <c r="J437" t="s">
        <v>471</v>
      </c>
      <c r="K437" t="s">
        <v>25</v>
      </c>
      <c r="L437" t="s">
        <v>26</v>
      </c>
      <c r="M437" t="s">
        <v>27</v>
      </c>
      <c r="N437" s="1">
        <v>18629</v>
      </c>
      <c r="O437">
        <v>0</v>
      </c>
      <c r="P437">
        <v>0</v>
      </c>
      <c r="Q437" t="s">
        <v>28</v>
      </c>
      <c r="R437" t="s">
        <v>29</v>
      </c>
      <c r="S437" t="s">
        <v>138</v>
      </c>
      <c r="T437" t="s">
        <v>139</v>
      </c>
    </row>
    <row r="438" spans="1:20" x14ac:dyDescent="0.25">
      <c r="A438" t="s">
        <v>1643</v>
      </c>
      <c r="B438" t="str">
        <f>"6834"</f>
        <v>6834</v>
      </c>
      <c r="C438" t="str">
        <f>"277826834"</f>
        <v>277826834</v>
      </c>
      <c r="D438" t="s">
        <v>1644</v>
      </c>
      <c r="E438" t="s">
        <v>1645</v>
      </c>
      <c r="F438" t="s">
        <v>1646</v>
      </c>
      <c r="G438" s="1">
        <v>30805</v>
      </c>
      <c r="H438" s="1">
        <v>41652</v>
      </c>
      <c r="I438" t="str">
        <f>"33"</f>
        <v>33</v>
      </c>
      <c r="J438" t="s">
        <v>45</v>
      </c>
      <c r="K438" t="s">
        <v>25</v>
      </c>
      <c r="L438" t="s">
        <v>26</v>
      </c>
      <c r="M438" t="s">
        <v>27</v>
      </c>
      <c r="N438" s="1">
        <v>18629</v>
      </c>
      <c r="O438">
        <v>0</v>
      </c>
      <c r="P438">
        <v>0</v>
      </c>
      <c r="Q438" t="s">
        <v>28</v>
      </c>
      <c r="R438" t="s">
        <v>29</v>
      </c>
      <c r="S438" t="s">
        <v>1572</v>
      </c>
      <c r="T438" t="s">
        <v>1573</v>
      </c>
    </row>
    <row r="439" spans="1:20" x14ac:dyDescent="0.25">
      <c r="A439" t="s">
        <v>1647</v>
      </c>
      <c r="B439" t="str">
        <f>"7213"</f>
        <v>7213</v>
      </c>
      <c r="C439" t="str">
        <f>"277467213"</f>
        <v>277467213</v>
      </c>
      <c r="D439" t="s">
        <v>1648</v>
      </c>
      <c r="E439" t="s">
        <v>233</v>
      </c>
      <c r="F439" t="s">
        <v>282</v>
      </c>
      <c r="G439" s="1">
        <v>18132</v>
      </c>
      <c r="H439" s="1">
        <v>41652</v>
      </c>
      <c r="I439" t="str">
        <f>"52"</f>
        <v>52</v>
      </c>
      <c r="J439" t="s">
        <v>330</v>
      </c>
      <c r="K439" t="s">
        <v>25</v>
      </c>
      <c r="L439" t="s">
        <v>26</v>
      </c>
      <c r="M439" t="s">
        <v>27</v>
      </c>
      <c r="N439" s="1">
        <v>18629</v>
      </c>
      <c r="O439">
        <v>0</v>
      </c>
      <c r="P439">
        <v>0</v>
      </c>
      <c r="Q439" t="s">
        <v>28</v>
      </c>
      <c r="R439" t="s">
        <v>258</v>
      </c>
      <c r="S439" t="s">
        <v>1649</v>
      </c>
      <c r="T439" t="s">
        <v>1650</v>
      </c>
    </row>
    <row r="440" spans="1:20" x14ac:dyDescent="0.25">
      <c r="A440" t="s">
        <v>1651</v>
      </c>
      <c r="B440" t="str">
        <f>"3003"</f>
        <v>3003</v>
      </c>
      <c r="C440" t="str">
        <f>"268863003"</f>
        <v>268863003</v>
      </c>
      <c r="D440" t="s">
        <v>1652</v>
      </c>
      <c r="E440" t="s">
        <v>778</v>
      </c>
      <c r="F440" t="s">
        <v>44</v>
      </c>
      <c r="G440" s="1">
        <v>30051</v>
      </c>
      <c r="H440" s="1">
        <v>41652</v>
      </c>
      <c r="I440" t="str">
        <f t="shared" ref="I440:I454" si="5">"51"</f>
        <v>51</v>
      </c>
      <c r="J440" t="s">
        <v>471</v>
      </c>
      <c r="K440" t="s">
        <v>25</v>
      </c>
      <c r="L440" t="s">
        <v>26</v>
      </c>
      <c r="M440" t="s">
        <v>27</v>
      </c>
      <c r="N440" s="1">
        <v>18629</v>
      </c>
      <c r="O440">
        <v>0</v>
      </c>
      <c r="P440">
        <v>0</v>
      </c>
      <c r="Q440" t="s">
        <v>37</v>
      </c>
      <c r="R440" t="s">
        <v>71</v>
      </c>
      <c r="S440" t="s">
        <v>790</v>
      </c>
      <c r="T440" t="s">
        <v>791</v>
      </c>
    </row>
    <row r="441" spans="1:20" x14ac:dyDescent="0.25">
      <c r="A441" t="s">
        <v>1653</v>
      </c>
      <c r="B441" t="str">
        <f>"2383"</f>
        <v>2383</v>
      </c>
      <c r="C441" t="str">
        <f>"291682383"</f>
        <v>291682383</v>
      </c>
      <c r="D441" t="s">
        <v>1654</v>
      </c>
      <c r="E441" t="s">
        <v>1655</v>
      </c>
      <c r="F441" t="s">
        <v>264</v>
      </c>
      <c r="G441" s="1">
        <v>23289</v>
      </c>
      <c r="H441" s="1">
        <v>41652</v>
      </c>
      <c r="I441" t="str">
        <f t="shared" si="5"/>
        <v>51</v>
      </c>
      <c r="J441" t="s">
        <v>471</v>
      </c>
      <c r="K441" t="s">
        <v>25</v>
      </c>
      <c r="L441" t="s">
        <v>26</v>
      </c>
      <c r="M441" t="s">
        <v>27</v>
      </c>
      <c r="N441" s="1">
        <v>18629</v>
      </c>
      <c r="O441">
        <v>0</v>
      </c>
      <c r="P441">
        <v>0</v>
      </c>
      <c r="Q441" t="s">
        <v>37</v>
      </c>
      <c r="R441" t="s">
        <v>51</v>
      </c>
      <c r="S441" s="2" t="s">
        <v>1656</v>
      </c>
      <c r="T441" t="s">
        <v>1657</v>
      </c>
    </row>
    <row r="442" spans="1:20" x14ac:dyDescent="0.25">
      <c r="A442" t="s">
        <v>1658</v>
      </c>
      <c r="B442" t="str">
        <f>"9166"</f>
        <v>9166</v>
      </c>
      <c r="C442" t="str">
        <f>"289909166"</f>
        <v>289909166</v>
      </c>
      <c r="D442" t="s">
        <v>1659</v>
      </c>
      <c r="E442" t="s">
        <v>194</v>
      </c>
      <c r="F442" t="s">
        <v>49</v>
      </c>
      <c r="G442" s="1">
        <v>31666</v>
      </c>
      <c r="H442" s="1">
        <v>41652</v>
      </c>
      <c r="I442" t="str">
        <f t="shared" si="5"/>
        <v>51</v>
      </c>
      <c r="J442" t="s">
        <v>471</v>
      </c>
      <c r="K442" t="s">
        <v>25</v>
      </c>
      <c r="L442" t="s">
        <v>26</v>
      </c>
      <c r="M442" t="s">
        <v>27</v>
      </c>
      <c r="N442" s="1">
        <v>18629</v>
      </c>
      <c r="O442">
        <v>0</v>
      </c>
      <c r="P442">
        <v>0</v>
      </c>
      <c r="Q442" t="s">
        <v>37</v>
      </c>
      <c r="R442" t="s">
        <v>71</v>
      </c>
      <c r="S442" t="s">
        <v>72</v>
      </c>
      <c r="T442" t="s">
        <v>73</v>
      </c>
    </row>
    <row r="443" spans="1:20" x14ac:dyDescent="0.25">
      <c r="A443" t="s">
        <v>1660</v>
      </c>
      <c r="B443" t="str">
        <f>"9072"</f>
        <v>9072</v>
      </c>
      <c r="C443" t="str">
        <f>"276809072"</f>
        <v>276809072</v>
      </c>
      <c r="D443" t="s">
        <v>1661</v>
      </c>
      <c r="E443" t="s">
        <v>1074</v>
      </c>
      <c r="F443" t="s">
        <v>256</v>
      </c>
      <c r="G443" s="1">
        <v>26449</v>
      </c>
      <c r="H443" s="1">
        <v>41652</v>
      </c>
      <c r="I443" t="str">
        <f t="shared" si="5"/>
        <v>51</v>
      </c>
      <c r="J443" t="s">
        <v>471</v>
      </c>
      <c r="K443" t="s">
        <v>25</v>
      </c>
      <c r="L443" t="s">
        <v>26</v>
      </c>
      <c r="M443" t="s">
        <v>27</v>
      </c>
      <c r="N443" s="1">
        <v>18629</v>
      </c>
      <c r="O443">
        <v>0</v>
      </c>
      <c r="P443">
        <v>0</v>
      </c>
      <c r="Q443" t="s">
        <v>37</v>
      </c>
      <c r="R443" t="s">
        <v>71</v>
      </c>
      <c r="S443" t="s">
        <v>790</v>
      </c>
      <c r="T443" t="s">
        <v>791</v>
      </c>
    </row>
    <row r="444" spans="1:20" x14ac:dyDescent="0.25">
      <c r="A444" t="s">
        <v>1662</v>
      </c>
      <c r="B444" t="str">
        <f>"8499"</f>
        <v>8499</v>
      </c>
      <c r="C444" t="str">
        <f>"277928499"</f>
        <v>277928499</v>
      </c>
      <c r="D444" t="s">
        <v>1663</v>
      </c>
      <c r="E444" t="s">
        <v>289</v>
      </c>
      <c r="F444" t="s">
        <v>165</v>
      </c>
      <c r="G444" s="1">
        <v>32953</v>
      </c>
      <c r="H444" s="1">
        <v>41652</v>
      </c>
      <c r="I444" t="str">
        <f t="shared" si="5"/>
        <v>51</v>
      </c>
      <c r="J444" t="s">
        <v>471</v>
      </c>
      <c r="K444" t="s">
        <v>25</v>
      </c>
      <c r="L444" t="s">
        <v>26</v>
      </c>
      <c r="M444" t="s">
        <v>27</v>
      </c>
      <c r="N444" s="1">
        <v>18629</v>
      </c>
      <c r="O444">
        <v>0</v>
      </c>
      <c r="P444">
        <v>0</v>
      </c>
      <c r="Q444" t="s">
        <v>37</v>
      </c>
      <c r="R444" t="s">
        <v>71</v>
      </c>
      <c r="S444" t="s">
        <v>790</v>
      </c>
      <c r="T444" t="s">
        <v>791</v>
      </c>
    </row>
    <row r="445" spans="1:20" x14ac:dyDescent="0.25">
      <c r="A445" t="s">
        <v>1664</v>
      </c>
      <c r="B445" t="str">
        <f>"0247"</f>
        <v>0247</v>
      </c>
      <c r="C445" t="str">
        <f>"401290247"</f>
        <v>401290247</v>
      </c>
      <c r="D445" t="s">
        <v>1665</v>
      </c>
      <c r="E445" t="s">
        <v>1666</v>
      </c>
      <c r="F445" t="s">
        <v>93</v>
      </c>
      <c r="G445" s="1">
        <v>29430</v>
      </c>
      <c r="H445" s="1">
        <v>41652</v>
      </c>
      <c r="I445" t="str">
        <f t="shared" si="5"/>
        <v>51</v>
      </c>
      <c r="J445" t="s">
        <v>471</v>
      </c>
      <c r="K445" t="s">
        <v>25</v>
      </c>
      <c r="L445" t="s">
        <v>26</v>
      </c>
      <c r="M445" t="s">
        <v>27</v>
      </c>
      <c r="N445" s="1">
        <v>18629</v>
      </c>
      <c r="O445">
        <v>0</v>
      </c>
      <c r="P445">
        <v>0</v>
      </c>
      <c r="Q445" t="s">
        <v>37</v>
      </c>
      <c r="R445" t="s">
        <v>71</v>
      </c>
      <c r="S445" t="s">
        <v>790</v>
      </c>
      <c r="T445" t="s">
        <v>791</v>
      </c>
    </row>
    <row r="446" spans="1:20" x14ac:dyDescent="0.25">
      <c r="A446" t="s">
        <v>1667</v>
      </c>
      <c r="B446" t="str">
        <f>"5571"</f>
        <v>5571</v>
      </c>
      <c r="C446" t="str">
        <f>"274065571"</f>
        <v>274065571</v>
      </c>
      <c r="D446" t="s">
        <v>1668</v>
      </c>
      <c r="E446" t="s">
        <v>1669</v>
      </c>
      <c r="F446" t="s">
        <v>1670</v>
      </c>
      <c r="G446" s="1">
        <v>22021</v>
      </c>
      <c r="H446" s="1">
        <v>41652</v>
      </c>
      <c r="I446" t="str">
        <f t="shared" si="5"/>
        <v>51</v>
      </c>
      <c r="J446" t="s">
        <v>471</v>
      </c>
      <c r="K446" t="s">
        <v>25</v>
      </c>
      <c r="L446" t="s">
        <v>26</v>
      </c>
      <c r="M446" t="s">
        <v>27</v>
      </c>
      <c r="N446" s="1">
        <v>18629</v>
      </c>
      <c r="O446">
        <v>0</v>
      </c>
      <c r="P446">
        <v>0</v>
      </c>
      <c r="Q446" t="s">
        <v>28</v>
      </c>
      <c r="R446" t="s">
        <v>29</v>
      </c>
      <c r="S446" t="s">
        <v>1671</v>
      </c>
      <c r="T446" t="s">
        <v>1672</v>
      </c>
    </row>
    <row r="447" spans="1:20" x14ac:dyDescent="0.25">
      <c r="A447" t="s">
        <v>1673</v>
      </c>
      <c r="B447" t="str">
        <f>"6084"</f>
        <v>6084</v>
      </c>
      <c r="C447" t="str">
        <f>"151786084"</f>
        <v>151786084</v>
      </c>
      <c r="D447" t="s">
        <v>1674</v>
      </c>
      <c r="E447" t="s">
        <v>35</v>
      </c>
      <c r="F447" t="s">
        <v>438</v>
      </c>
      <c r="G447" s="1">
        <v>31147</v>
      </c>
      <c r="H447" s="1">
        <v>41652</v>
      </c>
      <c r="I447" t="str">
        <f t="shared" si="5"/>
        <v>51</v>
      </c>
      <c r="J447" t="s">
        <v>471</v>
      </c>
      <c r="K447" t="s">
        <v>25</v>
      </c>
      <c r="L447" t="s">
        <v>26</v>
      </c>
      <c r="M447" t="s">
        <v>27</v>
      </c>
      <c r="N447" s="1">
        <v>18629</v>
      </c>
      <c r="O447">
        <v>0</v>
      </c>
      <c r="P447">
        <v>0</v>
      </c>
      <c r="Q447" t="s">
        <v>28</v>
      </c>
      <c r="R447" t="s">
        <v>29</v>
      </c>
      <c r="S447" t="s">
        <v>1572</v>
      </c>
      <c r="T447" t="s">
        <v>1573</v>
      </c>
    </row>
    <row r="448" spans="1:20" x14ac:dyDescent="0.25">
      <c r="A448" t="s">
        <v>1675</v>
      </c>
      <c r="B448" t="str">
        <f>"9662"</f>
        <v>9662</v>
      </c>
      <c r="C448" t="str">
        <f>"291869662"</f>
        <v>291869662</v>
      </c>
      <c r="D448" t="s">
        <v>1676</v>
      </c>
      <c r="E448" t="s">
        <v>1081</v>
      </c>
      <c r="F448" t="s">
        <v>165</v>
      </c>
      <c r="G448" s="1">
        <v>30169</v>
      </c>
      <c r="H448" s="1">
        <v>41652</v>
      </c>
      <c r="I448" t="str">
        <f t="shared" si="5"/>
        <v>51</v>
      </c>
      <c r="J448" t="s">
        <v>471</v>
      </c>
      <c r="K448" t="s">
        <v>25</v>
      </c>
      <c r="L448" t="s">
        <v>26</v>
      </c>
      <c r="M448" t="s">
        <v>27</v>
      </c>
      <c r="N448" s="1">
        <v>18629</v>
      </c>
      <c r="O448">
        <v>0</v>
      </c>
      <c r="P448">
        <v>0</v>
      </c>
      <c r="Q448" t="s">
        <v>28</v>
      </c>
      <c r="R448" t="s">
        <v>29</v>
      </c>
      <c r="S448" t="s">
        <v>1677</v>
      </c>
      <c r="T448" t="s">
        <v>1678</v>
      </c>
    </row>
    <row r="449" spans="1:20" x14ac:dyDescent="0.25">
      <c r="A449" t="s">
        <v>1679</v>
      </c>
      <c r="B449" t="str">
        <f>"1537"</f>
        <v>1537</v>
      </c>
      <c r="C449" t="str">
        <f>"348501537"</f>
        <v>348501537</v>
      </c>
      <c r="D449" t="s">
        <v>1680</v>
      </c>
      <c r="E449" t="s">
        <v>1081</v>
      </c>
      <c r="F449" t="s">
        <v>165</v>
      </c>
      <c r="G449" s="1">
        <v>20456</v>
      </c>
      <c r="H449" s="1">
        <v>41652</v>
      </c>
      <c r="I449" t="str">
        <f t="shared" si="5"/>
        <v>51</v>
      </c>
      <c r="J449" t="s">
        <v>471</v>
      </c>
      <c r="K449" t="s">
        <v>25</v>
      </c>
      <c r="L449" t="s">
        <v>26</v>
      </c>
      <c r="M449" t="s">
        <v>27</v>
      </c>
      <c r="N449" s="1">
        <v>18629</v>
      </c>
      <c r="O449">
        <v>0</v>
      </c>
      <c r="P449">
        <v>0</v>
      </c>
      <c r="Q449" t="s">
        <v>28</v>
      </c>
      <c r="R449" t="s">
        <v>71</v>
      </c>
      <c r="S449" t="s">
        <v>1681</v>
      </c>
      <c r="T449" t="s">
        <v>1682</v>
      </c>
    </row>
    <row r="450" spans="1:20" x14ac:dyDescent="0.25">
      <c r="A450" t="s">
        <v>1683</v>
      </c>
      <c r="B450" t="str">
        <f>"9933"</f>
        <v>9933</v>
      </c>
      <c r="C450" t="str">
        <f>"427419933"</f>
        <v>427419933</v>
      </c>
      <c r="D450" t="s">
        <v>310</v>
      </c>
      <c r="E450" t="s">
        <v>1292</v>
      </c>
      <c r="F450" t="s">
        <v>470</v>
      </c>
      <c r="G450" s="1">
        <v>28646</v>
      </c>
      <c r="H450" s="1">
        <v>41652</v>
      </c>
      <c r="I450" t="str">
        <f t="shared" si="5"/>
        <v>51</v>
      </c>
      <c r="J450" t="s">
        <v>471</v>
      </c>
      <c r="K450" t="s">
        <v>25</v>
      </c>
      <c r="L450" t="s">
        <v>26</v>
      </c>
      <c r="M450" t="s">
        <v>27</v>
      </c>
      <c r="N450" s="1">
        <v>18629</v>
      </c>
      <c r="O450">
        <v>0</v>
      </c>
      <c r="P450">
        <v>0</v>
      </c>
      <c r="Q450" t="s">
        <v>28</v>
      </c>
      <c r="R450" t="s">
        <v>71</v>
      </c>
      <c r="S450" t="s">
        <v>1610</v>
      </c>
      <c r="T450" t="s">
        <v>1611</v>
      </c>
    </row>
    <row r="451" spans="1:20" x14ac:dyDescent="0.25">
      <c r="A451" t="s">
        <v>1684</v>
      </c>
      <c r="B451" t="str">
        <f>"8710"</f>
        <v>8710</v>
      </c>
      <c r="C451" t="str">
        <f>"424868710"</f>
        <v>424868710</v>
      </c>
      <c r="D451" t="s">
        <v>1685</v>
      </c>
      <c r="E451" t="s">
        <v>156</v>
      </c>
      <c r="F451" t="s">
        <v>256</v>
      </c>
      <c r="G451" s="1">
        <v>26066</v>
      </c>
      <c r="H451" s="1">
        <v>41652</v>
      </c>
      <c r="I451" t="str">
        <f t="shared" si="5"/>
        <v>51</v>
      </c>
      <c r="J451" t="s">
        <v>471</v>
      </c>
      <c r="K451" t="s">
        <v>25</v>
      </c>
      <c r="L451" t="s">
        <v>26</v>
      </c>
      <c r="M451" t="s">
        <v>27</v>
      </c>
      <c r="N451" s="1">
        <v>18629</v>
      </c>
      <c r="O451">
        <v>0</v>
      </c>
      <c r="P451">
        <v>0</v>
      </c>
      <c r="Q451" t="s">
        <v>37</v>
      </c>
      <c r="R451" t="s">
        <v>51</v>
      </c>
      <c r="S451" s="2" t="s">
        <v>64</v>
      </c>
      <c r="T451" t="s">
        <v>65</v>
      </c>
    </row>
    <row r="452" spans="1:20" x14ac:dyDescent="0.25">
      <c r="A452" t="s">
        <v>1686</v>
      </c>
      <c r="B452" t="str">
        <f>"7166"</f>
        <v>7166</v>
      </c>
      <c r="C452" t="str">
        <f>"283607166"</f>
        <v>283607166</v>
      </c>
      <c r="D452" t="s">
        <v>1687</v>
      </c>
      <c r="E452" t="s">
        <v>1688</v>
      </c>
      <c r="F452" t="s">
        <v>44</v>
      </c>
      <c r="G452" s="1">
        <v>20881</v>
      </c>
      <c r="H452" s="1">
        <v>41652</v>
      </c>
      <c r="I452" t="str">
        <f t="shared" si="5"/>
        <v>51</v>
      </c>
      <c r="J452" t="s">
        <v>471</v>
      </c>
      <c r="K452" t="s">
        <v>25</v>
      </c>
      <c r="L452" t="s">
        <v>26</v>
      </c>
      <c r="M452" t="s">
        <v>27</v>
      </c>
      <c r="N452" s="1">
        <v>18629</v>
      </c>
      <c r="O452">
        <v>0</v>
      </c>
      <c r="P452">
        <v>0</v>
      </c>
      <c r="Q452" t="s">
        <v>37</v>
      </c>
      <c r="R452" t="s">
        <v>29</v>
      </c>
      <c r="S452" t="s">
        <v>138</v>
      </c>
      <c r="T452" t="s">
        <v>139</v>
      </c>
    </row>
    <row r="453" spans="1:20" x14ac:dyDescent="0.25">
      <c r="A453" t="s">
        <v>1689</v>
      </c>
      <c r="B453" t="str">
        <f>"3241"</f>
        <v>3241</v>
      </c>
      <c r="C453" t="str">
        <f>"300603241"</f>
        <v>300603241</v>
      </c>
      <c r="D453" t="s">
        <v>1690</v>
      </c>
      <c r="E453" t="s">
        <v>1691</v>
      </c>
      <c r="F453" t="s">
        <v>28</v>
      </c>
      <c r="G453" s="1">
        <v>28213</v>
      </c>
      <c r="H453" s="1">
        <v>41652</v>
      </c>
      <c r="I453" t="str">
        <f t="shared" si="5"/>
        <v>51</v>
      </c>
      <c r="J453" t="s">
        <v>471</v>
      </c>
      <c r="K453" t="s">
        <v>25</v>
      </c>
      <c r="L453" t="s">
        <v>26</v>
      </c>
      <c r="M453" t="s">
        <v>27</v>
      </c>
      <c r="N453" s="1">
        <v>18629</v>
      </c>
      <c r="O453">
        <v>0</v>
      </c>
      <c r="P453">
        <v>0</v>
      </c>
      <c r="Q453" t="s">
        <v>37</v>
      </c>
      <c r="R453" t="s">
        <v>29</v>
      </c>
      <c r="S453" t="s">
        <v>138</v>
      </c>
      <c r="T453" t="s">
        <v>139</v>
      </c>
    </row>
    <row r="454" spans="1:20" x14ac:dyDescent="0.25">
      <c r="A454" t="s">
        <v>1692</v>
      </c>
      <c r="B454" t="str">
        <f>"0510"</f>
        <v>0510</v>
      </c>
      <c r="C454" t="str">
        <f>"254710510"</f>
        <v>254710510</v>
      </c>
      <c r="D454" t="s">
        <v>1693</v>
      </c>
      <c r="E454" t="s">
        <v>1694</v>
      </c>
      <c r="F454" t="s">
        <v>1695</v>
      </c>
      <c r="G454" s="1">
        <v>28552</v>
      </c>
      <c r="H454" s="1">
        <v>41645</v>
      </c>
      <c r="I454" t="str">
        <f t="shared" si="5"/>
        <v>51</v>
      </c>
      <c r="J454" t="s">
        <v>471</v>
      </c>
      <c r="K454" t="s">
        <v>25</v>
      </c>
      <c r="L454" t="s">
        <v>26</v>
      </c>
      <c r="M454" t="s">
        <v>27</v>
      </c>
      <c r="N454" s="1">
        <v>18629</v>
      </c>
      <c r="O454">
        <v>0</v>
      </c>
      <c r="P454">
        <v>0</v>
      </c>
      <c r="Q454" t="s">
        <v>37</v>
      </c>
      <c r="R454" t="s">
        <v>29</v>
      </c>
      <c r="S454" t="s">
        <v>1696</v>
      </c>
      <c r="T454" t="s">
        <v>1697</v>
      </c>
    </row>
    <row r="455" spans="1:20" x14ac:dyDescent="0.25">
      <c r="A455" t="s">
        <v>1698</v>
      </c>
      <c r="B455" t="str">
        <f>"8877"</f>
        <v>8877</v>
      </c>
      <c r="C455" t="str">
        <f>"276608877"</f>
        <v>276608877</v>
      </c>
      <c r="D455" t="s">
        <v>1699</v>
      </c>
      <c r="E455" t="s">
        <v>499</v>
      </c>
      <c r="F455" t="s">
        <v>179</v>
      </c>
      <c r="G455" s="1">
        <v>21175</v>
      </c>
      <c r="H455" s="1">
        <v>41645</v>
      </c>
      <c r="I455" t="str">
        <f>"41"</f>
        <v>41</v>
      </c>
      <c r="J455" t="s">
        <v>24</v>
      </c>
      <c r="K455" t="s">
        <v>25</v>
      </c>
      <c r="L455" t="s">
        <v>26</v>
      </c>
      <c r="M455" t="s">
        <v>27</v>
      </c>
      <c r="N455" s="1">
        <v>18629</v>
      </c>
      <c r="O455">
        <v>0</v>
      </c>
      <c r="P455">
        <v>0</v>
      </c>
      <c r="Q455" t="s">
        <v>28</v>
      </c>
      <c r="R455" t="s">
        <v>29</v>
      </c>
      <c r="S455" t="s">
        <v>251</v>
      </c>
      <c r="T455" t="s">
        <v>252</v>
      </c>
    </row>
    <row r="456" spans="1:20" x14ac:dyDescent="0.25">
      <c r="A456" t="s">
        <v>1700</v>
      </c>
      <c r="B456" t="str">
        <f>"0505"</f>
        <v>0505</v>
      </c>
      <c r="C456" t="str">
        <f>"368840505"</f>
        <v>368840505</v>
      </c>
      <c r="D456" t="s">
        <v>141</v>
      </c>
      <c r="E456" t="s">
        <v>1701</v>
      </c>
      <c r="F456" t="s">
        <v>414</v>
      </c>
      <c r="G456" s="1">
        <v>23686</v>
      </c>
      <c r="H456" s="1">
        <v>41645</v>
      </c>
      <c r="I456" t="str">
        <f>"01"</f>
        <v>01</v>
      </c>
      <c r="J456" t="s">
        <v>116</v>
      </c>
      <c r="K456" t="s">
        <v>98</v>
      </c>
      <c r="L456" t="s">
        <v>37</v>
      </c>
      <c r="M456" t="s">
        <v>117</v>
      </c>
      <c r="N456" s="1">
        <v>41659</v>
      </c>
      <c r="O456">
        <v>4951.96</v>
      </c>
      <c r="P456">
        <v>1237.8599999999999</v>
      </c>
      <c r="Q456" t="s">
        <v>37</v>
      </c>
      <c r="R456" t="s">
        <v>71</v>
      </c>
      <c r="S456" t="s">
        <v>1702</v>
      </c>
      <c r="T456" t="s">
        <v>1703</v>
      </c>
    </row>
    <row r="457" spans="1:20" x14ac:dyDescent="0.25">
      <c r="A457" t="s">
        <v>1704</v>
      </c>
      <c r="B457" t="str">
        <f>"9573"</f>
        <v>9573</v>
      </c>
      <c r="C457" t="str">
        <f>"071709573"</f>
        <v>071709573</v>
      </c>
      <c r="D457" t="s">
        <v>1705</v>
      </c>
      <c r="E457" t="s">
        <v>1706</v>
      </c>
      <c r="F457" t="s">
        <v>282</v>
      </c>
      <c r="G457" s="1">
        <v>25451</v>
      </c>
      <c r="H457" s="1">
        <v>41645</v>
      </c>
      <c r="I457" t="str">
        <f>"03"</f>
        <v>03</v>
      </c>
      <c r="J457" t="s">
        <v>70</v>
      </c>
      <c r="K457" t="s">
        <v>98</v>
      </c>
      <c r="L457" t="s">
        <v>37</v>
      </c>
      <c r="M457" t="s">
        <v>99</v>
      </c>
      <c r="N457" s="1">
        <v>41659</v>
      </c>
      <c r="O457">
        <v>14801.8</v>
      </c>
      <c r="P457">
        <v>3700.32</v>
      </c>
      <c r="Q457" t="s">
        <v>37</v>
      </c>
      <c r="R457" t="s">
        <v>29</v>
      </c>
      <c r="S457" t="s">
        <v>1707</v>
      </c>
      <c r="T457" t="s">
        <v>1708</v>
      </c>
    </row>
    <row r="458" spans="1:20" x14ac:dyDescent="0.25">
      <c r="A458" t="s">
        <v>1709</v>
      </c>
      <c r="B458" t="str">
        <f>"5222"</f>
        <v>5222</v>
      </c>
      <c r="C458" t="str">
        <f>"021705222"</f>
        <v>021705222</v>
      </c>
      <c r="D458" t="s">
        <v>1710</v>
      </c>
      <c r="E458" t="s">
        <v>1711</v>
      </c>
      <c r="F458" t="s">
        <v>93</v>
      </c>
      <c r="G458" s="1">
        <v>29872</v>
      </c>
      <c r="H458" s="1">
        <v>41645</v>
      </c>
      <c r="I458" t="str">
        <f>"41"</f>
        <v>41</v>
      </c>
      <c r="J458" t="s">
        <v>24</v>
      </c>
      <c r="K458" t="s">
        <v>25</v>
      </c>
      <c r="L458" t="s">
        <v>26</v>
      </c>
      <c r="M458" t="s">
        <v>27</v>
      </c>
      <c r="N458" s="1">
        <v>18629</v>
      </c>
      <c r="O458">
        <v>0</v>
      </c>
      <c r="P458">
        <v>0</v>
      </c>
      <c r="Q458" t="s">
        <v>37</v>
      </c>
      <c r="R458" t="s">
        <v>71</v>
      </c>
      <c r="S458" t="s">
        <v>72</v>
      </c>
      <c r="T458" t="s">
        <v>73</v>
      </c>
    </row>
    <row r="459" spans="1:20" x14ac:dyDescent="0.25">
      <c r="A459" t="s">
        <v>1712</v>
      </c>
      <c r="B459" t="str">
        <f>"4195"</f>
        <v>4195</v>
      </c>
      <c r="C459" t="str">
        <f>"276464195"</f>
        <v>276464195</v>
      </c>
      <c r="D459" t="s">
        <v>1713</v>
      </c>
      <c r="E459" t="s">
        <v>609</v>
      </c>
      <c r="G459" s="1">
        <v>17506</v>
      </c>
      <c r="H459" s="1">
        <v>41645</v>
      </c>
      <c r="I459" t="str">
        <f>"52"</f>
        <v>52</v>
      </c>
      <c r="J459" t="s">
        <v>330</v>
      </c>
      <c r="K459" t="s">
        <v>25</v>
      </c>
      <c r="L459" t="s">
        <v>26</v>
      </c>
      <c r="M459" t="s">
        <v>27</v>
      </c>
      <c r="N459" s="1">
        <v>18629</v>
      </c>
      <c r="O459">
        <v>0</v>
      </c>
      <c r="P459">
        <v>0</v>
      </c>
      <c r="Q459" t="s">
        <v>28</v>
      </c>
      <c r="R459" t="s">
        <v>258</v>
      </c>
      <c r="S459" t="s">
        <v>331</v>
      </c>
      <c r="T459" t="s">
        <v>332</v>
      </c>
    </row>
    <row r="460" spans="1:20" x14ac:dyDescent="0.25">
      <c r="A460" t="s">
        <v>1714</v>
      </c>
      <c r="B460" t="str">
        <f>"0859"</f>
        <v>0859</v>
      </c>
      <c r="C460" t="str">
        <f>"574660859"</f>
        <v>574660859</v>
      </c>
      <c r="D460" t="s">
        <v>1715</v>
      </c>
      <c r="E460" t="s">
        <v>329</v>
      </c>
      <c r="F460" t="s">
        <v>933</v>
      </c>
      <c r="G460" s="1">
        <v>25422</v>
      </c>
      <c r="H460" s="1">
        <v>41645</v>
      </c>
      <c r="I460" t="str">
        <f>"01"</f>
        <v>01</v>
      </c>
      <c r="J460" t="s">
        <v>116</v>
      </c>
      <c r="K460" t="s">
        <v>98</v>
      </c>
      <c r="L460" t="s">
        <v>37</v>
      </c>
      <c r="M460" t="s">
        <v>99</v>
      </c>
      <c r="N460" s="1">
        <v>41659</v>
      </c>
      <c r="O460">
        <v>14801.8</v>
      </c>
      <c r="P460">
        <v>3700.32</v>
      </c>
      <c r="Q460" t="s">
        <v>28</v>
      </c>
      <c r="R460" t="s">
        <v>29</v>
      </c>
      <c r="S460" t="s">
        <v>620</v>
      </c>
      <c r="T460" t="s">
        <v>621</v>
      </c>
    </row>
    <row r="461" spans="1:20" x14ac:dyDescent="0.25">
      <c r="A461" t="s">
        <v>1716</v>
      </c>
      <c r="B461" t="str">
        <f>"8158"</f>
        <v>8158</v>
      </c>
      <c r="C461" t="str">
        <f>"287968158"</f>
        <v>287968158</v>
      </c>
      <c r="D461" t="s">
        <v>1717</v>
      </c>
      <c r="E461" t="s">
        <v>1718</v>
      </c>
      <c r="F461" t="s">
        <v>26</v>
      </c>
      <c r="G461" s="1">
        <v>34159</v>
      </c>
      <c r="H461" s="1">
        <v>41645</v>
      </c>
      <c r="I461" t="str">
        <f>"41"</f>
        <v>41</v>
      </c>
      <c r="J461" t="s">
        <v>24</v>
      </c>
      <c r="K461" t="s">
        <v>25</v>
      </c>
      <c r="L461" t="s">
        <v>26</v>
      </c>
      <c r="M461" t="s">
        <v>27</v>
      </c>
      <c r="N461" s="1">
        <v>18629</v>
      </c>
      <c r="O461">
        <v>0</v>
      </c>
      <c r="P461">
        <v>0</v>
      </c>
      <c r="Q461" t="s">
        <v>28</v>
      </c>
      <c r="R461" t="s">
        <v>71</v>
      </c>
      <c r="S461" t="s">
        <v>402</v>
      </c>
      <c r="T461" t="s">
        <v>403</v>
      </c>
    </row>
    <row r="462" spans="1:20" x14ac:dyDescent="0.25">
      <c r="A462" t="s">
        <v>1719</v>
      </c>
      <c r="B462" t="str">
        <f>"9928"</f>
        <v>9928</v>
      </c>
      <c r="C462" t="str">
        <f>"298929928"</f>
        <v>298929928</v>
      </c>
      <c r="D462" t="s">
        <v>1717</v>
      </c>
      <c r="E462" t="s">
        <v>238</v>
      </c>
      <c r="F462" t="s">
        <v>26</v>
      </c>
      <c r="G462" s="1">
        <v>33115</v>
      </c>
      <c r="H462" s="1">
        <v>41645</v>
      </c>
      <c r="I462" t="str">
        <f>"41"</f>
        <v>41</v>
      </c>
      <c r="J462" t="s">
        <v>24</v>
      </c>
      <c r="K462" t="s">
        <v>25</v>
      </c>
      <c r="L462" t="s">
        <v>26</v>
      </c>
      <c r="M462" t="s">
        <v>27</v>
      </c>
      <c r="N462" s="1">
        <v>18629</v>
      </c>
      <c r="O462">
        <v>0</v>
      </c>
      <c r="P462">
        <v>0</v>
      </c>
      <c r="Q462" t="s">
        <v>28</v>
      </c>
      <c r="R462" t="s">
        <v>71</v>
      </c>
      <c r="S462" t="s">
        <v>402</v>
      </c>
      <c r="T462" t="s">
        <v>403</v>
      </c>
    </row>
    <row r="463" spans="1:20" x14ac:dyDescent="0.25">
      <c r="A463" t="s">
        <v>1720</v>
      </c>
      <c r="B463" t="str">
        <f>"2723"</f>
        <v>2723</v>
      </c>
      <c r="C463" t="str">
        <f>"298802723"</f>
        <v>298802723</v>
      </c>
      <c r="D463" t="s">
        <v>1721</v>
      </c>
      <c r="E463" t="s">
        <v>1722</v>
      </c>
      <c r="F463" t="s">
        <v>1723</v>
      </c>
      <c r="G463" s="1">
        <v>25506</v>
      </c>
      <c r="H463" s="1">
        <v>41645</v>
      </c>
      <c r="I463" t="str">
        <f>"05"</f>
        <v>05</v>
      </c>
      <c r="J463" t="s">
        <v>58</v>
      </c>
      <c r="K463" t="s">
        <v>98</v>
      </c>
      <c r="L463" t="s">
        <v>37</v>
      </c>
      <c r="M463" t="s">
        <v>99</v>
      </c>
      <c r="N463" s="1">
        <v>41659</v>
      </c>
      <c r="O463">
        <v>14801.8</v>
      </c>
      <c r="P463">
        <v>3700.32</v>
      </c>
      <c r="Q463" t="s">
        <v>37</v>
      </c>
      <c r="R463" t="s">
        <v>29</v>
      </c>
      <c r="S463" t="s">
        <v>240</v>
      </c>
      <c r="T463" t="s">
        <v>241</v>
      </c>
    </row>
    <row r="464" spans="1:20" x14ac:dyDescent="0.25">
      <c r="A464" t="s">
        <v>1724</v>
      </c>
      <c r="B464" t="str">
        <f>"7460"</f>
        <v>7460</v>
      </c>
      <c r="C464" t="str">
        <f>"284607460"</f>
        <v>284607460</v>
      </c>
      <c r="D464" t="s">
        <v>1725</v>
      </c>
      <c r="E464" t="s">
        <v>1726</v>
      </c>
      <c r="F464" t="s">
        <v>219</v>
      </c>
      <c r="G464" s="1">
        <v>23079</v>
      </c>
      <c r="H464" s="1">
        <v>41645</v>
      </c>
      <c r="I464" t="str">
        <f>"05"</f>
        <v>05</v>
      </c>
      <c r="J464" t="s">
        <v>58</v>
      </c>
      <c r="K464" t="s">
        <v>98</v>
      </c>
      <c r="L464" t="s">
        <v>37</v>
      </c>
      <c r="M464" t="s">
        <v>99</v>
      </c>
      <c r="N464" s="1">
        <v>41659</v>
      </c>
      <c r="O464">
        <v>14801.8</v>
      </c>
      <c r="P464">
        <v>3700.32</v>
      </c>
      <c r="Q464" t="s">
        <v>37</v>
      </c>
      <c r="R464" t="s">
        <v>51</v>
      </c>
      <c r="S464" s="2" t="s">
        <v>1727</v>
      </c>
      <c r="T464" t="s">
        <v>1728</v>
      </c>
    </row>
    <row r="465" spans="1:20" x14ac:dyDescent="0.25">
      <c r="A465" t="s">
        <v>1729</v>
      </c>
      <c r="B465" t="str">
        <f>"1963"</f>
        <v>1963</v>
      </c>
      <c r="C465" t="str">
        <f>"287901963"</f>
        <v>287901963</v>
      </c>
      <c r="D465" t="s">
        <v>1730</v>
      </c>
      <c r="E465" t="s">
        <v>146</v>
      </c>
      <c r="F465" t="s">
        <v>28</v>
      </c>
      <c r="G465" s="1">
        <v>31488</v>
      </c>
      <c r="H465" s="1">
        <v>41645</v>
      </c>
      <c r="I465" t="str">
        <f>"03"</f>
        <v>03</v>
      </c>
      <c r="J465" t="s">
        <v>70</v>
      </c>
      <c r="K465" t="s">
        <v>98</v>
      </c>
      <c r="L465" t="s">
        <v>37</v>
      </c>
      <c r="M465" t="s">
        <v>117</v>
      </c>
      <c r="N465" s="1">
        <v>41659</v>
      </c>
      <c r="O465">
        <v>4951.96</v>
      </c>
      <c r="P465">
        <v>1237.8599999999999</v>
      </c>
      <c r="Q465" t="s">
        <v>37</v>
      </c>
      <c r="R465" t="s">
        <v>71</v>
      </c>
      <c r="S465" t="s">
        <v>610</v>
      </c>
      <c r="T465" t="s">
        <v>611</v>
      </c>
    </row>
    <row r="466" spans="1:20" x14ac:dyDescent="0.25">
      <c r="A466" t="s">
        <v>1731</v>
      </c>
      <c r="B466" t="str">
        <f>"2284"</f>
        <v>2284</v>
      </c>
      <c r="C466" t="str">
        <f>"272642284"</f>
        <v>272642284</v>
      </c>
      <c r="D466" t="s">
        <v>1732</v>
      </c>
      <c r="E466" t="s">
        <v>164</v>
      </c>
      <c r="F466" t="s">
        <v>93</v>
      </c>
      <c r="G466" s="1">
        <v>21293</v>
      </c>
      <c r="H466" s="1">
        <v>41645</v>
      </c>
      <c r="I466" t="str">
        <f>"15"</f>
        <v>15</v>
      </c>
      <c r="J466" t="s">
        <v>36</v>
      </c>
      <c r="L466" t="s">
        <v>37</v>
      </c>
      <c r="M466" t="s">
        <v>143</v>
      </c>
      <c r="N466" s="1">
        <v>41785</v>
      </c>
      <c r="O466">
        <v>185.9</v>
      </c>
      <c r="P466">
        <v>-185.9</v>
      </c>
      <c r="Q466" t="s">
        <v>37</v>
      </c>
      <c r="R466" t="s">
        <v>258</v>
      </c>
      <c r="S466" t="s">
        <v>527</v>
      </c>
      <c r="T466" t="s">
        <v>528</v>
      </c>
    </row>
    <row r="467" spans="1:20" x14ac:dyDescent="0.25">
      <c r="A467" t="s">
        <v>1733</v>
      </c>
      <c r="B467" t="str">
        <f>"7538"</f>
        <v>7538</v>
      </c>
      <c r="C467" t="str">
        <f>"467857538"</f>
        <v>467857538</v>
      </c>
      <c r="D467" t="s">
        <v>1734</v>
      </c>
      <c r="E467" t="s">
        <v>1735</v>
      </c>
      <c r="F467" t="s">
        <v>97</v>
      </c>
      <c r="G467" s="1">
        <v>22477</v>
      </c>
      <c r="H467" s="1">
        <v>41645</v>
      </c>
      <c r="I467" t="str">
        <f>"41"</f>
        <v>41</v>
      </c>
      <c r="J467" t="s">
        <v>24</v>
      </c>
      <c r="K467" t="s">
        <v>25</v>
      </c>
      <c r="L467" t="s">
        <v>26</v>
      </c>
      <c r="M467" t="s">
        <v>27</v>
      </c>
      <c r="N467" s="1">
        <v>18629</v>
      </c>
      <c r="O467">
        <v>0</v>
      </c>
      <c r="P467">
        <v>0</v>
      </c>
      <c r="Q467" t="s">
        <v>37</v>
      </c>
      <c r="R467" t="s">
        <v>51</v>
      </c>
      <c r="S467" t="s">
        <v>1736</v>
      </c>
      <c r="T467" t="s">
        <v>1737</v>
      </c>
    </row>
    <row r="468" spans="1:20" x14ac:dyDescent="0.25">
      <c r="A468" t="s">
        <v>1738</v>
      </c>
      <c r="B468" t="str">
        <f>"6839"</f>
        <v>6839</v>
      </c>
      <c r="C468" t="str">
        <f>"289906839"</f>
        <v>289906839</v>
      </c>
      <c r="D468" t="s">
        <v>1739</v>
      </c>
      <c r="E468" t="s">
        <v>1740</v>
      </c>
      <c r="F468" t="s">
        <v>470</v>
      </c>
      <c r="G468" s="1">
        <v>32683</v>
      </c>
      <c r="H468" s="1">
        <v>41645</v>
      </c>
      <c r="I468" t="str">
        <f>"30"</f>
        <v>30</v>
      </c>
      <c r="J468" t="s">
        <v>50</v>
      </c>
      <c r="K468" t="s">
        <v>25</v>
      </c>
      <c r="L468" t="s">
        <v>26</v>
      </c>
      <c r="M468" t="s">
        <v>27</v>
      </c>
      <c r="N468" s="1">
        <v>18629</v>
      </c>
      <c r="O468">
        <v>0</v>
      </c>
      <c r="P468">
        <v>0</v>
      </c>
      <c r="Q468" t="s">
        <v>37</v>
      </c>
      <c r="R468" t="s">
        <v>51</v>
      </c>
      <c r="S468" s="2" t="s">
        <v>198</v>
      </c>
      <c r="T468" t="s">
        <v>199</v>
      </c>
    </row>
    <row r="469" spans="1:20" x14ac:dyDescent="0.25">
      <c r="A469" t="s">
        <v>1741</v>
      </c>
      <c r="B469" t="str">
        <f>"2328"</f>
        <v>2328</v>
      </c>
      <c r="C469" t="str">
        <f>"273882328"</f>
        <v>273882328</v>
      </c>
      <c r="D469" t="s">
        <v>1742</v>
      </c>
      <c r="E469" t="s">
        <v>1198</v>
      </c>
      <c r="F469" t="s">
        <v>414</v>
      </c>
      <c r="G469" s="1">
        <v>30012</v>
      </c>
      <c r="H469" s="1">
        <v>41645</v>
      </c>
      <c r="I469" t="str">
        <f>"15"</f>
        <v>15</v>
      </c>
      <c r="J469" t="s">
        <v>36</v>
      </c>
      <c r="K469" t="s">
        <v>98</v>
      </c>
      <c r="L469" t="s">
        <v>37</v>
      </c>
      <c r="M469" t="s">
        <v>99</v>
      </c>
      <c r="N469" s="1">
        <v>41799</v>
      </c>
      <c r="O469">
        <v>14801.8</v>
      </c>
      <c r="P469">
        <v>3700.32</v>
      </c>
      <c r="Q469" t="s">
        <v>28</v>
      </c>
      <c r="R469" t="s">
        <v>29</v>
      </c>
      <c r="S469" t="s">
        <v>419</v>
      </c>
      <c r="T469" t="s">
        <v>420</v>
      </c>
    </row>
    <row r="470" spans="1:20" x14ac:dyDescent="0.25">
      <c r="A470" t="s">
        <v>1743</v>
      </c>
      <c r="B470" t="str">
        <f>"4285"</f>
        <v>4285</v>
      </c>
      <c r="C470" t="str">
        <f>"300784285"</f>
        <v>300784285</v>
      </c>
      <c r="D470" t="s">
        <v>1045</v>
      </c>
      <c r="E470" t="s">
        <v>1744</v>
      </c>
      <c r="F470" t="s">
        <v>69</v>
      </c>
      <c r="G470" s="1">
        <v>29446</v>
      </c>
      <c r="H470" s="1">
        <v>41645</v>
      </c>
      <c r="I470" t="str">
        <f>"05"</f>
        <v>05</v>
      </c>
      <c r="J470" t="s">
        <v>58</v>
      </c>
      <c r="L470" t="s">
        <v>37</v>
      </c>
      <c r="M470" t="s">
        <v>143</v>
      </c>
      <c r="N470" s="1">
        <v>41659</v>
      </c>
      <c r="O470">
        <v>185.9</v>
      </c>
      <c r="P470">
        <v>-185.9</v>
      </c>
      <c r="Q470" t="s">
        <v>37</v>
      </c>
      <c r="R470" t="s">
        <v>29</v>
      </c>
      <c r="S470" t="s">
        <v>1745</v>
      </c>
      <c r="T470" t="s">
        <v>1746</v>
      </c>
    </row>
    <row r="471" spans="1:20" x14ac:dyDescent="0.25">
      <c r="A471" t="s">
        <v>1747</v>
      </c>
      <c r="B471" t="str">
        <f>"0412"</f>
        <v>0412</v>
      </c>
      <c r="C471" t="str">
        <f>"601180412"</f>
        <v>601180412</v>
      </c>
      <c r="D471" t="s">
        <v>1748</v>
      </c>
      <c r="E471" t="s">
        <v>1530</v>
      </c>
      <c r="F471" t="s">
        <v>1749</v>
      </c>
      <c r="G471" s="1">
        <v>30573</v>
      </c>
      <c r="H471" s="1">
        <v>41645</v>
      </c>
      <c r="I471" t="str">
        <f>"41"</f>
        <v>41</v>
      </c>
      <c r="J471" t="s">
        <v>24</v>
      </c>
      <c r="K471" t="s">
        <v>25</v>
      </c>
      <c r="L471" t="s">
        <v>26</v>
      </c>
      <c r="M471" t="s">
        <v>27</v>
      </c>
      <c r="N471" s="1">
        <v>18629</v>
      </c>
      <c r="O471">
        <v>0</v>
      </c>
      <c r="P471">
        <v>0</v>
      </c>
      <c r="Q471" t="s">
        <v>37</v>
      </c>
      <c r="R471" t="s">
        <v>29</v>
      </c>
      <c r="S471" t="s">
        <v>251</v>
      </c>
      <c r="T471" t="s">
        <v>252</v>
      </c>
    </row>
    <row r="472" spans="1:20" x14ac:dyDescent="0.25">
      <c r="A472" t="s">
        <v>1750</v>
      </c>
      <c r="B472" t="str">
        <f>"5112"</f>
        <v>5112</v>
      </c>
      <c r="C472" t="str">
        <f>"274645112"</f>
        <v>274645112</v>
      </c>
      <c r="D472" t="s">
        <v>1751</v>
      </c>
      <c r="E472" t="s">
        <v>197</v>
      </c>
      <c r="F472" t="s">
        <v>28</v>
      </c>
      <c r="G472" s="1">
        <v>21269</v>
      </c>
      <c r="H472" s="1">
        <v>41645</v>
      </c>
      <c r="I472" t="str">
        <f>"01"</f>
        <v>01</v>
      </c>
      <c r="J472" t="s">
        <v>116</v>
      </c>
      <c r="K472" t="s">
        <v>98</v>
      </c>
      <c r="L472" t="s">
        <v>37</v>
      </c>
      <c r="M472" t="s">
        <v>117</v>
      </c>
      <c r="N472" s="1">
        <v>41659</v>
      </c>
      <c r="O472">
        <v>4951.96</v>
      </c>
      <c r="P472">
        <v>1237.8599999999999</v>
      </c>
      <c r="Q472" t="s">
        <v>28</v>
      </c>
      <c r="R472" t="s">
        <v>110</v>
      </c>
      <c r="S472" t="s">
        <v>1752</v>
      </c>
      <c r="T472" t="s">
        <v>1753</v>
      </c>
    </row>
    <row r="473" spans="1:20" x14ac:dyDescent="0.25">
      <c r="A473" t="s">
        <v>1754</v>
      </c>
      <c r="B473" t="str">
        <f>"1420"</f>
        <v>1420</v>
      </c>
      <c r="C473" t="str">
        <f>"271481420"</f>
        <v>271481420</v>
      </c>
      <c r="D473" t="s">
        <v>1755</v>
      </c>
      <c r="E473" t="s">
        <v>106</v>
      </c>
      <c r="F473" t="s">
        <v>97</v>
      </c>
      <c r="G473" s="1">
        <v>18566</v>
      </c>
      <c r="H473" s="1">
        <v>41645</v>
      </c>
      <c r="I473" t="str">
        <f>"15"</f>
        <v>15</v>
      </c>
      <c r="J473" t="s">
        <v>36</v>
      </c>
      <c r="K473" t="s">
        <v>98</v>
      </c>
      <c r="L473" t="s">
        <v>37</v>
      </c>
      <c r="M473" t="s">
        <v>257</v>
      </c>
      <c r="N473" s="1">
        <v>41659</v>
      </c>
      <c r="O473">
        <v>10753.08</v>
      </c>
      <c r="P473">
        <v>2688.4</v>
      </c>
      <c r="Q473" t="s">
        <v>28</v>
      </c>
      <c r="R473" t="s">
        <v>258</v>
      </c>
      <c r="S473" t="s">
        <v>78</v>
      </c>
      <c r="T473" t="s">
        <v>79</v>
      </c>
    </row>
    <row r="474" spans="1:20" x14ac:dyDescent="0.25">
      <c r="A474" t="s">
        <v>1756</v>
      </c>
      <c r="B474" t="str">
        <f>"6118"</f>
        <v>6118</v>
      </c>
      <c r="C474" t="str">
        <f>"273726118"</f>
        <v>273726118</v>
      </c>
      <c r="D474" t="s">
        <v>1757</v>
      </c>
      <c r="E474" t="s">
        <v>466</v>
      </c>
      <c r="F474" t="s">
        <v>97</v>
      </c>
      <c r="G474" s="1">
        <v>28070</v>
      </c>
      <c r="H474" s="1">
        <v>41645</v>
      </c>
      <c r="I474" t="str">
        <f>"01"</f>
        <v>01</v>
      </c>
      <c r="J474" t="s">
        <v>116</v>
      </c>
      <c r="L474" t="s">
        <v>37</v>
      </c>
      <c r="M474" t="s">
        <v>143</v>
      </c>
      <c r="N474" s="1">
        <v>41658</v>
      </c>
      <c r="O474">
        <v>185.9</v>
      </c>
      <c r="P474">
        <v>-185.9</v>
      </c>
      <c r="Q474" t="s">
        <v>28</v>
      </c>
      <c r="R474" t="s">
        <v>51</v>
      </c>
      <c r="S474" t="s">
        <v>584</v>
      </c>
      <c r="T474" t="s">
        <v>585</v>
      </c>
    </row>
    <row r="475" spans="1:20" x14ac:dyDescent="0.25">
      <c r="A475" t="s">
        <v>1758</v>
      </c>
      <c r="B475" t="str">
        <f>"5666"</f>
        <v>5666</v>
      </c>
      <c r="C475" t="str">
        <f>"383765666"</f>
        <v>383765666</v>
      </c>
      <c r="D475" t="s">
        <v>1759</v>
      </c>
      <c r="E475" t="s">
        <v>1760</v>
      </c>
      <c r="F475" t="s">
        <v>49</v>
      </c>
      <c r="G475" s="1">
        <v>25892</v>
      </c>
      <c r="H475" s="1">
        <v>41645</v>
      </c>
      <c r="I475" t="str">
        <f>"41"</f>
        <v>41</v>
      </c>
      <c r="J475" t="s">
        <v>24</v>
      </c>
      <c r="K475" t="s">
        <v>25</v>
      </c>
      <c r="L475" t="s">
        <v>26</v>
      </c>
      <c r="M475" t="s">
        <v>27</v>
      </c>
      <c r="N475" s="1">
        <v>18629</v>
      </c>
      <c r="O475">
        <v>0</v>
      </c>
      <c r="P475">
        <v>0</v>
      </c>
      <c r="Q475" t="s">
        <v>37</v>
      </c>
      <c r="R475" t="s">
        <v>29</v>
      </c>
      <c r="S475" t="s">
        <v>1761</v>
      </c>
      <c r="T475" t="s">
        <v>1762</v>
      </c>
    </row>
    <row r="476" spans="1:20" x14ac:dyDescent="0.25">
      <c r="A476" t="s">
        <v>1763</v>
      </c>
      <c r="B476" t="str">
        <f>"9513"</f>
        <v>9513</v>
      </c>
      <c r="C476" t="str">
        <f>"286729513"</f>
        <v>286729513</v>
      </c>
      <c r="D476" t="s">
        <v>1764</v>
      </c>
      <c r="E476" t="s">
        <v>812</v>
      </c>
      <c r="F476" t="s">
        <v>556</v>
      </c>
      <c r="G476" s="1">
        <v>25329</v>
      </c>
      <c r="H476" s="1">
        <v>41645</v>
      </c>
      <c r="I476" t="str">
        <f>"41"</f>
        <v>41</v>
      </c>
      <c r="J476" t="s">
        <v>24</v>
      </c>
      <c r="K476" t="s">
        <v>25</v>
      </c>
      <c r="L476" t="s">
        <v>26</v>
      </c>
      <c r="M476" t="s">
        <v>27</v>
      </c>
      <c r="N476" s="1">
        <v>18629</v>
      </c>
      <c r="O476">
        <v>0</v>
      </c>
      <c r="P476">
        <v>0</v>
      </c>
      <c r="Q476" t="s">
        <v>37</v>
      </c>
      <c r="R476" t="s">
        <v>71</v>
      </c>
      <c r="S476" t="s">
        <v>72</v>
      </c>
      <c r="T476" t="s">
        <v>73</v>
      </c>
    </row>
    <row r="477" spans="1:20" x14ac:dyDescent="0.25">
      <c r="A477" t="s">
        <v>1765</v>
      </c>
      <c r="B477" t="str">
        <f>"1906"</f>
        <v>1906</v>
      </c>
      <c r="C477" t="str">
        <f>"597221906"</f>
        <v>597221906</v>
      </c>
      <c r="D477" t="s">
        <v>1766</v>
      </c>
      <c r="E477" t="s">
        <v>1767</v>
      </c>
      <c r="F477" t="s">
        <v>358</v>
      </c>
      <c r="G477" s="1">
        <v>32454</v>
      </c>
      <c r="H477" s="1">
        <v>41645</v>
      </c>
      <c r="I477" t="str">
        <f>"30"</f>
        <v>30</v>
      </c>
      <c r="J477" t="s">
        <v>50</v>
      </c>
      <c r="K477" t="s">
        <v>25</v>
      </c>
      <c r="L477" t="s">
        <v>26</v>
      </c>
      <c r="M477" t="s">
        <v>27</v>
      </c>
      <c r="N477" s="1">
        <v>18629</v>
      </c>
      <c r="O477">
        <v>0</v>
      </c>
      <c r="P477">
        <v>0</v>
      </c>
      <c r="Q477" t="s">
        <v>37</v>
      </c>
      <c r="R477" t="s">
        <v>71</v>
      </c>
      <c r="S477" t="s">
        <v>522</v>
      </c>
      <c r="T477" t="s">
        <v>523</v>
      </c>
    </row>
    <row r="478" spans="1:20" x14ac:dyDescent="0.25">
      <c r="A478" t="s">
        <v>1768</v>
      </c>
      <c r="B478" t="str">
        <f>"5886"</f>
        <v>5886</v>
      </c>
      <c r="C478" t="str">
        <f>"272565886"</f>
        <v>272565886</v>
      </c>
      <c r="D478" t="s">
        <v>1769</v>
      </c>
      <c r="E478" t="s">
        <v>35</v>
      </c>
      <c r="F478" t="s">
        <v>97</v>
      </c>
      <c r="G478" s="1">
        <v>24675</v>
      </c>
      <c r="H478" s="1">
        <v>41645</v>
      </c>
      <c r="I478" t="str">
        <f>"52"</f>
        <v>52</v>
      </c>
      <c r="J478" t="s">
        <v>330</v>
      </c>
      <c r="K478" t="s">
        <v>25</v>
      </c>
      <c r="L478" t="s">
        <v>26</v>
      </c>
      <c r="M478" t="s">
        <v>27</v>
      </c>
      <c r="N478" s="1">
        <v>18629</v>
      </c>
      <c r="O478">
        <v>0</v>
      </c>
      <c r="P478">
        <v>0</v>
      </c>
      <c r="Q478" t="s">
        <v>28</v>
      </c>
      <c r="R478" t="s">
        <v>258</v>
      </c>
      <c r="S478" t="s">
        <v>331</v>
      </c>
      <c r="T478" t="s">
        <v>332</v>
      </c>
    </row>
    <row r="479" spans="1:20" x14ac:dyDescent="0.25">
      <c r="A479" t="s">
        <v>1770</v>
      </c>
      <c r="B479" t="str">
        <f>"9609"</f>
        <v>9609</v>
      </c>
      <c r="C479" t="str">
        <f>"294569609"</f>
        <v>294569609</v>
      </c>
      <c r="D479" t="s">
        <v>114</v>
      </c>
      <c r="E479" t="s">
        <v>263</v>
      </c>
      <c r="F479" t="s">
        <v>264</v>
      </c>
      <c r="G479" s="1">
        <v>25956</v>
      </c>
      <c r="H479" s="1">
        <v>41645</v>
      </c>
      <c r="I479" t="str">
        <f>"20"</f>
        <v>20</v>
      </c>
      <c r="J479" t="s">
        <v>123</v>
      </c>
      <c r="K479" t="s">
        <v>98</v>
      </c>
      <c r="L479" t="s">
        <v>37</v>
      </c>
      <c r="M479" t="s">
        <v>99</v>
      </c>
      <c r="N479" s="1">
        <v>41673</v>
      </c>
      <c r="O479">
        <v>14801.82</v>
      </c>
      <c r="P479">
        <v>3700.4</v>
      </c>
      <c r="Q479" t="s">
        <v>28</v>
      </c>
      <c r="R479" t="s">
        <v>51</v>
      </c>
      <c r="S479" s="2" t="s">
        <v>64</v>
      </c>
      <c r="T479" t="s">
        <v>65</v>
      </c>
    </row>
    <row r="480" spans="1:20" x14ac:dyDescent="0.25">
      <c r="A480" t="s">
        <v>1771</v>
      </c>
      <c r="B480" t="str">
        <f>"6523"</f>
        <v>6523</v>
      </c>
      <c r="C480" t="str">
        <f>"380786523"</f>
        <v>380786523</v>
      </c>
      <c r="D480" t="s">
        <v>1772</v>
      </c>
      <c r="E480" t="s">
        <v>1773</v>
      </c>
      <c r="F480" t="s">
        <v>264</v>
      </c>
      <c r="G480" s="1">
        <v>27773</v>
      </c>
      <c r="H480" s="1">
        <v>41643</v>
      </c>
      <c r="I480" t="str">
        <f>"41"</f>
        <v>41</v>
      </c>
      <c r="J480" t="s">
        <v>24</v>
      </c>
      <c r="K480" t="s">
        <v>25</v>
      </c>
      <c r="L480" t="s">
        <v>26</v>
      </c>
      <c r="M480" t="s">
        <v>27</v>
      </c>
      <c r="N480" s="1">
        <v>18629</v>
      </c>
      <c r="O480">
        <v>0</v>
      </c>
      <c r="P480">
        <v>0</v>
      </c>
      <c r="Q480" t="s">
        <v>28</v>
      </c>
      <c r="R480" t="s">
        <v>71</v>
      </c>
      <c r="S480" t="s">
        <v>1774</v>
      </c>
      <c r="T480" t="s">
        <v>1775</v>
      </c>
    </row>
    <row r="481" spans="1:20" x14ac:dyDescent="0.25">
      <c r="A481" t="s">
        <v>1776</v>
      </c>
      <c r="B481" t="str">
        <f>"6171"</f>
        <v>6171</v>
      </c>
      <c r="C481" t="str">
        <f>"404116171"</f>
        <v>404116171</v>
      </c>
      <c r="D481" t="s">
        <v>1383</v>
      </c>
      <c r="E481" t="s">
        <v>959</v>
      </c>
      <c r="F481" t="s">
        <v>282</v>
      </c>
      <c r="G481" s="1">
        <v>28316</v>
      </c>
      <c r="H481" s="1">
        <v>41641</v>
      </c>
      <c r="I481" t="str">
        <f>"01"</f>
        <v>01</v>
      </c>
      <c r="J481" t="s">
        <v>116</v>
      </c>
      <c r="K481" t="s">
        <v>98</v>
      </c>
      <c r="L481" t="s">
        <v>37</v>
      </c>
      <c r="M481" t="s">
        <v>117</v>
      </c>
      <c r="N481" s="1">
        <v>41617</v>
      </c>
      <c r="O481">
        <v>4951.96</v>
      </c>
      <c r="P481">
        <v>1237.8599999999999</v>
      </c>
      <c r="Q481" t="s">
        <v>28</v>
      </c>
      <c r="R481" t="s">
        <v>38</v>
      </c>
      <c r="S481" t="s">
        <v>1777</v>
      </c>
      <c r="T481" t="s">
        <v>1778</v>
      </c>
    </row>
    <row r="482" spans="1:20" x14ac:dyDescent="0.25">
      <c r="A482" t="s">
        <v>1779</v>
      </c>
      <c r="B482" t="str">
        <f>"4394"</f>
        <v>4394</v>
      </c>
      <c r="C482" t="str">
        <f>"292904394"</f>
        <v>292904394</v>
      </c>
      <c r="D482" t="s">
        <v>1084</v>
      </c>
      <c r="E482" t="s">
        <v>322</v>
      </c>
      <c r="F482" t="s">
        <v>69</v>
      </c>
      <c r="G482" s="1">
        <v>32801</v>
      </c>
      <c r="H482" s="1">
        <v>41641</v>
      </c>
      <c r="I482" t="str">
        <f>"41"</f>
        <v>41</v>
      </c>
      <c r="J482" t="s">
        <v>24</v>
      </c>
      <c r="K482" t="s">
        <v>25</v>
      </c>
      <c r="L482" t="s">
        <v>26</v>
      </c>
      <c r="M482" t="s">
        <v>27</v>
      </c>
      <c r="N482" s="1">
        <v>18629</v>
      </c>
      <c r="O482">
        <v>0</v>
      </c>
      <c r="P482">
        <v>0</v>
      </c>
      <c r="Q482" t="s">
        <v>37</v>
      </c>
      <c r="R482" t="s">
        <v>71</v>
      </c>
      <c r="S482" t="s">
        <v>1780</v>
      </c>
      <c r="T482" t="s">
        <v>1781</v>
      </c>
    </row>
    <row r="483" spans="1:20" x14ac:dyDescent="0.25">
      <c r="A483" t="s">
        <v>1782</v>
      </c>
      <c r="B483" t="str">
        <f>"5297"</f>
        <v>5297</v>
      </c>
      <c r="C483" t="str">
        <f>"275645297"</f>
        <v>275645297</v>
      </c>
      <c r="D483" t="s">
        <v>1783</v>
      </c>
      <c r="E483" t="s">
        <v>1784</v>
      </c>
      <c r="F483" t="s">
        <v>358</v>
      </c>
      <c r="G483" s="1">
        <v>26020</v>
      </c>
      <c r="H483" s="1">
        <v>41641</v>
      </c>
      <c r="I483" t="str">
        <f>"20"</f>
        <v>20</v>
      </c>
      <c r="J483" t="s">
        <v>123</v>
      </c>
      <c r="K483" t="s">
        <v>98</v>
      </c>
      <c r="L483" t="s">
        <v>37</v>
      </c>
      <c r="M483" t="s">
        <v>99</v>
      </c>
      <c r="N483" s="1">
        <v>41673</v>
      </c>
      <c r="O483">
        <v>14801.82</v>
      </c>
      <c r="P483">
        <v>3700.4</v>
      </c>
      <c r="Q483" t="s">
        <v>37</v>
      </c>
      <c r="R483" t="s">
        <v>29</v>
      </c>
      <c r="S483" t="s">
        <v>138</v>
      </c>
      <c r="T483" t="s">
        <v>139</v>
      </c>
    </row>
    <row r="484" spans="1:20" x14ac:dyDescent="0.25">
      <c r="A484" t="s">
        <v>1785</v>
      </c>
      <c r="B484" t="str">
        <f>"6661"</f>
        <v>6661</v>
      </c>
      <c r="C484" t="str">
        <f>"059646661"</f>
        <v>059646661</v>
      </c>
      <c r="D484" t="s">
        <v>1786</v>
      </c>
      <c r="E484" t="s">
        <v>430</v>
      </c>
      <c r="F484" t="s">
        <v>466</v>
      </c>
      <c r="G484" s="1">
        <v>24557</v>
      </c>
      <c r="H484" s="1">
        <v>41641</v>
      </c>
      <c r="I484" t="str">
        <f>"20"</f>
        <v>20</v>
      </c>
      <c r="J484" t="s">
        <v>123</v>
      </c>
      <c r="L484" t="s">
        <v>37</v>
      </c>
      <c r="M484" t="s">
        <v>143</v>
      </c>
      <c r="N484" s="1">
        <v>41659</v>
      </c>
      <c r="O484">
        <v>185.9</v>
      </c>
      <c r="P484">
        <v>-185.9</v>
      </c>
      <c r="Q484" t="s">
        <v>28</v>
      </c>
      <c r="R484" t="s">
        <v>29</v>
      </c>
      <c r="S484" t="s">
        <v>138</v>
      </c>
      <c r="T484" t="s">
        <v>139</v>
      </c>
    </row>
    <row r="485" spans="1:20" x14ac:dyDescent="0.25">
      <c r="A485" t="s">
        <v>1787</v>
      </c>
      <c r="B485" t="str">
        <f>"4743"</f>
        <v>4743</v>
      </c>
      <c r="C485" t="str">
        <f>"282884743"</f>
        <v>282884743</v>
      </c>
      <c r="D485" t="s">
        <v>1788</v>
      </c>
      <c r="E485" t="s">
        <v>604</v>
      </c>
      <c r="G485" s="1">
        <v>28589</v>
      </c>
      <c r="H485" s="1">
        <v>41641</v>
      </c>
      <c r="I485" t="str">
        <f>"20"</f>
        <v>20</v>
      </c>
      <c r="J485" t="s">
        <v>123</v>
      </c>
      <c r="K485" t="s">
        <v>98</v>
      </c>
      <c r="L485" t="s">
        <v>37</v>
      </c>
      <c r="M485" t="s">
        <v>99</v>
      </c>
      <c r="N485" s="1">
        <v>41659</v>
      </c>
      <c r="O485">
        <v>14801.82</v>
      </c>
      <c r="P485">
        <v>3700.4</v>
      </c>
      <c r="Q485" t="s">
        <v>37</v>
      </c>
      <c r="R485" t="s">
        <v>29</v>
      </c>
      <c r="S485" t="s">
        <v>138</v>
      </c>
      <c r="T485" t="s">
        <v>139</v>
      </c>
    </row>
    <row r="486" spans="1:20" x14ac:dyDescent="0.25">
      <c r="A486" t="s">
        <v>1789</v>
      </c>
      <c r="B486" t="str">
        <f>"1369"</f>
        <v>1369</v>
      </c>
      <c r="C486" t="str">
        <f>"278681369"</f>
        <v>278681369</v>
      </c>
      <c r="D486" t="s">
        <v>1790</v>
      </c>
      <c r="E486" t="s">
        <v>604</v>
      </c>
      <c r="F486" t="s">
        <v>37</v>
      </c>
      <c r="G486" s="1">
        <v>25079</v>
      </c>
      <c r="H486" s="1">
        <v>41641</v>
      </c>
      <c r="I486" t="str">
        <f>"12"</f>
        <v>12</v>
      </c>
      <c r="J486" t="s">
        <v>245</v>
      </c>
      <c r="K486" t="s">
        <v>98</v>
      </c>
      <c r="L486" t="s">
        <v>37</v>
      </c>
      <c r="M486" t="s">
        <v>117</v>
      </c>
      <c r="N486" s="1">
        <v>41617</v>
      </c>
      <c r="O486">
        <v>4951.96</v>
      </c>
      <c r="P486">
        <v>1237.8599999999999</v>
      </c>
      <c r="Q486" t="s">
        <v>37</v>
      </c>
      <c r="R486" t="s">
        <v>38</v>
      </c>
      <c r="S486" t="s">
        <v>1791</v>
      </c>
      <c r="T486" t="s">
        <v>1792</v>
      </c>
    </row>
    <row r="487" spans="1:20" x14ac:dyDescent="0.25">
      <c r="A487" t="s">
        <v>1793</v>
      </c>
      <c r="B487" t="str">
        <f>"7123"</f>
        <v>7123</v>
      </c>
      <c r="C487" t="str">
        <f>"080607123"</f>
        <v>080607123</v>
      </c>
      <c r="D487" t="s">
        <v>1794</v>
      </c>
      <c r="E487" t="s">
        <v>1292</v>
      </c>
      <c r="F487" t="s">
        <v>282</v>
      </c>
      <c r="G487" s="1">
        <v>28019</v>
      </c>
      <c r="H487" s="1">
        <v>41641</v>
      </c>
      <c r="I487" t="str">
        <f>"41"</f>
        <v>41</v>
      </c>
      <c r="J487" t="s">
        <v>24</v>
      </c>
      <c r="K487" t="s">
        <v>25</v>
      </c>
      <c r="L487" t="s">
        <v>26</v>
      </c>
      <c r="M487" t="s">
        <v>27</v>
      </c>
      <c r="N487" s="1">
        <v>18629</v>
      </c>
      <c r="O487">
        <v>0</v>
      </c>
      <c r="P487">
        <v>0</v>
      </c>
      <c r="Q487" t="s">
        <v>28</v>
      </c>
      <c r="R487" t="s">
        <v>29</v>
      </c>
      <c r="S487" t="s">
        <v>1795</v>
      </c>
      <c r="T487" t="s">
        <v>1796</v>
      </c>
    </row>
    <row r="488" spans="1:20" x14ac:dyDescent="0.25">
      <c r="A488" t="s">
        <v>1797</v>
      </c>
      <c r="B488" t="str">
        <f>"0301"</f>
        <v>0301</v>
      </c>
      <c r="C488" t="str">
        <f>"063500301"</f>
        <v>063500301</v>
      </c>
      <c r="D488" t="s">
        <v>1798</v>
      </c>
      <c r="E488" t="s">
        <v>1799</v>
      </c>
      <c r="F488" t="s">
        <v>264</v>
      </c>
      <c r="G488" s="1">
        <v>19724</v>
      </c>
      <c r="H488" s="1">
        <v>41641</v>
      </c>
      <c r="I488" t="str">
        <f>"20"</f>
        <v>20</v>
      </c>
      <c r="J488" t="s">
        <v>123</v>
      </c>
      <c r="L488" t="s">
        <v>37</v>
      </c>
      <c r="M488" t="s">
        <v>143</v>
      </c>
      <c r="N488" s="1">
        <v>41645</v>
      </c>
      <c r="O488">
        <v>185.9</v>
      </c>
      <c r="P488">
        <v>-185.9</v>
      </c>
      <c r="Q488" t="s">
        <v>37</v>
      </c>
      <c r="R488" t="s">
        <v>29</v>
      </c>
      <c r="S488" t="s">
        <v>138</v>
      </c>
      <c r="T488" t="s">
        <v>139</v>
      </c>
    </row>
    <row r="489" spans="1:20" x14ac:dyDescent="0.25">
      <c r="A489" t="s">
        <v>1800</v>
      </c>
      <c r="B489" t="str">
        <f>"4026"</f>
        <v>4026</v>
      </c>
      <c r="C489" t="str">
        <f>"299664026"</f>
        <v>299664026</v>
      </c>
      <c r="D489" t="s">
        <v>1801</v>
      </c>
      <c r="E489" t="s">
        <v>1802</v>
      </c>
      <c r="F489" t="s">
        <v>93</v>
      </c>
      <c r="G489" s="1">
        <v>23320</v>
      </c>
      <c r="H489" s="1">
        <v>41641</v>
      </c>
      <c r="I489" t="str">
        <f>"20"</f>
        <v>20</v>
      </c>
      <c r="J489" t="s">
        <v>123</v>
      </c>
      <c r="L489" t="s">
        <v>37</v>
      </c>
      <c r="M489" t="s">
        <v>143</v>
      </c>
      <c r="N489" s="1">
        <v>41673</v>
      </c>
      <c r="O489">
        <v>185.9</v>
      </c>
      <c r="P489">
        <v>-185.9</v>
      </c>
      <c r="Q489" t="s">
        <v>37</v>
      </c>
      <c r="R489" t="s">
        <v>29</v>
      </c>
      <c r="S489" t="s">
        <v>138</v>
      </c>
      <c r="T489" t="s">
        <v>139</v>
      </c>
    </row>
    <row r="490" spans="1:20" x14ac:dyDescent="0.25">
      <c r="A490" t="s">
        <v>1803</v>
      </c>
      <c r="B490" t="str">
        <f>"1843"</f>
        <v>1843</v>
      </c>
      <c r="C490" t="str">
        <f>"296701843"</f>
        <v>296701843</v>
      </c>
      <c r="D490" t="s">
        <v>1804</v>
      </c>
      <c r="E490" t="s">
        <v>544</v>
      </c>
      <c r="F490" t="s">
        <v>44</v>
      </c>
      <c r="G490" s="1">
        <v>26190</v>
      </c>
      <c r="H490" s="1">
        <v>41641</v>
      </c>
      <c r="I490" t="str">
        <f>"20"</f>
        <v>20</v>
      </c>
      <c r="J490" t="s">
        <v>123</v>
      </c>
      <c r="K490" t="s">
        <v>98</v>
      </c>
      <c r="L490" t="s">
        <v>37</v>
      </c>
      <c r="M490" t="s">
        <v>99</v>
      </c>
      <c r="N490" s="1">
        <v>41673</v>
      </c>
      <c r="O490">
        <v>14801.82</v>
      </c>
      <c r="P490">
        <v>3700.4</v>
      </c>
      <c r="Q490" t="s">
        <v>37</v>
      </c>
      <c r="R490" t="s">
        <v>100</v>
      </c>
      <c r="S490" t="s">
        <v>138</v>
      </c>
      <c r="T490" t="s">
        <v>139</v>
      </c>
    </row>
    <row r="491" spans="1:20" x14ac:dyDescent="0.25">
      <c r="A491" t="s">
        <v>1805</v>
      </c>
      <c r="B491" t="str">
        <f>"8189"</f>
        <v>8189</v>
      </c>
      <c r="C491" t="str">
        <f>"280548189"</f>
        <v>280548189</v>
      </c>
      <c r="D491" t="s">
        <v>866</v>
      </c>
      <c r="E491" t="s">
        <v>1806</v>
      </c>
      <c r="G491" s="1">
        <v>20535</v>
      </c>
      <c r="H491" s="1">
        <v>41641</v>
      </c>
      <c r="I491" t="str">
        <f>"20"</f>
        <v>20</v>
      </c>
      <c r="J491" t="s">
        <v>123</v>
      </c>
      <c r="K491" t="s">
        <v>98</v>
      </c>
      <c r="L491" t="s">
        <v>37</v>
      </c>
      <c r="M491" t="s">
        <v>117</v>
      </c>
      <c r="N491" s="1">
        <v>41659</v>
      </c>
      <c r="O491">
        <v>4951.9799999999996</v>
      </c>
      <c r="P491">
        <v>1237.94</v>
      </c>
      <c r="Q491" t="s">
        <v>37</v>
      </c>
      <c r="R491" t="s">
        <v>29</v>
      </c>
      <c r="S491" t="s">
        <v>138</v>
      </c>
      <c r="T491" t="s">
        <v>139</v>
      </c>
    </row>
    <row r="492" spans="1:20" x14ac:dyDescent="0.25">
      <c r="A492" t="s">
        <v>1807</v>
      </c>
      <c r="B492" t="str">
        <f>"3802"</f>
        <v>3802</v>
      </c>
      <c r="C492" t="str">
        <f>"268563802"</f>
        <v>268563802</v>
      </c>
      <c r="D492" t="s">
        <v>310</v>
      </c>
      <c r="E492" t="s">
        <v>1808</v>
      </c>
      <c r="F492" t="s">
        <v>44</v>
      </c>
      <c r="G492" s="1">
        <v>20451</v>
      </c>
      <c r="H492" s="1">
        <v>41641</v>
      </c>
      <c r="I492" t="str">
        <f>"20"</f>
        <v>20</v>
      </c>
      <c r="J492" t="s">
        <v>123</v>
      </c>
      <c r="K492" t="s">
        <v>98</v>
      </c>
      <c r="L492" t="s">
        <v>37</v>
      </c>
      <c r="M492" t="s">
        <v>117</v>
      </c>
      <c r="N492" s="1">
        <v>41659</v>
      </c>
      <c r="O492">
        <v>4951.9799999999996</v>
      </c>
      <c r="P492">
        <v>1237.94</v>
      </c>
      <c r="Q492" t="s">
        <v>37</v>
      </c>
      <c r="R492" t="s">
        <v>29</v>
      </c>
      <c r="S492" t="s">
        <v>138</v>
      </c>
      <c r="T492" t="s">
        <v>139</v>
      </c>
    </row>
    <row r="493" spans="1:20" x14ac:dyDescent="0.25">
      <c r="A493" t="s">
        <v>1809</v>
      </c>
      <c r="B493" t="str">
        <f>"9098"</f>
        <v>9098</v>
      </c>
      <c r="C493" t="str">
        <f>"296669098"</f>
        <v>296669098</v>
      </c>
      <c r="D493" t="s">
        <v>1810</v>
      </c>
      <c r="E493" t="s">
        <v>544</v>
      </c>
      <c r="F493" t="s">
        <v>28</v>
      </c>
      <c r="G493" s="1">
        <v>24455</v>
      </c>
      <c r="H493" s="1">
        <v>41631</v>
      </c>
      <c r="I493" t="str">
        <f>"03"</f>
        <v>03</v>
      </c>
      <c r="J493" t="s">
        <v>70</v>
      </c>
      <c r="L493" t="s">
        <v>37</v>
      </c>
      <c r="M493" t="s">
        <v>143</v>
      </c>
      <c r="N493" s="1">
        <v>41645</v>
      </c>
      <c r="O493">
        <v>185.9</v>
      </c>
      <c r="P493">
        <v>-185.9</v>
      </c>
      <c r="Q493" t="s">
        <v>37</v>
      </c>
      <c r="R493" t="s">
        <v>29</v>
      </c>
      <c r="S493" t="s">
        <v>1264</v>
      </c>
      <c r="T493" t="s">
        <v>1265</v>
      </c>
    </row>
    <row r="494" spans="1:20" x14ac:dyDescent="0.25">
      <c r="A494" t="s">
        <v>1811</v>
      </c>
      <c r="B494" t="str">
        <f>"2945"</f>
        <v>2945</v>
      </c>
      <c r="C494" t="str">
        <f>"294702945"</f>
        <v>294702945</v>
      </c>
      <c r="D494" t="s">
        <v>1812</v>
      </c>
      <c r="E494" t="s">
        <v>1813</v>
      </c>
      <c r="G494" s="1">
        <v>23984</v>
      </c>
      <c r="H494" s="1">
        <v>41631</v>
      </c>
      <c r="I494" t="str">
        <f>"12"</f>
        <v>12</v>
      </c>
      <c r="J494" t="s">
        <v>245</v>
      </c>
      <c r="K494" t="s">
        <v>98</v>
      </c>
      <c r="L494" t="s">
        <v>37</v>
      </c>
      <c r="M494" t="s">
        <v>99</v>
      </c>
      <c r="N494" s="1">
        <v>41659</v>
      </c>
      <c r="O494">
        <v>14801.8</v>
      </c>
      <c r="P494">
        <v>3700.32</v>
      </c>
      <c r="Q494" t="s">
        <v>37</v>
      </c>
      <c r="R494" t="s">
        <v>258</v>
      </c>
      <c r="S494" t="s">
        <v>1062</v>
      </c>
      <c r="T494" t="s">
        <v>1063</v>
      </c>
    </row>
    <row r="495" spans="1:20" x14ac:dyDescent="0.25">
      <c r="A495" t="s">
        <v>1814</v>
      </c>
      <c r="B495" t="str">
        <f>"4287"</f>
        <v>4287</v>
      </c>
      <c r="C495" t="str">
        <f>"207604287"</f>
        <v>207604287</v>
      </c>
      <c r="D495" t="s">
        <v>1815</v>
      </c>
      <c r="E495" t="s">
        <v>1816</v>
      </c>
      <c r="F495" t="s">
        <v>93</v>
      </c>
      <c r="G495" s="1">
        <v>28846</v>
      </c>
      <c r="H495" s="1">
        <v>41631</v>
      </c>
      <c r="I495" t="str">
        <f>"12"</f>
        <v>12</v>
      </c>
      <c r="J495" t="s">
        <v>245</v>
      </c>
      <c r="K495" t="s">
        <v>98</v>
      </c>
      <c r="L495" t="s">
        <v>37</v>
      </c>
      <c r="M495" t="s">
        <v>117</v>
      </c>
      <c r="N495" s="1">
        <v>41659</v>
      </c>
      <c r="O495">
        <v>4951.96</v>
      </c>
      <c r="P495">
        <v>1237.8599999999999</v>
      </c>
      <c r="Q495" t="s">
        <v>28</v>
      </c>
      <c r="R495" t="s">
        <v>38</v>
      </c>
      <c r="S495" t="s">
        <v>1062</v>
      </c>
      <c r="T495" t="s">
        <v>1063</v>
      </c>
    </row>
    <row r="496" spans="1:20" x14ac:dyDescent="0.25">
      <c r="A496" t="s">
        <v>1817</v>
      </c>
      <c r="B496" t="str">
        <f>"8198"</f>
        <v>8198</v>
      </c>
      <c r="C496" t="str">
        <f>"276608198"</f>
        <v>276608198</v>
      </c>
      <c r="D496" t="s">
        <v>1818</v>
      </c>
      <c r="E496" t="s">
        <v>197</v>
      </c>
      <c r="F496" t="s">
        <v>219</v>
      </c>
      <c r="G496" s="1">
        <v>25943</v>
      </c>
      <c r="H496" s="1">
        <v>41631</v>
      </c>
      <c r="I496" t="str">
        <f>"01"</f>
        <v>01</v>
      </c>
      <c r="J496" t="s">
        <v>116</v>
      </c>
      <c r="K496" t="s">
        <v>98</v>
      </c>
      <c r="L496" t="s">
        <v>37</v>
      </c>
      <c r="M496" t="s">
        <v>117</v>
      </c>
      <c r="N496" s="1">
        <v>41645</v>
      </c>
      <c r="O496">
        <v>4951.96</v>
      </c>
      <c r="P496">
        <v>1237.8599999999999</v>
      </c>
      <c r="Q496" t="s">
        <v>28</v>
      </c>
      <c r="R496" t="s">
        <v>38</v>
      </c>
      <c r="S496" t="s">
        <v>1819</v>
      </c>
      <c r="T496" t="s">
        <v>1820</v>
      </c>
    </row>
    <row r="497" spans="1:20" x14ac:dyDescent="0.25">
      <c r="A497" t="s">
        <v>1821</v>
      </c>
      <c r="B497" t="str">
        <f>"1219"</f>
        <v>1219</v>
      </c>
      <c r="C497" t="str">
        <f>"301881219"</f>
        <v>301881219</v>
      </c>
      <c r="D497" t="s">
        <v>1822</v>
      </c>
      <c r="E497" t="s">
        <v>812</v>
      </c>
      <c r="F497" t="s">
        <v>28</v>
      </c>
      <c r="G497" s="1">
        <v>30074</v>
      </c>
      <c r="H497" s="1">
        <v>41631</v>
      </c>
      <c r="I497" t="str">
        <f>"15"</f>
        <v>15</v>
      </c>
      <c r="J497" t="s">
        <v>36</v>
      </c>
      <c r="K497" t="s">
        <v>98</v>
      </c>
      <c r="L497" t="s">
        <v>37</v>
      </c>
      <c r="M497" t="s">
        <v>117</v>
      </c>
      <c r="N497" s="1">
        <v>41645</v>
      </c>
      <c r="O497">
        <v>4951.96</v>
      </c>
      <c r="P497">
        <v>1237.8599999999999</v>
      </c>
      <c r="Q497" t="s">
        <v>37</v>
      </c>
      <c r="R497" t="s">
        <v>38</v>
      </c>
      <c r="S497" t="s">
        <v>545</v>
      </c>
      <c r="T497" t="s">
        <v>546</v>
      </c>
    </row>
    <row r="498" spans="1:20" x14ac:dyDescent="0.25">
      <c r="A498" t="s">
        <v>1823</v>
      </c>
      <c r="B498" t="str">
        <f>"2092"</f>
        <v>2092</v>
      </c>
      <c r="C498" t="str">
        <f>"180462092"</f>
        <v>180462092</v>
      </c>
      <c r="D498" t="s">
        <v>1824</v>
      </c>
      <c r="E498" t="s">
        <v>179</v>
      </c>
      <c r="G498" s="1">
        <v>19731</v>
      </c>
      <c r="H498" s="1">
        <v>41631</v>
      </c>
      <c r="I498" t="str">
        <f>"51"</f>
        <v>51</v>
      </c>
      <c r="J498" t="s">
        <v>471</v>
      </c>
      <c r="K498" t="s">
        <v>25</v>
      </c>
      <c r="L498" t="s">
        <v>26</v>
      </c>
      <c r="M498" t="s">
        <v>27</v>
      </c>
      <c r="N498" s="1">
        <v>18629</v>
      </c>
      <c r="O498">
        <v>0</v>
      </c>
      <c r="P498">
        <v>0</v>
      </c>
      <c r="Q498" t="s">
        <v>28</v>
      </c>
      <c r="R498" t="s">
        <v>71</v>
      </c>
      <c r="S498" t="s">
        <v>790</v>
      </c>
      <c r="T498" t="s">
        <v>791</v>
      </c>
    </row>
    <row r="499" spans="1:20" x14ac:dyDescent="0.25">
      <c r="A499" t="s">
        <v>1825</v>
      </c>
      <c r="B499" t="str">
        <f>"4185"</f>
        <v>4185</v>
      </c>
      <c r="C499" t="str">
        <f>"290784185"</f>
        <v>290784185</v>
      </c>
      <c r="D499" t="s">
        <v>1826</v>
      </c>
      <c r="E499" t="s">
        <v>1827</v>
      </c>
      <c r="F499" t="s">
        <v>69</v>
      </c>
      <c r="G499" s="1">
        <v>26751</v>
      </c>
      <c r="H499" s="1">
        <v>41631</v>
      </c>
      <c r="I499" t="str">
        <f>"15"</f>
        <v>15</v>
      </c>
      <c r="J499" t="s">
        <v>36</v>
      </c>
      <c r="K499" t="s">
        <v>98</v>
      </c>
      <c r="L499" t="s">
        <v>37</v>
      </c>
      <c r="M499" t="s">
        <v>117</v>
      </c>
      <c r="N499" s="1">
        <v>41645</v>
      </c>
      <c r="O499">
        <v>4951.96</v>
      </c>
      <c r="P499">
        <v>1237.8599999999999</v>
      </c>
      <c r="Q499" t="s">
        <v>37</v>
      </c>
      <c r="R499" t="s">
        <v>29</v>
      </c>
      <c r="S499" t="s">
        <v>1828</v>
      </c>
      <c r="T499" t="s">
        <v>1829</v>
      </c>
    </row>
    <row r="500" spans="1:20" x14ac:dyDescent="0.25">
      <c r="A500" t="s">
        <v>1830</v>
      </c>
      <c r="B500" t="str">
        <f>"2989"</f>
        <v>2989</v>
      </c>
      <c r="C500" t="str">
        <f>"295822989"</f>
        <v>295822989</v>
      </c>
      <c r="D500" t="s">
        <v>1831</v>
      </c>
      <c r="E500" t="s">
        <v>1832</v>
      </c>
      <c r="F500" t="s">
        <v>28</v>
      </c>
      <c r="G500" s="1">
        <v>26892</v>
      </c>
      <c r="H500" s="1">
        <v>41631</v>
      </c>
      <c r="I500" t="str">
        <f>"15"</f>
        <v>15</v>
      </c>
      <c r="J500" t="s">
        <v>36</v>
      </c>
      <c r="K500" t="s">
        <v>175</v>
      </c>
      <c r="L500" t="s">
        <v>37</v>
      </c>
      <c r="M500" t="s">
        <v>117</v>
      </c>
      <c r="N500" s="1">
        <v>41659</v>
      </c>
      <c r="O500">
        <v>5288.66</v>
      </c>
      <c r="P500">
        <v>1322.1</v>
      </c>
      <c r="Q500" t="s">
        <v>28</v>
      </c>
      <c r="R500" t="s">
        <v>38</v>
      </c>
      <c r="S500" t="s">
        <v>1819</v>
      </c>
      <c r="T500" t="s">
        <v>1820</v>
      </c>
    </row>
    <row r="501" spans="1:20" x14ac:dyDescent="0.25">
      <c r="A501" t="s">
        <v>1833</v>
      </c>
      <c r="B501" t="str">
        <f>"0150"</f>
        <v>0150</v>
      </c>
      <c r="C501" t="str">
        <f>"285860150"</f>
        <v>285860150</v>
      </c>
      <c r="D501" t="s">
        <v>1834</v>
      </c>
      <c r="E501" t="s">
        <v>1835</v>
      </c>
      <c r="G501" s="1">
        <v>28298</v>
      </c>
      <c r="H501" s="1">
        <v>41625</v>
      </c>
      <c r="I501" t="str">
        <f>"03"</f>
        <v>03</v>
      </c>
      <c r="J501" t="s">
        <v>70</v>
      </c>
      <c r="L501" t="s">
        <v>37</v>
      </c>
      <c r="M501" t="s">
        <v>143</v>
      </c>
      <c r="N501" s="1">
        <v>41617</v>
      </c>
      <c r="O501">
        <v>185.9</v>
      </c>
      <c r="P501">
        <v>-185.9</v>
      </c>
      <c r="Q501" t="s">
        <v>37</v>
      </c>
      <c r="R501" t="s">
        <v>110</v>
      </c>
      <c r="S501" t="s">
        <v>482</v>
      </c>
      <c r="T501" t="s">
        <v>483</v>
      </c>
    </row>
    <row r="502" spans="1:20" x14ac:dyDescent="0.25">
      <c r="A502" t="s">
        <v>1836</v>
      </c>
      <c r="B502" t="str">
        <f>"4045"</f>
        <v>4045</v>
      </c>
      <c r="C502" t="str">
        <f>"270664045"</f>
        <v>270664045</v>
      </c>
      <c r="D502" t="s">
        <v>1087</v>
      </c>
      <c r="E502" t="s">
        <v>381</v>
      </c>
      <c r="F502" t="s">
        <v>44</v>
      </c>
      <c r="G502" s="1">
        <v>23081</v>
      </c>
      <c r="H502" s="1">
        <v>41617</v>
      </c>
      <c r="I502" t="str">
        <f>"03"</f>
        <v>03</v>
      </c>
      <c r="J502" t="s">
        <v>70</v>
      </c>
      <c r="K502" t="s">
        <v>175</v>
      </c>
      <c r="L502" t="s">
        <v>37</v>
      </c>
      <c r="M502" t="s">
        <v>257</v>
      </c>
      <c r="N502" s="1">
        <v>41575</v>
      </c>
      <c r="O502">
        <v>11847.94</v>
      </c>
      <c r="P502">
        <v>2961.92</v>
      </c>
      <c r="Q502" t="s">
        <v>37</v>
      </c>
      <c r="R502" t="s">
        <v>110</v>
      </c>
      <c r="S502" t="s">
        <v>1837</v>
      </c>
      <c r="T502" t="s">
        <v>1838</v>
      </c>
    </row>
    <row r="503" spans="1:20" x14ac:dyDescent="0.25">
      <c r="A503" t="s">
        <v>1839</v>
      </c>
      <c r="B503" t="str">
        <f>"2680"</f>
        <v>2680</v>
      </c>
      <c r="C503" t="str">
        <f>"224172680"</f>
        <v>224172680</v>
      </c>
      <c r="D503" t="s">
        <v>1840</v>
      </c>
      <c r="E503" t="s">
        <v>1841</v>
      </c>
      <c r="F503" t="s">
        <v>44</v>
      </c>
      <c r="G503" s="1">
        <v>23314</v>
      </c>
      <c r="H503" s="1">
        <v>41617</v>
      </c>
      <c r="I503" t="str">
        <f>"01"</f>
        <v>01</v>
      </c>
      <c r="J503" t="s">
        <v>116</v>
      </c>
      <c r="K503" t="s">
        <v>98</v>
      </c>
      <c r="L503" t="s">
        <v>37</v>
      </c>
      <c r="M503" t="s">
        <v>99</v>
      </c>
      <c r="N503" s="1">
        <v>41617</v>
      </c>
      <c r="O503">
        <v>14801.8</v>
      </c>
      <c r="P503">
        <v>3700.32</v>
      </c>
      <c r="Q503" t="s">
        <v>37</v>
      </c>
      <c r="R503" t="s">
        <v>38</v>
      </c>
      <c r="S503" t="s">
        <v>1842</v>
      </c>
      <c r="T503" t="s">
        <v>1843</v>
      </c>
    </row>
    <row r="504" spans="1:20" x14ac:dyDescent="0.25">
      <c r="A504" t="s">
        <v>1844</v>
      </c>
      <c r="B504" t="str">
        <f>"8204"</f>
        <v>8204</v>
      </c>
      <c r="C504" t="str">
        <f>"271848204"</f>
        <v>271848204</v>
      </c>
      <c r="D504" t="s">
        <v>1845</v>
      </c>
      <c r="E504" t="s">
        <v>1846</v>
      </c>
      <c r="F504" t="s">
        <v>264</v>
      </c>
      <c r="G504" s="1">
        <v>29318</v>
      </c>
      <c r="H504" s="1">
        <v>41617</v>
      </c>
      <c r="I504" t="str">
        <f>"12"</f>
        <v>12</v>
      </c>
      <c r="J504" t="s">
        <v>245</v>
      </c>
      <c r="K504" t="s">
        <v>98</v>
      </c>
      <c r="L504" t="s">
        <v>37</v>
      </c>
      <c r="M504" t="s">
        <v>99</v>
      </c>
      <c r="N504" s="1">
        <v>41617</v>
      </c>
      <c r="O504">
        <v>14801.8</v>
      </c>
      <c r="P504">
        <v>3700.32</v>
      </c>
      <c r="Q504" t="s">
        <v>37</v>
      </c>
      <c r="R504" t="s">
        <v>258</v>
      </c>
      <c r="S504" t="s">
        <v>491</v>
      </c>
      <c r="T504" t="s">
        <v>492</v>
      </c>
    </row>
    <row r="505" spans="1:20" x14ac:dyDescent="0.25">
      <c r="A505" t="s">
        <v>1847</v>
      </c>
      <c r="B505" t="str">
        <f>"8565"</f>
        <v>8565</v>
      </c>
      <c r="C505" t="str">
        <f>"281848565"</f>
        <v>281848565</v>
      </c>
      <c r="D505" t="s">
        <v>1848</v>
      </c>
      <c r="E505" t="s">
        <v>1849</v>
      </c>
      <c r="F505" t="s">
        <v>28</v>
      </c>
      <c r="G505" s="1">
        <v>25594</v>
      </c>
      <c r="H505" s="1">
        <v>41617</v>
      </c>
      <c r="I505" t="str">
        <f>"01"</f>
        <v>01</v>
      </c>
      <c r="J505" t="s">
        <v>116</v>
      </c>
      <c r="L505" t="s">
        <v>37</v>
      </c>
      <c r="M505" t="s">
        <v>143</v>
      </c>
      <c r="N505" s="1">
        <v>41617</v>
      </c>
      <c r="O505">
        <v>185.9</v>
      </c>
      <c r="P505">
        <v>-185.9</v>
      </c>
      <c r="Q505" t="s">
        <v>37</v>
      </c>
      <c r="R505" t="s">
        <v>29</v>
      </c>
      <c r="S505" t="s">
        <v>185</v>
      </c>
      <c r="T505" t="s">
        <v>186</v>
      </c>
    </row>
    <row r="506" spans="1:20" x14ac:dyDescent="0.25">
      <c r="A506" t="s">
        <v>1850</v>
      </c>
      <c r="B506" t="str">
        <f>"5625"</f>
        <v>5625</v>
      </c>
      <c r="C506" t="str">
        <f>"278765625"</f>
        <v>278765625</v>
      </c>
      <c r="D506" t="s">
        <v>352</v>
      </c>
      <c r="E506" t="s">
        <v>1851</v>
      </c>
      <c r="F506" t="s">
        <v>28</v>
      </c>
      <c r="G506" s="1">
        <v>26363</v>
      </c>
      <c r="H506" s="1">
        <v>41617</v>
      </c>
      <c r="I506" t="str">
        <f>"01"</f>
        <v>01</v>
      </c>
      <c r="J506" t="s">
        <v>116</v>
      </c>
      <c r="L506" t="s">
        <v>37</v>
      </c>
      <c r="M506" t="s">
        <v>143</v>
      </c>
      <c r="N506" s="1">
        <v>41659</v>
      </c>
      <c r="O506">
        <v>185.9</v>
      </c>
      <c r="P506">
        <v>-185.9</v>
      </c>
      <c r="Q506" t="s">
        <v>28</v>
      </c>
      <c r="R506" t="s">
        <v>29</v>
      </c>
      <c r="S506" t="s">
        <v>717</v>
      </c>
      <c r="T506" t="s">
        <v>718</v>
      </c>
    </row>
    <row r="507" spans="1:20" x14ac:dyDescent="0.25">
      <c r="A507" t="s">
        <v>1852</v>
      </c>
      <c r="B507" t="str">
        <f>"2488"</f>
        <v>2488</v>
      </c>
      <c r="C507" t="str">
        <f>"302782488"</f>
        <v>302782488</v>
      </c>
      <c r="D507" t="s">
        <v>1853</v>
      </c>
      <c r="E507" t="s">
        <v>1854</v>
      </c>
      <c r="F507" t="s">
        <v>165</v>
      </c>
      <c r="G507" s="1">
        <v>29417</v>
      </c>
      <c r="H507" s="1">
        <v>41617</v>
      </c>
      <c r="I507" t="str">
        <f>"41"</f>
        <v>41</v>
      </c>
      <c r="J507" t="s">
        <v>24</v>
      </c>
      <c r="K507" t="s">
        <v>25</v>
      </c>
      <c r="L507" t="s">
        <v>26</v>
      </c>
      <c r="M507" t="s">
        <v>27</v>
      </c>
      <c r="N507" s="1">
        <v>18629</v>
      </c>
      <c r="O507">
        <v>0</v>
      </c>
      <c r="P507">
        <v>0</v>
      </c>
      <c r="Q507" t="s">
        <v>28</v>
      </c>
      <c r="R507" t="s">
        <v>258</v>
      </c>
      <c r="S507" t="s">
        <v>960</v>
      </c>
      <c r="T507" t="s">
        <v>314</v>
      </c>
    </row>
    <row r="508" spans="1:20" x14ac:dyDescent="0.25">
      <c r="A508" t="s">
        <v>1855</v>
      </c>
      <c r="B508" t="str">
        <f>"8120"</f>
        <v>8120</v>
      </c>
      <c r="C508" t="str">
        <f>"617448120"</f>
        <v>617448120</v>
      </c>
      <c r="D508" t="s">
        <v>1856</v>
      </c>
      <c r="E508" t="s">
        <v>231</v>
      </c>
      <c r="F508" t="s">
        <v>1857</v>
      </c>
      <c r="G508" s="1">
        <v>30866</v>
      </c>
      <c r="H508" s="1">
        <v>41617</v>
      </c>
      <c r="I508" t="str">
        <f>"01"</f>
        <v>01</v>
      </c>
      <c r="J508" t="s">
        <v>116</v>
      </c>
      <c r="K508" t="s">
        <v>98</v>
      </c>
      <c r="L508" t="s">
        <v>37</v>
      </c>
      <c r="M508" t="s">
        <v>257</v>
      </c>
      <c r="N508" s="1">
        <v>41617</v>
      </c>
      <c r="O508">
        <v>10753.08</v>
      </c>
      <c r="P508">
        <v>2688.4</v>
      </c>
      <c r="Q508" t="s">
        <v>37</v>
      </c>
      <c r="R508" t="s">
        <v>51</v>
      </c>
      <c r="S508" t="s">
        <v>487</v>
      </c>
      <c r="T508" t="s">
        <v>488</v>
      </c>
    </row>
    <row r="509" spans="1:20" x14ac:dyDescent="0.25">
      <c r="A509" t="s">
        <v>1858</v>
      </c>
      <c r="B509" t="str">
        <f>"3753"</f>
        <v>3753</v>
      </c>
      <c r="C509" t="str">
        <f>"277883753"</f>
        <v>277883753</v>
      </c>
      <c r="D509" t="s">
        <v>1859</v>
      </c>
      <c r="E509" t="s">
        <v>1450</v>
      </c>
      <c r="G509" s="1">
        <v>30440</v>
      </c>
      <c r="H509" s="1">
        <v>41617</v>
      </c>
      <c r="I509" t="str">
        <f>"15"</f>
        <v>15</v>
      </c>
      <c r="J509" t="s">
        <v>36</v>
      </c>
      <c r="L509" t="s">
        <v>37</v>
      </c>
      <c r="M509" t="s">
        <v>143</v>
      </c>
      <c r="N509" s="1">
        <v>41617</v>
      </c>
      <c r="O509">
        <v>185.9</v>
      </c>
      <c r="P509">
        <v>-185.9</v>
      </c>
      <c r="Q509" t="s">
        <v>37</v>
      </c>
      <c r="R509" t="s">
        <v>100</v>
      </c>
      <c r="S509" t="s">
        <v>655</v>
      </c>
      <c r="T509" t="s">
        <v>656</v>
      </c>
    </row>
    <row r="510" spans="1:20" x14ac:dyDescent="0.25">
      <c r="A510" t="s">
        <v>1860</v>
      </c>
      <c r="B510" t="str">
        <f>"8146"</f>
        <v>8146</v>
      </c>
      <c r="C510" t="str">
        <f>"268728146"</f>
        <v>268728146</v>
      </c>
      <c r="D510" t="s">
        <v>1861</v>
      </c>
      <c r="E510" t="s">
        <v>35</v>
      </c>
      <c r="F510" t="s">
        <v>282</v>
      </c>
      <c r="G510" s="1">
        <v>26903</v>
      </c>
      <c r="H510" s="1">
        <v>41617</v>
      </c>
      <c r="I510" t="str">
        <f>"01"</f>
        <v>01</v>
      </c>
      <c r="J510" t="s">
        <v>116</v>
      </c>
      <c r="L510" t="s">
        <v>37</v>
      </c>
      <c r="M510" t="s">
        <v>143</v>
      </c>
      <c r="N510" s="1">
        <v>41617</v>
      </c>
      <c r="O510">
        <v>185.9</v>
      </c>
      <c r="P510">
        <v>-185.9</v>
      </c>
      <c r="Q510" t="s">
        <v>28</v>
      </c>
      <c r="R510" t="s">
        <v>71</v>
      </c>
      <c r="S510" t="s">
        <v>660</v>
      </c>
      <c r="T510" t="s">
        <v>661</v>
      </c>
    </row>
    <row r="511" spans="1:20" x14ac:dyDescent="0.25">
      <c r="A511" t="s">
        <v>1862</v>
      </c>
      <c r="B511" t="str">
        <f>"4221"</f>
        <v>4221</v>
      </c>
      <c r="C511" t="str">
        <f>"280884221"</f>
        <v>280884221</v>
      </c>
      <c r="D511" t="s">
        <v>1863</v>
      </c>
      <c r="E511" t="s">
        <v>1864</v>
      </c>
      <c r="F511" t="s">
        <v>609</v>
      </c>
      <c r="G511" s="1">
        <v>27835</v>
      </c>
      <c r="H511" s="1">
        <v>41617</v>
      </c>
      <c r="I511" t="str">
        <f>"15"</f>
        <v>15</v>
      </c>
      <c r="J511" t="s">
        <v>36</v>
      </c>
      <c r="K511" t="s">
        <v>98</v>
      </c>
      <c r="L511" t="s">
        <v>37</v>
      </c>
      <c r="M511" t="s">
        <v>117</v>
      </c>
      <c r="N511" s="1">
        <v>41617</v>
      </c>
      <c r="O511">
        <v>4951.96</v>
      </c>
      <c r="P511">
        <v>1237.8599999999999</v>
      </c>
      <c r="Q511" t="s">
        <v>28</v>
      </c>
      <c r="R511" t="s">
        <v>100</v>
      </c>
      <c r="S511" t="s">
        <v>655</v>
      </c>
      <c r="T511" t="s">
        <v>656</v>
      </c>
    </row>
    <row r="512" spans="1:20" x14ac:dyDescent="0.25">
      <c r="A512" t="s">
        <v>1865</v>
      </c>
      <c r="B512" t="str">
        <f>"1217"</f>
        <v>1217</v>
      </c>
      <c r="C512" t="str">
        <f>"196681217"</f>
        <v>196681217</v>
      </c>
      <c r="D512" t="s">
        <v>1866</v>
      </c>
      <c r="E512" t="s">
        <v>430</v>
      </c>
      <c r="F512" t="s">
        <v>470</v>
      </c>
      <c r="G512" s="1">
        <v>28806</v>
      </c>
      <c r="H512" s="1">
        <v>41617</v>
      </c>
      <c r="I512" t="str">
        <f>"01"</f>
        <v>01</v>
      </c>
      <c r="J512" t="s">
        <v>116</v>
      </c>
      <c r="K512" t="s">
        <v>98</v>
      </c>
      <c r="L512" t="s">
        <v>37</v>
      </c>
      <c r="M512" t="s">
        <v>99</v>
      </c>
      <c r="N512" s="1">
        <v>41617</v>
      </c>
      <c r="O512">
        <v>14801.8</v>
      </c>
      <c r="P512">
        <v>3700.32</v>
      </c>
      <c r="Q512" t="s">
        <v>28</v>
      </c>
      <c r="R512" t="s">
        <v>38</v>
      </c>
      <c r="S512" t="s">
        <v>1819</v>
      </c>
      <c r="T512" t="s">
        <v>1820</v>
      </c>
    </row>
    <row r="513" spans="1:20" x14ac:dyDescent="0.25">
      <c r="A513" t="s">
        <v>1867</v>
      </c>
      <c r="B513" t="str">
        <f>"8812"</f>
        <v>8812</v>
      </c>
      <c r="C513" t="str">
        <f>"276768812"</f>
        <v>276768812</v>
      </c>
      <c r="D513" t="s">
        <v>1868</v>
      </c>
      <c r="E513" t="s">
        <v>1071</v>
      </c>
      <c r="F513" t="s">
        <v>358</v>
      </c>
      <c r="G513" s="1">
        <v>28668</v>
      </c>
      <c r="H513" s="1">
        <v>41617</v>
      </c>
      <c r="I513" t="str">
        <f>"05"</f>
        <v>05</v>
      </c>
      <c r="J513" t="s">
        <v>58</v>
      </c>
      <c r="K513" t="s">
        <v>98</v>
      </c>
      <c r="L513" t="s">
        <v>37</v>
      </c>
      <c r="M513" t="s">
        <v>257</v>
      </c>
      <c r="N513" s="1">
        <v>41617</v>
      </c>
      <c r="O513">
        <v>10753.08</v>
      </c>
      <c r="P513">
        <v>2688.4</v>
      </c>
      <c r="Q513" t="s">
        <v>37</v>
      </c>
      <c r="R513" t="s">
        <v>258</v>
      </c>
      <c r="S513" t="s">
        <v>259</v>
      </c>
      <c r="T513" t="s">
        <v>260</v>
      </c>
    </row>
    <row r="514" spans="1:20" x14ac:dyDescent="0.25">
      <c r="A514" t="s">
        <v>1869</v>
      </c>
      <c r="B514" t="str">
        <f>"9346"</f>
        <v>9346</v>
      </c>
      <c r="C514" t="str">
        <f>"286529346"</f>
        <v>286529346</v>
      </c>
      <c r="D514" t="s">
        <v>1870</v>
      </c>
      <c r="E514" t="s">
        <v>1871</v>
      </c>
      <c r="F514" t="s">
        <v>329</v>
      </c>
      <c r="G514" s="1">
        <v>19119</v>
      </c>
      <c r="H514" s="1">
        <v>41617</v>
      </c>
      <c r="I514" t="str">
        <f>"41"</f>
        <v>41</v>
      </c>
      <c r="J514" t="s">
        <v>24</v>
      </c>
      <c r="K514" t="s">
        <v>25</v>
      </c>
      <c r="L514" t="s">
        <v>26</v>
      </c>
      <c r="M514" t="s">
        <v>27</v>
      </c>
      <c r="N514" s="1">
        <v>18629</v>
      </c>
      <c r="O514">
        <v>0</v>
      </c>
      <c r="P514">
        <v>0</v>
      </c>
      <c r="Q514" t="s">
        <v>37</v>
      </c>
      <c r="R514" t="s">
        <v>71</v>
      </c>
      <c r="S514" t="s">
        <v>271</v>
      </c>
      <c r="T514" t="s">
        <v>272</v>
      </c>
    </row>
    <row r="515" spans="1:20" x14ac:dyDescent="0.25">
      <c r="A515" t="s">
        <v>1872</v>
      </c>
      <c r="B515" t="str">
        <f>"5338"</f>
        <v>5338</v>
      </c>
      <c r="C515" t="str">
        <f>"278905338"</f>
        <v>278905338</v>
      </c>
      <c r="D515" t="s">
        <v>1873</v>
      </c>
      <c r="E515" t="s">
        <v>832</v>
      </c>
      <c r="F515" t="s">
        <v>44</v>
      </c>
      <c r="G515" s="1">
        <v>31051</v>
      </c>
      <c r="H515" s="1">
        <v>41617</v>
      </c>
      <c r="I515" t="str">
        <f>"12"</f>
        <v>12</v>
      </c>
      <c r="J515" t="s">
        <v>245</v>
      </c>
      <c r="L515" t="s">
        <v>37</v>
      </c>
      <c r="M515" t="s">
        <v>143</v>
      </c>
      <c r="N515" s="1">
        <v>41631</v>
      </c>
      <c r="O515">
        <v>185.9</v>
      </c>
      <c r="P515">
        <v>-185.9</v>
      </c>
      <c r="Q515" t="s">
        <v>28</v>
      </c>
      <c r="R515" t="s">
        <v>38</v>
      </c>
      <c r="S515" t="s">
        <v>1874</v>
      </c>
      <c r="T515" t="s">
        <v>1875</v>
      </c>
    </row>
    <row r="516" spans="1:20" x14ac:dyDescent="0.25">
      <c r="A516" t="s">
        <v>1876</v>
      </c>
      <c r="B516" t="str">
        <f>"0977"</f>
        <v>0977</v>
      </c>
      <c r="C516" t="str">
        <f>"291780977"</f>
        <v>291780977</v>
      </c>
      <c r="D516" t="s">
        <v>1877</v>
      </c>
      <c r="E516" t="s">
        <v>1484</v>
      </c>
      <c r="F516" t="s">
        <v>264</v>
      </c>
      <c r="G516" s="1">
        <v>28984</v>
      </c>
      <c r="H516" s="1">
        <v>41617</v>
      </c>
      <c r="I516" t="str">
        <f>"12"</f>
        <v>12</v>
      </c>
      <c r="J516" t="s">
        <v>245</v>
      </c>
      <c r="K516" t="s">
        <v>98</v>
      </c>
      <c r="L516" t="s">
        <v>37</v>
      </c>
      <c r="M516" t="s">
        <v>99</v>
      </c>
      <c r="N516" s="1">
        <v>41631</v>
      </c>
      <c r="O516">
        <v>14801.8</v>
      </c>
      <c r="P516">
        <v>3700.32</v>
      </c>
      <c r="Q516" t="s">
        <v>37</v>
      </c>
      <c r="R516" t="s">
        <v>29</v>
      </c>
      <c r="S516" t="s">
        <v>331</v>
      </c>
      <c r="T516" t="s">
        <v>332</v>
      </c>
    </row>
    <row r="517" spans="1:20" x14ac:dyDescent="0.25">
      <c r="A517" t="s">
        <v>1878</v>
      </c>
      <c r="B517" t="str">
        <f>"0214"</f>
        <v>0214</v>
      </c>
      <c r="C517" t="str">
        <f>"288040214"</f>
        <v>288040214</v>
      </c>
      <c r="D517" t="s">
        <v>1879</v>
      </c>
      <c r="E517" t="s">
        <v>1880</v>
      </c>
      <c r="G517" s="1">
        <v>26420</v>
      </c>
      <c r="H517" s="1">
        <v>41617</v>
      </c>
      <c r="I517" t="str">
        <f>"33"</f>
        <v>33</v>
      </c>
      <c r="J517" t="s">
        <v>45</v>
      </c>
      <c r="K517" t="s">
        <v>25</v>
      </c>
      <c r="L517" t="s">
        <v>26</v>
      </c>
      <c r="M517" t="s">
        <v>27</v>
      </c>
      <c r="N517" s="1">
        <v>18629</v>
      </c>
      <c r="O517">
        <v>0</v>
      </c>
      <c r="P517">
        <v>0</v>
      </c>
      <c r="Q517" t="s">
        <v>37</v>
      </c>
      <c r="R517" t="s">
        <v>29</v>
      </c>
      <c r="S517" t="s">
        <v>514</v>
      </c>
      <c r="T517" t="s">
        <v>515</v>
      </c>
    </row>
    <row r="518" spans="1:20" x14ac:dyDescent="0.25">
      <c r="A518" t="s">
        <v>1881</v>
      </c>
      <c r="B518" t="str">
        <f>"2648"</f>
        <v>2648</v>
      </c>
      <c r="C518" t="str">
        <f>"275782648"</f>
        <v>275782648</v>
      </c>
      <c r="D518" t="s">
        <v>1882</v>
      </c>
      <c r="E518" t="s">
        <v>1883</v>
      </c>
      <c r="F518" t="s">
        <v>619</v>
      </c>
      <c r="G518" s="1">
        <v>28010</v>
      </c>
      <c r="H518" s="1">
        <v>41617</v>
      </c>
      <c r="I518" t="str">
        <f>"01"</f>
        <v>01</v>
      </c>
      <c r="J518" t="s">
        <v>116</v>
      </c>
      <c r="K518" t="s">
        <v>98</v>
      </c>
      <c r="L518" t="s">
        <v>37</v>
      </c>
      <c r="M518" t="s">
        <v>117</v>
      </c>
      <c r="N518" s="1">
        <v>41617</v>
      </c>
      <c r="O518">
        <v>4951.96</v>
      </c>
      <c r="P518">
        <v>1237.8599999999999</v>
      </c>
      <c r="Q518" t="s">
        <v>37</v>
      </c>
      <c r="R518" t="s">
        <v>29</v>
      </c>
      <c r="S518" t="s">
        <v>973</v>
      </c>
      <c r="T518" t="s">
        <v>974</v>
      </c>
    </row>
    <row r="519" spans="1:20" x14ac:dyDescent="0.25">
      <c r="A519" t="s">
        <v>1884</v>
      </c>
      <c r="B519" t="str">
        <f>"6505"</f>
        <v>6505</v>
      </c>
      <c r="C519" t="str">
        <f>"277806505"</f>
        <v>277806505</v>
      </c>
      <c r="D519" t="s">
        <v>1885</v>
      </c>
      <c r="E519" t="s">
        <v>1886</v>
      </c>
      <c r="F519" t="s">
        <v>28</v>
      </c>
      <c r="G519" s="1">
        <v>24441</v>
      </c>
      <c r="H519" s="1">
        <v>41617</v>
      </c>
      <c r="I519" t="str">
        <f>"01"</f>
        <v>01</v>
      </c>
      <c r="J519" t="s">
        <v>116</v>
      </c>
      <c r="K519" t="s">
        <v>98</v>
      </c>
      <c r="L519" t="s">
        <v>37</v>
      </c>
      <c r="M519" t="s">
        <v>99</v>
      </c>
      <c r="N519" s="1">
        <v>41617</v>
      </c>
      <c r="O519">
        <v>14801.8</v>
      </c>
      <c r="P519">
        <v>3700.32</v>
      </c>
      <c r="Q519" t="s">
        <v>37</v>
      </c>
      <c r="R519" t="s">
        <v>29</v>
      </c>
      <c r="S519" t="s">
        <v>1887</v>
      </c>
      <c r="T519" t="s">
        <v>1888</v>
      </c>
    </row>
    <row r="520" spans="1:20" x14ac:dyDescent="0.25">
      <c r="A520" t="s">
        <v>1889</v>
      </c>
      <c r="B520" t="str">
        <f>"0308"</f>
        <v>0308</v>
      </c>
      <c r="C520" t="str">
        <f>"281840308"</f>
        <v>281840308</v>
      </c>
      <c r="D520" t="s">
        <v>1890</v>
      </c>
      <c r="E520" t="s">
        <v>1891</v>
      </c>
      <c r="F520" t="s">
        <v>174</v>
      </c>
      <c r="G520" s="1">
        <v>29580</v>
      </c>
      <c r="H520" s="1">
        <v>41617</v>
      </c>
      <c r="I520" t="str">
        <f>"01"</f>
        <v>01</v>
      </c>
      <c r="J520" t="s">
        <v>116</v>
      </c>
      <c r="K520" t="s">
        <v>98</v>
      </c>
      <c r="L520" t="s">
        <v>37</v>
      </c>
      <c r="M520" t="s">
        <v>117</v>
      </c>
      <c r="N520" s="1">
        <v>41673</v>
      </c>
      <c r="O520">
        <v>4951.96</v>
      </c>
      <c r="P520">
        <v>1237.8599999999999</v>
      </c>
      <c r="Q520" t="s">
        <v>37</v>
      </c>
      <c r="R520" t="s">
        <v>346</v>
      </c>
      <c r="S520" t="s">
        <v>491</v>
      </c>
      <c r="T520" t="s">
        <v>492</v>
      </c>
    </row>
    <row r="521" spans="1:20" x14ac:dyDescent="0.25">
      <c r="A521" t="s">
        <v>1892</v>
      </c>
      <c r="B521" t="str">
        <f>"3453"</f>
        <v>3453</v>
      </c>
      <c r="C521" t="str">
        <f>"283563453"</f>
        <v>283563453</v>
      </c>
      <c r="D521" t="s">
        <v>1893</v>
      </c>
      <c r="E521" t="s">
        <v>1894</v>
      </c>
      <c r="F521" t="s">
        <v>44</v>
      </c>
      <c r="G521" s="1">
        <v>20615</v>
      </c>
      <c r="H521" s="1">
        <v>41617</v>
      </c>
      <c r="I521" t="str">
        <f>"12"</f>
        <v>12</v>
      </c>
      <c r="J521" t="s">
        <v>245</v>
      </c>
      <c r="K521" t="s">
        <v>175</v>
      </c>
      <c r="L521" t="s">
        <v>37</v>
      </c>
      <c r="M521" t="s">
        <v>117</v>
      </c>
      <c r="N521" s="1">
        <v>41631</v>
      </c>
      <c r="O521">
        <v>5288.66</v>
      </c>
      <c r="P521">
        <v>1322.1</v>
      </c>
      <c r="Q521" t="s">
        <v>37</v>
      </c>
      <c r="R521" t="s">
        <v>258</v>
      </c>
      <c r="S521" t="s">
        <v>978</v>
      </c>
      <c r="T521" t="s">
        <v>979</v>
      </c>
    </row>
    <row r="522" spans="1:20" x14ac:dyDescent="0.25">
      <c r="A522" t="s">
        <v>1895</v>
      </c>
      <c r="B522" t="str">
        <f>"4188"</f>
        <v>4188</v>
      </c>
      <c r="C522" t="str">
        <f>"277924188"</f>
        <v>277924188</v>
      </c>
      <c r="D522" t="s">
        <v>452</v>
      </c>
      <c r="E522" t="s">
        <v>1896</v>
      </c>
      <c r="F522" t="s">
        <v>1897</v>
      </c>
      <c r="G522" s="1">
        <v>33043</v>
      </c>
      <c r="H522" s="1">
        <v>41617</v>
      </c>
      <c r="I522" t="str">
        <f>"15"</f>
        <v>15</v>
      </c>
      <c r="J522" t="s">
        <v>36</v>
      </c>
      <c r="K522" t="s">
        <v>175</v>
      </c>
      <c r="L522" t="s">
        <v>37</v>
      </c>
      <c r="M522" t="s">
        <v>117</v>
      </c>
      <c r="N522" s="1">
        <v>41631</v>
      </c>
      <c r="O522">
        <v>5288.66</v>
      </c>
      <c r="P522">
        <v>1322.1</v>
      </c>
      <c r="Q522" t="s">
        <v>37</v>
      </c>
      <c r="R522" t="s">
        <v>258</v>
      </c>
      <c r="S522" t="s">
        <v>1898</v>
      </c>
      <c r="T522" t="s">
        <v>1899</v>
      </c>
    </row>
    <row r="523" spans="1:20" x14ac:dyDescent="0.25">
      <c r="A523" t="s">
        <v>1900</v>
      </c>
      <c r="B523" t="str">
        <f>"8256"</f>
        <v>8256</v>
      </c>
      <c r="C523" t="str">
        <f>"277528256"</f>
        <v>277528256</v>
      </c>
      <c r="D523" t="s">
        <v>1901</v>
      </c>
      <c r="E523" t="s">
        <v>178</v>
      </c>
      <c r="F523" t="s">
        <v>470</v>
      </c>
      <c r="G523" s="1">
        <v>19397</v>
      </c>
      <c r="H523" s="1">
        <v>41610</v>
      </c>
      <c r="I523" t="str">
        <f>"52"</f>
        <v>52</v>
      </c>
      <c r="J523" t="s">
        <v>330</v>
      </c>
      <c r="K523" t="s">
        <v>25</v>
      </c>
      <c r="L523" t="s">
        <v>26</v>
      </c>
      <c r="M523" t="s">
        <v>27</v>
      </c>
      <c r="N523" s="1">
        <v>18629</v>
      </c>
      <c r="O523">
        <v>0</v>
      </c>
      <c r="P523">
        <v>0</v>
      </c>
      <c r="Q523" t="s">
        <v>28</v>
      </c>
      <c r="R523" t="s">
        <v>258</v>
      </c>
      <c r="S523" t="s">
        <v>1078</v>
      </c>
      <c r="T523" t="s">
        <v>1079</v>
      </c>
    </row>
    <row r="524" spans="1:20" x14ac:dyDescent="0.25">
      <c r="A524" t="s">
        <v>1902</v>
      </c>
      <c r="B524" t="str">
        <f>"9131"</f>
        <v>9131</v>
      </c>
      <c r="C524" t="str">
        <f>"269509131"</f>
        <v>269509131</v>
      </c>
      <c r="D524" t="s">
        <v>1903</v>
      </c>
      <c r="E524" t="s">
        <v>1904</v>
      </c>
      <c r="F524" t="s">
        <v>414</v>
      </c>
      <c r="G524" s="1">
        <v>18450</v>
      </c>
      <c r="H524" s="1">
        <v>41610</v>
      </c>
      <c r="I524" t="str">
        <f>"52"</f>
        <v>52</v>
      </c>
      <c r="J524" t="s">
        <v>330</v>
      </c>
      <c r="K524" t="s">
        <v>25</v>
      </c>
      <c r="L524" t="s">
        <v>26</v>
      </c>
      <c r="M524" t="s">
        <v>27</v>
      </c>
      <c r="N524" s="1">
        <v>18629</v>
      </c>
      <c r="O524">
        <v>0</v>
      </c>
      <c r="P524">
        <v>0</v>
      </c>
      <c r="Q524" t="s">
        <v>37</v>
      </c>
      <c r="R524" t="s">
        <v>258</v>
      </c>
      <c r="S524" t="s">
        <v>678</v>
      </c>
      <c r="T524" t="s">
        <v>679</v>
      </c>
    </row>
    <row r="525" spans="1:20" x14ac:dyDescent="0.25">
      <c r="A525" t="s">
        <v>1905</v>
      </c>
      <c r="B525" t="str">
        <f>"2872"</f>
        <v>2872</v>
      </c>
      <c r="C525" t="str">
        <f>"271522872"</f>
        <v>271522872</v>
      </c>
      <c r="D525" t="s">
        <v>1906</v>
      </c>
      <c r="E525" t="s">
        <v>1907</v>
      </c>
      <c r="G525" s="1">
        <v>24574</v>
      </c>
      <c r="H525" s="1">
        <v>41609</v>
      </c>
      <c r="I525" t="str">
        <f>"01"</f>
        <v>01</v>
      </c>
      <c r="J525" t="s">
        <v>116</v>
      </c>
      <c r="K525" t="s">
        <v>98</v>
      </c>
      <c r="L525" t="s">
        <v>37</v>
      </c>
      <c r="M525" t="s">
        <v>99</v>
      </c>
      <c r="N525" s="1">
        <v>41617</v>
      </c>
      <c r="O525">
        <v>14801.8</v>
      </c>
      <c r="P525">
        <v>3700.32</v>
      </c>
      <c r="Q525" t="s">
        <v>28</v>
      </c>
      <c r="R525" t="s">
        <v>110</v>
      </c>
      <c r="S525" t="s">
        <v>1908</v>
      </c>
      <c r="T525" t="s">
        <v>1909</v>
      </c>
    </row>
    <row r="526" spans="1:20" x14ac:dyDescent="0.25">
      <c r="A526" t="s">
        <v>1910</v>
      </c>
      <c r="B526" t="str">
        <f>"7517"</f>
        <v>7517</v>
      </c>
      <c r="C526" t="str">
        <f>"297707517"</f>
        <v>297707517</v>
      </c>
      <c r="D526" t="s">
        <v>1911</v>
      </c>
      <c r="E526" t="s">
        <v>1912</v>
      </c>
      <c r="F526" t="s">
        <v>28</v>
      </c>
      <c r="G526" s="1">
        <v>24421</v>
      </c>
      <c r="H526" s="1">
        <v>41603</v>
      </c>
      <c r="I526" t="str">
        <f>"12"</f>
        <v>12</v>
      </c>
      <c r="J526" t="s">
        <v>245</v>
      </c>
      <c r="K526" t="s">
        <v>98</v>
      </c>
      <c r="L526" t="s">
        <v>37</v>
      </c>
      <c r="M526" t="s">
        <v>117</v>
      </c>
      <c r="N526" s="1">
        <v>41631</v>
      </c>
      <c r="O526">
        <v>4951.96</v>
      </c>
      <c r="P526">
        <v>1237.8599999999999</v>
      </c>
      <c r="Q526" t="s">
        <v>37</v>
      </c>
      <c r="R526" t="s">
        <v>258</v>
      </c>
      <c r="S526" t="s">
        <v>527</v>
      </c>
      <c r="T526" t="s">
        <v>528</v>
      </c>
    </row>
    <row r="527" spans="1:20" x14ac:dyDescent="0.25">
      <c r="A527" t="s">
        <v>1913</v>
      </c>
      <c r="B527" t="str">
        <f>"4823"</f>
        <v>4823</v>
      </c>
      <c r="C527" t="str">
        <f>"294664823"</f>
        <v>294664823</v>
      </c>
      <c r="D527" t="s">
        <v>1279</v>
      </c>
      <c r="E527" t="s">
        <v>1914</v>
      </c>
      <c r="F527" t="s">
        <v>1915</v>
      </c>
      <c r="G527" s="1">
        <v>22685</v>
      </c>
      <c r="H527" s="1">
        <v>41603</v>
      </c>
      <c r="I527" t="str">
        <f>"12"</f>
        <v>12</v>
      </c>
      <c r="J527" t="s">
        <v>245</v>
      </c>
      <c r="K527" t="s">
        <v>98</v>
      </c>
      <c r="L527" t="s">
        <v>37</v>
      </c>
      <c r="M527" t="s">
        <v>99</v>
      </c>
      <c r="N527" s="1">
        <v>41617</v>
      </c>
      <c r="O527">
        <v>14801.8</v>
      </c>
      <c r="P527">
        <v>3700.32</v>
      </c>
      <c r="Q527" t="s">
        <v>28</v>
      </c>
      <c r="R527" t="s">
        <v>258</v>
      </c>
      <c r="S527" t="s">
        <v>978</v>
      </c>
      <c r="T527" t="s">
        <v>979</v>
      </c>
    </row>
    <row r="528" spans="1:20" x14ac:dyDescent="0.25">
      <c r="A528" t="s">
        <v>1916</v>
      </c>
      <c r="B528" t="str">
        <f>"7805"</f>
        <v>7805</v>
      </c>
      <c r="C528" t="str">
        <f>"298767805"</f>
        <v>298767805</v>
      </c>
      <c r="D528" t="s">
        <v>1917</v>
      </c>
      <c r="E528" t="s">
        <v>544</v>
      </c>
      <c r="G528" s="1">
        <v>24372</v>
      </c>
      <c r="H528" s="1">
        <v>41603</v>
      </c>
      <c r="I528" t="str">
        <f>"33"</f>
        <v>33</v>
      </c>
      <c r="J528" t="s">
        <v>45</v>
      </c>
      <c r="K528" t="s">
        <v>25</v>
      </c>
      <c r="L528" t="s">
        <v>26</v>
      </c>
      <c r="M528" t="s">
        <v>27</v>
      </c>
      <c r="N528" s="1">
        <v>18629</v>
      </c>
      <c r="O528">
        <v>0</v>
      </c>
      <c r="P528">
        <v>0</v>
      </c>
      <c r="Q528" t="s">
        <v>37</v>
      </c>
      <c r="R528" t="s">
        <v>29</v>
      </c>
      <c r="S528" t="s">
        <v>514</v>
      </c>
      <c r="T528" t="s">
        <v>515</v>
      </c>
    </row>
    <row r="529" spans="1:20" x14ac:dyDescent="0.25">
      <c r="A529" t="s">
        <v>1918</v>
      </c>
      <c r="B529" t="str">
        <f>"8707"</f>
        <v>8707</v>
      </c>
      <c r="C529" t="str">
        <f>"282948707"</f>
        <v>282948707</v>
      </c>
      <c r="D529" t="s">
        <v>122</v>
      </c>
      <c r="E529" t="s">
        <v>1919</v>
      </c>
      <c r="F529" t="s">
        <v>174</v>
      </c>
      <c r="G529" s="1">
        <v>33457</v>
      </c>
      <c r="H529" s="1">
        <v>41603</v>
      </c>
      <c r="I529" t="str">
        <f>"41"</f>
        <v>41</v>
      </c>
      <c r="J529" t="s">
        <v>24</v>
      </c>
      <c r="K529" t="s">
        <v>25</v>
      </c>
      <c r="L529" t="s">
        <v>26</v>
      </c>
      <c r="M529" t="s">
        <v>27</v>
      </c>
      <c r="N529" s="1">
        <v>18629</v>
      </c>
      <c r="O529">
        <v>0</v>
      </c>
      <c r="P529">
        <v>0</v>
      </c>
      <c r="Q529" t="s">
        <v>37</v>
      </c>
      <c r="R529" t="s">
        <v>29</v>
      </c>
      <c r="S529" t="s">
        <v>550</v>
      </c>
      <c r="T529" t="s">
        <v>551</v>
      </c>
    </row>
    <row r="530" spans="1:20" x14ac:dyDescent="0.25">
      <c r="A530" t="s">
        <v>1920</v>
      </c>
      <c r="B530" t="str">
        <f>"6258"</f>
        <v>6258</v>
      </c>
      <c r="C530" t="str">
        <f>"290606258"</f>
        <v>290606258</v>
      </c>
      <c r="D530" t="s">
        <v>1383</v>
      </c>
      <c r="E530" t="s">
        <v>173</v>
      </c>
      <c r="F530" t="s">
        <v>1921</v>
      </c>
      <c r="G530" s="1">
        <v>24564</v>
      </c>
      <c r="H530" s="1">
        <v>41596</v>
      </c>
      <c r="I530" t="str">
        <f>"01"</f>
        <v>01</v>
      </c>
      <c r="J530" t="s">
        <v>116</v>
      </c>
      <c r="K530" t="s">
        <v>98</v>
      </c>
      <c r="L530" t="s">
        <v>37</v>
      </c>
      <c r="M530" t="s">
        <v>99</v>
      </c>
      <c r="N530" s="1">
        <v>41617</v>
      </c>
      <c r="O530">
        <v>14801.8</v>
      </c>
      <c r="P530">
        <v>3700.32</v>
      </c>
      <c r="Q530" t="s">
        <v>37</v>
      </c>
      <c r="R530" t="s">
        <v>51</v>
      </c>
      <c r="S530" s="2" t="s">
        <v>1922</v>
      </c>
      <c r="T530" t="s">
        <v>1923</v>
      </c>
    </row>
    <row r="531" spans="1:20" x14ac:dyDescent="0.25">
      <c r="A531" t="s">
        <v>1924</v>
      </c>
      <c r="B531" t="str">
        <f>"3603"</f>
        <v>3603</v>
      </c>
      <c r="C531" t="str">
        <f>"270823603"</f>
        <v>270823603</v>
      </c>
      <c r="D531" t="s">
        <v>1925</v>
      </c>
      <c r="E531" t="s">
        <v>944</v>
      </c>
      <c r="F531" t="s">
        <v>93</v>
      </c>
      <c r="G531" s="1">
        <v>28243</v>
      </c>
      <c r="H531" s="1">
        <v>41596</v>
      </c>
      <c r="I531" t="str">
        <f>"52"</f>
        <v>52</v>
      </c>
      <c r="J531" t="s">
        <v>330</v>
      </c>
      <c r="K531" t="s">
        <v>25</v>
      </c>
      <c r="L531" t="s">
        <v>26</v>
      </c>
      <c r="M531" t="s">
        <v>27</v>
      </c>
      <c r="N531" s="1">
        <v>18629</v>
      </c>
      <c r="O531">
        <v>0</v>
      </c>
      <c r="P531">
        <v>0</v>
      </c>
      <c r="Q531" t="s">
        <v>28</v>
      </c>
      <c r="R531" t="s">
        <v>258</v>
      </c>
      <c r="S531" t="s">
        <v>331</v>
      </c>
      <c r="T531" t="s">
        <v>332</v>
      </c>
    </row>
    <row r="532" spans="1:20" x14ac:dyDescent="0.25">
      <c r="A532" t="s">
        <v>1926</v>
      </c>
      <c r="B532" t="str">
        <f>"0429"</f>
        <v>0429</v>
      </c>
      <c r="C532" t="str">
        <f>"281820429"</f>
        <v>281820429</v>
      </c>
      <c r="D532" t="s">
        <v>1715</v>
      </c>
      <c r="E532" t="s">
        <v>1081</v>
      </c>
      <c r="F532" t="s">
        <v>329</v>
      </c>
      <c r="G532" s="1">
        <v>25052</v>
      </c>
      <c r="H532" s="1">
        <v>41596</v>
      </c>
      <c r="I532" t="str">
        <f>"52"</f>
        <v>52</v>
      </c>
      <c r="J532" t="s">
        <v>330</v>
      </c>
      <c r="K532" t="s">
        <v>25</v>
      </c>
      <c r="L532" t="s">
        <v>26</v>
      </c>
      <c r="M532" t="s">
        <v>27</v>
      </c>
      <c r="N532" s="1">
        <v>18629</v>
      </c>
      <c r="O532">
        <v>0</v>
      </c>
      <c r="P532">
        <v>0</v>
      </c>
      <c r="Q532" t="s">
        <v>28</v>
      </c>
      <c r="R532" t="s">
        <v>258</v>
      </c>
      <c r="S532" t="s">
        <v>331</v>
      </c>
      <c r="T532" t="s">
        <v>332</v>
      </c>
    </row>
    <row r="533" spans="1:20" x14ac:dyDescent="0.25">
      <c r="A533" t="s">
        <v>1927</v>
      </c>
      <c r="B533" t="str">
        <f>"1953"</f>
        <v>1953</v>
      </c>
      <c r="C533" t="str">
        <f>"284841953"</f>
        <v>284841953</v>
      </c>
      <c r="D533" t="s">
        <v>1928</v>
      </c>
      <c r="E533" t="s">
        <v>430</v>
      </c>
      <c r="F533" t="s">
        <v>1929</v>
      </c>
      <c r="G533" s="1">
        <v>26241</v>
      </c>
      <c r="H533" s="1">
        <v>41596</v>
      </c>
      <c r="I533" t="str">
        <f>"52"</f>
        <v>52</v>
      </c>
      <c r="J533" t="s">
        <v>330</v>
      </c>
      <c r="K533" t="s">
        <v>25</v>
      </c>
      <c r="L533" t="s">
        <v>26</v>
      </c>
      <c r="M533" t="s">
        <v>27</v>
      </c>
      <c r="N533" s="1">
        <v>18629</v>
      </c>
      <c r="O533">
        <v>0</v>
      </c>
      <c r="P533">
        <v>0</v>
      </c>
      <c r="Q533" t="s">
        <v>28</v>
      </c>
      <c r="R533" t="s">
        <v>258</v>
      </c>
      <c r="S533" t="s">
        <v>331</v>
      </c>
      <c r="T533" t="s">
        <v>332</v>
      </c>
    </row>
    <row r="534" spans="1:20" x14ac:dyDescent="0.25">
      <c r="A534" t="s">
        <v>1930</v>
      </c>
      <c r="B534" t="str">
        <f>"3301"</f>
        <v>3301</v>
      </c>
      <c r="C534" t="str">
        <f>"270463301"</f>
        <v>270463301</v>
      </c>
      <c r="D534" t="s">
        <v>1931</v>
      </c>
      <c r="E534" t="s">
        <v>197</v>
      </c>
      <c r="F534" t="s">
        <v>97</v>
      </c>
      <c r="G534" s="1">
        <v>17554</v>
      </c>
      <c r="H534" s="1">
        <v>41596</v>
      </c>
      <c r="I534" t="str">
        <f>"51"</f>
        <v>51</v>
      </c>
      <c r="J534" t="s">
        <v>471</v>
      </c>
      <c r="K534" t="s">
        <v>25</v>
      </c>
      <c r="L534" t="s">
        <v>26</v>
      </c>
      <c r="M534" t="s">
        <v>27</v>
      </c>
      <c r="N534" s="1">
        <v>18629</v>
      </c>
      <c r="O534">
        <v>0</v>
      </c>
      <c r="P534">
        <v>0</v>
      </c>
      <c r="Q534" t="s">
        <v>28</v>
      </c>
      <c r="R534" t="s">
        <v>29</v>
      </c>
      <c r="S534" t="s">
        <v>960</v>
      </c>
      <c r="T534" t="s">
        <v>314</v>
      </c>
    </row>
    <row r="535" spans="1:20" x14ac:dyDescent="0.25">
      <c r="A535" t="s">
        <v>1932</v>
      </c>
      <c r="B535" t="str">
        <f>"8861"</f>
        <v>8861</v>
      </c>
      <c r="C535" t="str">
        <f>"302708861"</f>
        <v>302708861</v>
      </c>
      <c r="D535" t="s">
        <v>1933</v>
      </c>
      <c r="E535" t="s">
        <v>1934</v>
      </c>
      <c r="F535" t="s">
        <v>97</v>
      </c>
      <c r="G535" s="1">
        <v>25021</v>
      </c>
      <c r="H535" s="1">
        <v>41596</v>
      </c>
      <c r="I535" t="str">
        <f>"52"</f>
        <v>52</v>
      </c>
      <c r="J535" t="s">
        <v>330</v>
      </c>
      <c r="K535" t="s">
        <v>25</v>
      </c>
      <c r="L535" t="s">
        <v>26</v>
      </c>
      <c r="M535" t="s">
        <v>27</v>
      </c>
      <c r="N535" s="1">
        <v>18629</v>
      </c>
      <c r="O535">
        <v>0</v>
      </c>
      <c r="P535">
        <v>0</v>
      </c>
      <c r="Q535" t="s">
        <v>37</v>
      </c>
      <c r="R535" t="s">
        <v>258</v>
      </c>
      <c r="S535" t="s">
        <v>678</v>
      </c>
      <c r="T535" t="s">
        <v>679</v>
      </c>
    </row>
    <row r="536" spans="1:20" x14ac:dyDescent="0.25">
      <c r="A536" t="s">
        <v>1935</v>
      </c>
      <c r="B536" t="str">
        <f>"7535"</f>
        <v>7535</v>
      </c>
      <c r="C536" t="str">
        <f>"271607535"</f>
        <v>271607535</v>
      </c>
      <c r="D536" t="s">
        <v>1936</v>
      </c>
      <c r="E536" t="s">
        <v>1616</v>
      </c>
      <c r="F536" t="s">
        <v>28</v>
      </c>
      <c r="G536" s="1">
        <v>22881</v>
      </c>
      <c r="H536" s="1">
        <v>41592</v>
      </c>
      <c r="I536" t="str">
        <f>"53"</f>
        <v>53</v>
      </c>
      <c r="J536" t="s">
        <v>917</v>
      </c>
      <c r="K536" t="s">
        <v>25</v>
      </c>
      <c r="L536" t="s">
        <v>26</v>
      </c>
      <c r="M536" t="s">
        <v>27</v>
      </c>
      <c r="N536" s="1">
        <v>18629</v>
      </c>
      <c r="O536">
        <v>0</v>
      </c>
      <c r="P536">
        <v>0</v>
      </c>
      <c r="Q536" t="s">
        <v>37</v>
      </c>
      <c r="R536" t="s">
        <v>312</v>
      </c>
      <c r="S536" t="s">
        <v>1937</v>
      </c>
      <c r="T536" t="s">
        <v>951</v>
      </c>
    </row>
    <row r="537" spans="1:20" x14ac:dyDescent="0.25">
      <c r="A537" t="s">
        <v>1938</v>
      </c>
      <c r="B537" t="str">
        <f>"1711"</f>
        <v>1711</v>
      </c>
      <c r="C537" t="str">
        <f>"281861711"</f>
        <v>281861711</v>
      </c>
      <c r="D537" t="s">
        <v>1939</v>
      </c>
      <c r="E537" t="s">
        <v>304</v>
      </c>
      <c r="F537" t="s">
        <v>174</v>
      </c>
      <c r="G537" s="1">
        <v>29045</v>
      </c>
      <c r="H537" s="1">
        <v>41590</v>
      </c>
      <c r="I537" t="str">
        <f>"51"</f>
        <v>51</v>
      </c>
      <c r="J537" t="s">
        <v>471</v>
      </c>
      <c r="K537" t="s">
        <v>25</v>
      </c>
      <c r="L537" t="s">
        <v>26</v>
      </c>
      <c r="M537" t="s">
        <v>27</v>
      </c>
      <c r="N537" s="1">
        <v>18629</v>
      </c>
      <c r="O537">
        <v>0</v>
      </c>
      <c r="P537">
        <v>0</v>
      </c>
      <c r="Q537" t="s">
        <v>28</v>
      </c>
      <c r="R537" t="s">
        <v>258</v>
      </c>
      <c r="S537" t="s">
        <v>960</v>
      </c>
      <c r="T537" t="s">
        <v>314</v>
      </c>
    </row>
    <row r="538" spans="1:20" x14ac:dyDescent="0.25">
      <c r="A538" t="s">
        <v>1940</v>
      </c>
      <c r="B538" t="str">
        <f>"1578"</f>
        <v>1578</v>
      </c>
      <c r="C538" t="str">
        <f>"293901578"</f>
        <v>293901578</v>
      </c>
      <c r="D538" t="s">
        <v>1941</v>
      </c>
      <c r="E538" t="s">
        <v>1942</v>
      </c>
      <c r="F538" t="s">
        <v>619</v>
      </c>
      <c r="G538" s="1">
        <v>31914</v>
      </c>
      <c r="H538" s="1">
        <v>41590</v>
      </c>
      <c r="I538" t="str">
        <f>"33"</f>
        <v>33</v>
      </c>
      <c r="J538" t="s">
        <v>45</v>
      </c>
      <c r="K538" t="s">
        <v>25</v>
      </c>
      <c r="L538" t="s">
        <v>26</v>
      </c>
      <c r="M538" t="s">
        <v>27</v>
      </c>
      <c r="N538" s="1">
        <v>18629</v>
      </c>
      <c r="O538">
        <v>0</v>
      </c>
      <c r="P538">
        <v>0</v>
      </c>
      <c r="Q538" t="s">
        <v>37</v>
      </c>
      <c r="R538" t="s">
        <v>71</v>
      </c>
      <c r="S538" t="s">
        <v>955</v>
      </c>
      <c r="T538" t="s">
        <v>956</v>
      </c>
    </row>
    <row r="539" spans="1:20" x14ac:dyDescent="0.25">
      <c r="A539" t="s">
        <v>1943</v>
      </c>
      <c r="B539" t="str">
        <f>"6483"</f>
        <v>6483</v>
      </c>
      <c r="C539" t="str">
        <f>"245556483"</f>
        <v>245556483</v>
      </c>
      <c r="D539" t="s">
        <v>1798</v>
      </c>
      <c r="E539" t="s">
        <v>1934</v>
      </c>
      <c r="F539" t="s">
        <v>93</v>
      </c>
      <c r="G539" s="1">
        <v>29048</v>
      </c>
      <c r="H539" s="1">
        <v>41590</v>
      </c>
      <c r="I539" t="str">
        <f>"05"</f>
        <v>05</v>
      </c>
      <c r="J539" t="s">
        <v>58</v>
      </c>
      <c r="K539" t="s">
        <v>98</v>
      </c>
      <c r="L539" t="s">
        <v>37</v>
      </c>
      <c r="M539" t="s">
        <v>117</v>
      </c>
      <c r="N539" s="1">
        <v>41603</v>
      </c>
      <c r="O539">
        <v>4951.96</v>
      </c>
      <c r="P539">
        <v>1237.8599999999999</v>
      </c>
      <c r="Q539" t="s">
        <v>37</v>
      </c>
      <c r="R539" t="s">
        <v>71</v>
      </c>
      <c r="S539" t="s">
        <v>955</v>
      </c>
      <c r="T539" t="s">
        <v>956</v>
      </c>
    </row>
    <row r="540" spans="1:20" x14ac:dyDescent="0.25">
      <c r="A540" t="s">
        <v>1944</v>
      </c>
      <c r="B540" t="str">
        <f>"8962"</f>
        <v>8962</v>
      </c>
      <c r="C540" t="str">
        <f>"325548962"</f>
        <v>325548962</v>
      </c>
      <c r="D540" t="s">
        <v>1798</v>
      </c>
      <c r="E540" t="s">
        <v>122</v>
      </c>
      <c r="F540" t="s">
        <v>219</v>
      </c>
      <c r="G540" s="1">
        <v>25658</v>
      </c>
      <c r="H540" s="1">
        <v>41590</v>
      </c>
      <c r="I540" t="str">
        <f>"03"</f>
        <v>03</v>
      </c>
      <c r="J540" t="s">
        <v>70</v>
      </c>
      <c r="K540" t="s">
        <v>98</v>
      </c>
      <c r="L540" t="s">
        <v>37</v>
      </c>
      <c r="M540" t="s">
        <v>99</v>
      </c>
      <c r="N540" s="1">
        <v>41617</v>
      </c>
      <c r="O540">
        <v>14801.8</v>
      </c>
      <c r="P540">
        <v>3700.32</v>
      </c>
      <c r="Q540" t="s">
        <v>28</v>
      </c>
      <c r="R540" t="s">
        <v>71</v>
      </c>
      <c r="S540" t="s">
        <v>923</v>
      </c>
      <c r="T540" t="s">
        <v>924</v>
      </c>
    </row>
    <row r="541" spans="1:20" x14ac:dyDescent="0.25">
      <c r="A541" t="s">
        <v>1945</v>
      </c>
      <c r="B541" t="str">
        <f>"7374"</f>
        <v>7374</v>
      </c>
      <c r="C541" t="str">
        <f>"273847374"</f>
        <v>273847374</v>
      </c>
      <c r="D541" t="s">
        <v>1946</v>
      </c>
      <c r="E541" t="s">
        <v>1666</v>
      </c>
      <c r="F541" t="s">
        <v>93</v>
      </c>
      <c r="G541" s="1">
        <v>30693</v>
      </c>
      <c r="H541" s="1">
        <v>41590</v>
      </c>
      <c r="I541" t="str">
        <f>"12"</f>
        <v>12</v>
      </c>
      <c r="J541" t="s">
        <v>245</v>
      </c>
      <c r="K541" t="s">
        <v>98</v>
      </c>
      <c r="L541" t="s">
        <v>37</v>
      </c>
      <c r="M541" t="s">
        <v>117</v>
      </c>
      <c r="N541" s="1">
        <v>41617</v>
      </c>
      <c r="O541">
        <v>4951.96</v>
      </c>
      <c r="P541">
        <v>1237.8599999999999</v>
      </c>
      <c r="Q541" t="s">
        <v>37</v>
      </c>
      <c r="R541" t="s">
        <v>38</v>
      </c>
      <c r="S541" t="s">
        <v>39</v>
      </c>
      <c r="T541" t="s">
        <v>40</v>
      </c>
    </row>
    <row r="542" spans="1:20" x14ac:dyDescent="0.25">
      <c r="A542" t="s">
        <v>1947</v>
      </c>
      <c r="B542" t="str">
        <f>"7298"</f>
        <v>7298</v>
      </c>
      <c r="C542" t="str">
        <f>"287137298"</f>
        <v>287137298</v>
      </c>
      <c r="D542" t="s">
        <v>1948</v>
      </c>
      <c r="E542" t="s">
        <v>1949</v>
      </c>
      <c r="G542" s="1">
        <v>26830</v>
      </c>
      <c r="H542" s="1">
        <v>41590</v>
      </c>
      <c r="I542" t="str">
        <f>"05"</f>
        <v>05</v>
      </c>
      <c r="J542" t="s">
        <v>58</v>
      </c>
      <c r="L542" t="s">
        <v>37</v>
      </c>
      <c r="M542" t="s">
        <v>143</v>
      </c>
      <c r="N542" s="1">
        <v>41617</v>
      </c>
      <c r="O542">
        <v>185.9</v>
      </c>
      <c r="P542">
        <v>-185.9</v>
      </c>
      <c r="Q542" t="s">
        <v>37</v>
      </c>
      <c r="R542" t="s">
        <v>38</v>
      </c>
      <c r="S542" t="s">
        <v>913</v>
      </c>
      <c r="T542" t="s">
        <v>914</v>
      </c>
    </row>
    <row r="543" spans="1:20" x14ac:dyDescent="0.25">
      <c r="A543" t="s">
        <v>1950</v>
      </c>
      <c r="B543" t="str">
        <f>"6732"</f>
        <v>6732</v>
      </c>
      <c r="C543" t="str">
        <f>"296786732"</f>
        <v>296786732</v>
      </c>
      <c r="D543" t="s">
        <v>1951</v>
      </c>
      <c r="E543" t="s">
        <v>1952</v>
      </c>
      <c r="G543" s="1">
        <v>24721</v>
      </c>
      <c r="H543" s="1">
        <v>41590</v>
      </c>
      <c r="I543" t="str">
        <f>"01"</f>
        <v>01</v>
      </c>
      <c r="J543" t="s">
        <v>116</v>
      </c>
      <c r="K543" t="s">
        <v>98</v>
      </c>
      <c r="L543" t="s">
        <v>37</v>
      </c>
      <c r="M543" t="s">
        <v>257</v>
      </c>
      <c r="N543" s="1">
        <v>41603</v>
      </c>
      <c r="O543">
        <v>10753.08</v>
      </c>
      <c r="P543">
        <v>2688.4</v>
      </c>
      <c r="Q543" t="s">
        <v>37</v>
      </c>
      <c r="R543" t="s">
        <v>51</v>
      </c>
      <c r="S543" t="s">
        <v>1288</v>
      </c>
      <c r="T543" t="s">
        <v>1289</v>
      </c>
    </row>
    <row r="544" spans="1:20" x14ac:dyDescent="0.25">
      <c r="A544" t="s">
        <v>1953</v>
      </c>
      <c r="B544" t="str">
        <f>"0983"</f>
        <v>0983</v>
      </c>
      <c r="C544" t="str">
        <f>"065620983"</f>
        <v>065620983</v>
      </c>
      <c r="D544" t="s">
        <v>1954</v>
      </c>
      <c r="E544" t="s">
        <v>1955</v>
      </c>
      <c r="G544" s="1">
        <v>27778</v>
      </c>
      <c r="H544" s="1">
        <v>41590</v>
      </c>
      <c r="I544" t="str">
        <f>"01"</f>
        <v>01</v>
      </c>
      <c r="J544" t="s">
        <v>116</v>
      </c>
      <c r="L544" t="s">
        <v>37</v>
      </c>
      <c r="M544" t="s">
        <v>143</v>
      </c>
      <c r="N544" s="1">
        <v>41603</v>
      </c>
      <c r="O544">
        <v>185.9</v>
      </c>
      <c r="P544">
        <v>-185.9</v>
      </c>
      <c r="Q544" t="s">
        <v>37</v>
      </c>
      <c r="R544" t="s">
        <v>110</v>
      </c>
      <c r="S544" t="s">
        <v>1346</v>
      </c>
      <c r="T544" t="s">
        <v>1347</v>
      </c>
    </row>
    <row r="545" spans="1:20" x14ac:dyDescent="0.25">
      <c r="A545" t="s">
        <v>1956</v>
      </c>
      <c r="B545" t="str">
        <f>"1678"</f>
        <v>1678</v>
      </c>
      <c r="C545" t="str">
        <f>"288741678"</f>
        <v>288741678</v>
      </c>
      <c r="D545" t="s">
        <v>1957</v>
      </c>
      <c r="E545" t="s">
        <v>48</v>
      </c>
      <c r="F545" t="s">
        <v>97</v>
      </c>
      <c r="G545" s="1">
        <v>24687</v>
      </c>
      <c r="H545" s="1">
        <v>41589</v>
      </c>
      <c r="I545" t="str">
        <f>"12"</f>
        <v>12</v>
      </c>
      <c r="J545" t="s">
        <v>245</v>
      </c>
      <c r="L545" t="s">
        <v>37</v>
      </c>
      <c r="M545" t="s">
        <v>143</v>
      </c>
      <c r="N545" s="1">
        <v>41617</v>
      </c>
      <c r="O545">
        <v>185.9</v>
      </c>
      <c r="P545">
        <v>-185.9</v>
      </c>
      <c r="Q545" t="s">
        <v>37</v>
      </c>
      <c r="R545" t="s">
        <v>71</v>
      </c>
      <c r="S545" t="s">
        <v>209</v>
      </c>
      <c r="T545" t="s">
        <v>210</v>
      </c>
    </row>
    <row r="546" spans="1:20" x14ac:dyDescent="0.25">
      <c r="A546" t="s">
        <v>1958</v>
      </c>
      <c r="B546" t="str">
        <f>"1718"</f>
        <v>1718</v>
      </c>
      <c r="C546" t="str">
        <f>"268841718"</f>
        <v>268841718</v>
      </c>
      <c r="D546" t="s">
        <v>553</v>
      </c>
      <c r="E546" t="s">
        <v>1883</v>
      </c>
      <c r="F546" t="s">
        <v>28</v>
      </c>
      <c r="G546" s="1">
        <v>27675</v>
      </c>
      <c r="H546" s="1">
        <v>41589</v>
      </c>
      <c r="I546" t="str">
        <f>"12"</f>
        <v>12</v>
      </c>
      <c r="J546" t="s">
        <v>245</v>
      </c>
      <c r="K546" t="s">
        <v>98</v>
      </c>
      <c r="L546" t="s">
        <v>37</v>
      </c>
      <c r="M546" t="s">
        <v>257</v>
      </c>
      <c r="N546" s="1">
        <v>41827</v>
      </c>
      <c r="O546">
        <v>10753.08</v>
      </c>
      <c r="P546">
        <v>2688.4</v>
      </c>
      <c r="Q546" t="s">
        <v>37</v>
      </c>
      <c r="R546" t="s">
        <v>29</v>
      </c>
      <c r="S546" t="s">
        <v>630</v>
      </c>
      <c r="T546" t="s">
        <v>631</v>
      </c>
    </row>
    <row r="547" spans="1:20" x14ac:dyDescent="0.25">
      <c r="A547" t="s">
        <v>1959</v>
      </c>
      <c r="B547" t="str">
        <f>"0446"</f>
        <v>0446</v>
      </c>
      <c r="C547" t="str">
        <f>"272680446"</f>
        <v>272680446</v>
      </c>
      <c r="D547" t="s">
        <v>1960</v>
      </c>
      <c r="E547" t="s">
        <v>106</v>
      </c>
      <c r="G547" s="1">
        <v>26575</v>
      </c>
      <c r="H547" s="1">
        <v>41589</v>
      </c>
      <c r="I547" t="str">
        <f>"05"</f>
        <v>05</v>
      </c>
      <c r="J547" t="s">
        <v>58</v>
      </c>
      <c r="K547" t="s">
        <v>98</v>
      </c>
      <c r="L547" t="s">
        <v>37</v>
      </c>
      <c r="M547" t="s">
        <v>99</v>
      </c>
      <c r="N547" s="1">
        <v>41617</v>
      </c>
      <c r="O547">
        <v>14801.8</v>
      </c>
      <c r="P547">
        <v>3700.32</v>
      </c>
      <c r="Q547" t="s">
        <v>28</v>
      </c>
      <c r="R547" t="s">
        <v>29</v>
      </c>
      <c r="S547" t="s">
        <v>765</v>
      </c>
      <c r="T547" t="s">
        <v>766</v>
      </c>
    </row>
    <row r="548" spans="1:20" x14ac:dyDescent="0.25">
      <c r="A548" t="s">
        <v>1961</v>
      </c>
      <c r="B548" t="str">
        <f>"0847"</f>
        <v>0847</v>
      </c>
      <c r="C548" t="str">
        <f>"170520847"</f>
        <v>170520847</v>
      </c>
      <c r="D548" t="s">
        <v>1962</v>
      </c>
      <c r="E548" t="s">
        <v>988</v>
      </c>
      <c r="G548" s="1">
        <v>26397</v>
      </c>
      <c r="H548" s="1">
        <v>41589</v>
      </c>
      <c r="I548" t="str">
        <f>"03"</f>
        <v>03</v>
      </c>
      <c r="J548" t="s">
        <v>70</v>
      </c>
      <c r="K548" t="s">
        <v>98</v>
      </c>
      <c r="L548" t="s">
        <v>37</v>
      </c>
      <c r="M548" t="s">
        <v>99</v>
      </c>
      <c r="N548" s="1">
        <v>41617</v>
      </c>
      <c r="O548">
        <v>14801.8</v>
      </c>
      <c r="P548">
        <v>3700.32</v>
      </c>
      <c r="Q548" t="s">
        <v>28</v>
      </c>
      <c r="R548" t="s">
        <v>110</v>
      </c>
      <c r="S548" t="s">
        <v>1963</v>
      </c>
      <c r="T548" t="s">
        <v>1964</v>
      </c>
    </row>
    <row r="549" spans="1:20" x14ac:dyDescent="0.25">
      <c r="A549" t="s">
        <v>1965</v>
      </c>
      <c r="B549" t="str">
        <f>"7769"</f>
        <v>7769</v>
      </c>
      <c r="C549" t="str">
        <f>"280117769"</f>
        <v>280117769</v>
      </c>
      <c r="D549" t="s">
        <v>1966</v>
      </c>
      <c r="E549" t="s">
        <v>1666</v>
      </c>
      <c r="F549" t="s">
        <v>1967</v>
      </c>
      <c r="G549" s="1">
        <v>21409</v>
      </c>
      <c r="H549" s="1">
        <v>41589</v>
      </c>
      <c r="I549" t="str">
        <f>"01"</f>
        <v>01</v>
      </c>
      <c r="J549" t="s">
        <v>116</v>
      </c>
      <c r="K549" t="s">
        <v>175</v>
      </c>
      <c r="L549" t="s">
        <v>37</v>
      </c>
      <c r="M549" t="s">
        <v>257</v>
      </c>
      <c r="N549" s="1">
        <v>41827</v>
      </c>
      <c r="O549">
        <v>11847.94</v>
      </c>
      <c r="P549">
        <v>2961.92</v>
      </c>
      <c r="Q549" t="s">
        <v>37</v>
      </c>
      <c r="R549" t="s">
        <v>29</v>
      </c>
      <c r="S549" t="s">
        <v>300</v>
      </c>
      <c r="T549" t="s">
        <v>301</v>
      </c>
    </row>
    <row r="550" spans="1:20" x14ac:dyDescent="0.25">
      <c r="A550" t="s">
        <v>1968</v>
      </c>
      <c r="B550" t="str">
        <f>"2854"</f>
        <v>2854</v>
      </c>
      <c r="C550" t="str">
        <f>"271722854"</f>
        <v>271722854</v>
      </c>
      <c r="D550" t="s">
        <v>1969</v>
      </c>
      <c r="E550" t="s">
        <v>1970</v>
      </c>
      <c r="F550" t="s">
        <v>1971</v>
      </c>
      <c r="G550" s="1">
        <v>26637</v>
      </c>
      <c r="H550" s="1">
        <v>41589</v>
      </c>
      <c r="I550" t="str">
        <f>"41"</f>
        <v>41</v>
      </c>
      <c r="J550" t="s">
        <v>24</v>
      </c>
      <c r="K550" t="s">
        <v>25</v>
      </c>
      <c r="L550" t="s">
        <v>26</v>
      </c>
      <c r="M550" t="s">
        <v>27</v>
      </c>
      <c r="N550" s="1">
        <v>18629</v>
      </c>
      <c r="O550">
        <v>0</v>
      </c>
      <c r="P550">
        <v>0</v>
      </c>
      <c r="Q550" t="s">
        <v>28</v>
      </c>
      <c r="R550" t="s">
        <v>51</v>
      </c>
      <c r="S550" s="2" t="s">
        <v>1972</v>
      </c>
      <c r="T550" t="s">
        <v>1973</v>
      </c>
    </row>
    <row r="551" spans="1:20" x14ac:dyDescent="0.25">
      <c r="A551" t="s">
        <v>1974</v>
      </c>
      <c r="B551" t="str">
        <f>"3252"</f>
        <v>3252</v>
      </c>
      <c r="C551" t="str">
        <f>"286563252"</f>
        <v>286563252</v>
      </c>
      <c r="D551" t="s">
        <v>1975</v>
      </c>
      <c r="E551" t="s">
        <v>1976</v>
      </c>
      <c r="F551" t="s">
        <v>93</v>
      </c>
      <c r="G551" s="1">
        <v>23034</v>
      </c>
      <c r="H551" s="1">
        <v>41589</v>
      </c>
      <c r="I551" t="str">
        <f>"01"</f>
        <v>01</v>
      </c>
      <c r="J551" t="s">
        <v>116</v>
      </c>
      <c r="K551" t="s">
        <v>98</v>
      </c>
      <c r="L551" t="s">
        <v>37</v>
      </c>
      <c r="M551" t="s">
        <v>99</v>
      </c>
      <c r="N551" s="1">
        <v>41617</v>
      </c>
      <c r="O551">
        <v>14801.8</v>
      </c>
      <c r="P551">
        <v>3700.32</v>
      </c>
      <c r="Q551" t="s">
        <v>37</v>
      </c>
      <c r="R551" t="s">
        <v>38</v>
      </c>
      <c r="S551" t="s">
        <v>39</v>
      </c>
      <c r="T551" t="s">
        <v>40</v>
      </c>
    </row>
    <row r="552" spans="1:20" x14ac:dyDescent="0.25">
      <c r="A552" t="s">
        <v>1977</v>
      </c>
      <c r="B552" t="str">
        <f>"3477"</f>
        <v>3477</v>
      </c>
      <c r="C552" t="str">
        <f>"272743477"</f>
        <v>272743477</v>
      </c>
      <c r="D552" t="s">
        <v>1978</v>
      </c>
      <c r="E552" t="s">
        <v>905</v>
      </c>
      <c r="G552" s="1">
        <v>22770</v>
      </c>
      <c r="H552" s="1">
        <v>41583</v>
      </c>
      <c r="I552" t="str">
        <f>"51"</f>
        <v>51</v>
      </c>
      <c r="J552" t="s">
        <v>471</v>
      </c>
      <c r="K552" t="s">
        <v>25</v>
      </c>
      <c r="L552" t="s">
        <v>26</v>
      </c>
      <c r="M552" t="s">
        <v>27</v>
      </c>
      <c r="N552" s="1">
        <v>18629</v>
      </c>
      <c r="O552">
        <v>0</v>
      </c>
      <c r="P552">
        <v>0</v>
      </c>
      <c r="Q552" t="s">
        <v>37</v>
      </c>
      <c r="R552" t="s">
        <v>1015</v>
      </c>
      <c r="S552" t="s">
        <v>960</v>
      </c>
      <c r="T552" t="s">
        <v>314</v>
      </c>
    </row>
    <row r="553" spans="1:20" x14ac:dyDescent="0.25">
      <c r="A553" t="s">
        <v>1979</v>
      </c>
      <c r="B553" t="str">
        <f>"5577"</f>
        <v>5577</v>
      </c>
      <c r="C553" t="str">
        <f>"293465577"</f>
        <v>293465577</v>
      </c>
      <c r="D553" t="s">
        <v>1980</v>
      </c>
      <c r="E553" t="s">
        <v>1981</v>
      </c>
      <c r="F553" t="s">
        <v>1982</v>
      </c>
      <c r="G553" s="1">
        <v>23769</v>
      </c>
      <c r="H553" s="1">
        <v>41582</v>
      </c>
      <c r="I553" t="str">
        <f>"52"</f>
        <v>52</v>
      </c>
      <c r="J553" t="s">
        <v>330</v>
      </c>
      <c r="K553" t="s">
        <v>25</v>
      </c>
      <c r="L553" t="s">
        <v>26</v>
      </c>
      <c r="M553" t="s">
        <v>27</v>
      </c>
      <c r="N553" s="1">
        <v>18629</v>
      </c>
      <c r="O553">
        <v>0</v>
      </c>
      <c r="P553">
        <v>0</v>
      </c>
      <c r="Q553" t="s">
        <v>37</v>
      </c>
      <c r="R553" t="s">
        <v>71</v>
      </c>
      <c r="S553" t="s">
        <v>336</v>
      </c>
      <c r="T553" t="s">
        <v>337</v>
      </c>
    </row>
    <row r="554" spans="1:20" x14ac:dyDescent="0.25">
      <c r="A554" t="s">
        <v>1983</v>
      </c>
      <c r="B554" t="str">
        <f>"6463"</f>
        <v>6463</v>
      </c>
      <c r="C554" t="str">
        <f>"298526463"</f>
        <v>298526463</v>
      </c>
      <c r="D554" t="s">
        <v>1984</v>
      </c>
      <c r="E554" t="s">
        <v>642</v>
      </c>
      <c r="F554" t="s">
        <v>97</v>
      </c>
      <c r="G554" s="1">
        <v>23508</v>
      </c>
      <c r="H554" s="1">
        <v>41579</v>
      </c>
      <c r="I554" t="str">
        <f>"52"</f>
        <v>52</v>
      </c>
      <c r="J554" t="s">
        <v>330</v>
      </c>
      <c r="K554" t="s">
        <v>25</v>
      </c>
      <c r="L554" t="s">
        <v>26</v>
      </c>
      <c r="M554" t="s">
        <v>27</v>
      </c>
      <c r="N554" s="1">
        <v>18629</v>
      </c>
      <c r="O554">
        <v>0</v>
      </c>
      <c r="P554">
        <v>0</v>
      </c>
      <c r="Q554" t="s">
        <v>28</v>
      </c>
      <c r="R554" t="s">
        <v>29</v>
      </c>
      <c r="S554" t="s">
        <v>1985</v>
      </c>
      <c r="T554" t="s">
        <v>1986</v>
      </c>
    </row>
    <row r="555" spans="1:20" x14ac:dyDescent="0.25">
      <c r="A555" t="s">
        <v>1987</v>
      </c>
      <c r="B555" t="str">
        <f>"9130"</f>
        <v>9130</v>
      </c>
      <c r="C555" t="str">
        <f>"300829130"</f>
        <v>300829130</v>
      </c>
      <c r="D555" t="s">
        <v>1988</v>
      </c>
      <c r="E555" t="s">
        <v>1530</v>
      </c>
      <c r="F555" t="s">
        <v>49</v>
      </c>
      <c r="G555" s="1">
        <v>25908</v>
      </c>
      <c r="H555" s="1">
        <v>41578</v>
      </c>
      <c r="I555" t="str">
        <f>"51"</f>
        <v>51</v>
      </c>
      <c r="J555" t="s">
        <v>471</v>
      </c>
      <c r="K555" t="s">
        <v>25</v>
      </c>
      <c r="L555" t="s">
        <v>26</v>
      </c>
      <c r="M555" t="s">
        <v>27</v>
      </c>
      <c r="N555" s="1">
        <v>18629</v>
      </c>
      <c r="O555">
        <v>0</v>
      </c>
      <c r="P555">
        <v>0</v>
      </c>
      <c r="Q555" t="s">
        <v>37</v>
      </c>
      <c r="R555" t="s">
        <v>100</v>
      </c>
      <c r="S555" t="s">
        <v>130</v>
      </c>
      <c r="T555" t="s">
        <v>131</v>
      </c>
    </row>
    <row r="556" spans="1:20" x14ac:dyDescent="0.25">
      <c r="A556" t="s">
        <v>1989</v>
      </c>
      <c r="B556" t="str">
        <f>"9341"</f>
        <v>9341</v>
      </c>
      <c r="C556" t="str">
        <f>"294689341"</f>
        <v>294689341</v>
      </c>
      <c r="D556" t="s">
        <v>1216</v>
      </c>
      <c r="E556" t="s">
        <v>1589</v>
      </c>
      <c r="F556" t="s">
        <v>97</v>
      </c>
      <c r="G556" s="1">
        <v>23659</v>
      </c>
      <c r="H556" s="1">
        <v>41578</v>
      </c>
      <c r="I556" t="str">
        <f>"53"</f>
        <v>53</v>
      </c>
      <c r="J556" t="s">
        <v>917</v>
      </c>
      <c r="K556" t="s">
        <v>25</v>
      </c>
      <c r="L556" t="s">
        <v>26</v>
      </c>
      <c r="M556" t="s">
        <v>27</v>
      </c>
      <c r="N556" s="1">
        <v>18629</v>
      </c>
      <c r="O556">
        <v>0</v>
      </c>
      <c r="P556">
        <v>0</v>
      </c>
      <c r="Q556" t="s">
        <v>37</v>
      </c>
      <c r="R556" t="s">
        <v>312</v>
      </c>
      <c r="S556" t="s">
        <v>918</v>
      </c>
      <c r="T556" t="s">
        <v>919</v>
      </c>
    </row>
    <row r="557" spans="1:20" x14ac:dyDescent="0.25">
      <c r="A557" t="s">
        <v>1990</v>
      </c>
      <c r="B557" t="str">
        <f>"3263"</f>
        <v>3263</v>
      </c>
      <c r="C557" t="str">
        <f>"290543263"</f>
        <v>290543263</v>
      </c>
      <c r="D557" t="s">
        <v>1991</v>
      </c>
      <c r="E557" t="s">
        <v>675</v>
      </c>
      <c r="F557" t="s">
        <v>28</v>
      </c>
      <c r="G557" s="1">
        <v>25093</v>
      </c>
      <c r="H557" s="1">
        <v>41578</v>
      </c>
      <c r="I557" t="str">
        <f>"53"</f>
        <v>53</v>
      </c>
      <c r="J557" t="s">
        <v>917</v>
      </c>
      <c r="K557" t="s">
        <v>25</v>
      </c>
      <c r="L557" t="s">
        <v>26</v>
      </c>
      <c r="M557" t="s">
        <v>27</v>
      </c>
      <c r="N557" s="1">
        <v>18629</v>
      </c>
      <c r="O557">
        <v>0</v>
      </c>
      <c r="P557">
        <v>0</v>
      </c>
      <c r="Q557" t="s">
        <v>37</v>
      </c>
      <c r="R557" t="s">
        <v>312</v>
      </c>
      <c r="S557" t="s">
        <v>918</v>
      </c>
      <c r="T557" t="s">
        <v>919</v>
      </c>
    </row>
    <row r="558" spans="1:20" x14ac:dyDescent="0.25">
      <c r="A558" t="s">
        <v>1992</v>
      </c>
      <c r="B558" t="str">
        <f>"9686"</f>
        <v>9686</v>
      </c>
      <c r="C558" t="str">
        <f>"203409686"</f>
        <v>203409686</v>
      </c>
      <c r="D558" t="s">
        <v>1993</v>
      </c>
      <c r="E558" t="s">
        <v>526</v>
      </c>
      <c r="F558" t="s">
        <v>1994</v>
      </c>
      <c r="G558" s="1">
        <v>18346</v>
      </c>
      <c r="H558" s="1">
        <v>41575</v>
      </c>
      <c r="I558" t="str">
        <f>"41"</f>
        <v>41</v>
      </c>
      <c r="J558" t="s">
        <v>24</v>
      </c>
      <c r="K558" t="s">
        <v>25</v>
      </c>
      <c r="L558" t="s">
        <v>26</v>
      </c>
      <c r="M558" t="s">
        <v>27</v>
      </c>
      <c r="N558" s="1">
        <v>18629</v>
      </c>
      <c r="O558">
        <v>0</v>
      </c>
      <c r="P558">
        <v>0</v>
      </c>
      <c r="Q558" t="s">
        <v>37</v>
      </c>
      <c r="R558" t="s">
        <v>29</v>
      </c>
      <c r="S558" t="s">
        <v>1736</v>
      </c>
      <c r="T558" t="s">
        <v>1737</v>
      </c>
    </row>
    <row r="559" spans="1:20" x14ac:dyDescent="0.25">
      <c r="A559" t="s">
        <v>1995</v>
      </c>
      <c r="B559" t="str">
        <f>"3310"</f>
        <v>3310</v>
      </c>
      <c r="C559" t="str">
        <f>"277823310"</f>
        <v>277823310</v>
      </c>
      <c r="D559" t="s">
        <v>1996</v>
      </c>
      <c r="E559" t="s">
        <v>1081</v>
      </c>
      <c r="F559" t="s">
        <v>69</v>
      </c>
      <c r="G559" s="1">
        <v>30758</v>
      </c>
      <c r="H559" s="1">
        <v>41575</v>
      </c>
      <c r="I559" t="str">
        <f>"03"</f>
        <v>03</v>
      </c>
      <c r="J559" t="s">
        <v>70</v>
      </c>
      <c r="K559" t="s">
        <v>98</v>
      </c>
      <c r="L559" t="s">
        <v>37</v>
      </c>
      <c r="M559" t="s">
        <v>257</v>
      </c>
      <c r="N559" s="1">
        <v>41617</v>
      </c>
      <c r="O559">
        <v>10753.08</v>
      </c>
      <c r="P559">
        <v>2688.4</v>
      </c>
      <c r="Q559" t="s">
        <v>28</v>
      </c>
      <c r="R559" t="s">
        <v>38</v>
      </c>
      <c r="S559" t="s">
        <v>1194</v>
      </c>
      <c r="T559" t="s">
        <v>1195</v>
      </c>
    </row>
    <row r="560" spans="1:20" x14ac:dyDescent="0.25">
      <c r="A560" t="s">
        <v>1997</v>
      </c>
      <c r="B560" t="str">
        <f>"3399"</f>
        <v>3399</v>
      </c>
      <c r="C560" t="str">
        <f>"298823399"</f>
        <v>298823399</v>
      </c>
      <c r="D560" t="s">
        <v>1998</v>
      </c>
      <c r="E560" t="s">
        <v>1999</v>
      </c>
      <c r="F560" t="s">
        <v>26</v>
      </c>
      <c r="G560" s="1">
        <v>28643</v>
      </c>
      <c r="H560" s="1">
        <v>41575</v>
      </c>
      <c r="I560" t="str">
        <f>"41"</f>
        <v>41</v>
      </c>
      <c r="J560" t="s">
        <v>24</v>
      </c>
      <c r="K560" t="s">
        <v>25</v>
      </c>
      <c r="L560" t="s">
        <v>26</v>
      </c>
      <c r="M560" t="s">
        <v>27</v>
      </c>
      <c r="N560" s="1">
        <v>18629</v>
      </c>
      <c r="O560">
        <v>0</v>
      </c>
      <c r="P560">
        <v>0</v>
      </c>
      <c r="Q560" t="s">
        <v>28</v>
      </c>
      <c r="R560" t="s">
        <v>29</v>
      </c>
      <c r="S560" t="s">
        <v>30</v>
      </c>
      <c r="T560" t="s">
        <v>31</v>
      </c>
    </row>
    <row r="561" spans="1:20" x14ac:dyDescent="0.25">
      <c r="A561" t="s">
        <v>2000</v>
      </c>
      <c r="B561" t="str">
        <f>"3399"</f>
        <v>3399</v>
      </c>
      <c r="C561" t="str">
        <f>"292623399"</f>
        <v>292623399</v>
      </c>
      <c r="D561" t="s">
        <v>2001</v>
      </c>
      <c r="E561" t="s">
        <v>649</v>
      </c>
      <c r="F561" t="s">
        <v>93</v>
      </c>
      <c r="G561" s="1">
        <v>21560</v>
      </c>
      <c r="H561" s="1">
        <v>41575</v>
      </c>
      <c r="I561" t="str">
        <f>"41"</f>
        <v>41</v>
      </c>
      <c r="J561" t="s">
        <v>24</v>
      </c>
      <c r="K561" t="s">
        <v>25</v>
      </c>
      <c r="L561" t="s">
        <v>26</v>
      </c>
      <c r="M561" t="s">
        <v>27</v>
      </c>
      <c r="N561" s="1">
        <v>18629</v>
      </c>
      <c r="O561">
        <v>0</v>
      </c>
      <c r="P561">
        <v>0</v>
      </c>
      <c r="Q561" t="s">
        <v>28</v>
      </c>
      <c r="R561" t="s">
        <v>258</v>
      </c>
      <c r="S561" t="s">
        <v>533</v>
      </c>
      <c r="T561" t="s">
        <v>534</v>
      </c>
    </row>
    <row r="562" spans="1:20" x14ac:dyDescent="0.25">
      <c r="A562" t="s">
        <v>2002</v>
      </c>
      <c r="B562" t="str">
        <f>"7742"</f>
        <v>7742</v>
      </c>
      <c r="C562" t="str">
        <f>"293627742"</f>
        <v>293627742</v>
      </c>
      <c r="D562" t="s">
        <v>2003</v>
      </c>
      <c r="E562" t="s">
        <v>109</v>
      </c>
      <c r="F562" t="s">
        <v>93</v>
      </c>
      <c r="G562" s="1">
        <v>26413</v>
      </c>
      <c r="H562" s="1">
        <v>41575</v>
      </c>
      <c r="I562" t="str">
        <f>"15"</f>
        <v>15</v>
      </c>
      <c r="J562" t="s">
        <v>36</v>
      </c>
      <c r="K562" t="s">
        <v>98</v>
      </c>
      <c r="L562" t="s">
        <v>37</v>
      </c>
      <c r="M562" t="s">
        <v>257</v>
      </c>
      <c r="N562" s="1">
        <v>41617</v>
      </c>
      <c r="O562">
        <v>10753.08</v>
      </c>
      <c r="P562">
        <v>2688.4</v>
      </c>
      <c r="Q562" t="s">
        <v>37</v>
      </c>
      <c r="R562" t="s">
        <v>29</v>
      </c>
      <c r="S562" t="s">
        <v>419</v>
      </c>
      <c r="T562" t="s">
        <v>420</v>
      </c>
    </row>
    <row r="563" spans="1:20" x14ac:dyDescent="0.25">
      <c r="A563" t="s">
        <v>2004</v>
      </c>
      <c r="B563" t="str">
        <f>"9224"</f>
        <v>9224</v>
      </c>
      <c r="C563" t="str">
        <f>"280609224"</f>
        <v>280609224</v>
      </c>
      <c r="D563" t="s">
        <v>2005</v>
      </c>
      <c r="E563" t="s">
        <v>194</v>
      </c>
      <c r="F563" t="s">
        <v>165</v>
      </c>
      <c r="G563" s="1">
        <v>25584</v>
      </c>
      <c r="H563" s="1">
        <v>41575</v>
      </c>
      <c r="I563" t="str">
        <f>"03"</f>
        <v>03</v>
      </c>
      <c r="J563" t="s">
        <v>70</v>
      </c>
      <c r="K563" t="s">
        <v>98</v>
      </c>
      <c r="L563" t="s">
        <v>37</v>
      </c>
      <c r="M563" t="s">
        <v>99</v>
      </c>
      <c r="N563" s="1">
        <v>41617</v>
      </c>
      <c r="O563">
        <v>14801.8</v>
      </c>
      <c r="P563">
        <v>3700.32</v>
      </c>
      <c r="Q563" t="s">
        <v>37</v>
      </c>
      <c r="R563" t="s">
        <v>29</v>
      </c>
      <c r="S563" t="s">
        <v>138</v>
      </c>
      <c r="T563" t="s">
        <v>139</v>
      </c>
    </row>
    <row r="564" spans="1:20" x14ac:dyDescent="0.25">
      <c r="A564" t="s">
        <v>2006</v>
      </c>
      <c r="B564" t="str">
        <f>"4846"</f>
        <v>4846</v>
      </c>
      <c r="C564" t="str">
        <f>"287824846"</f>
        <v>287824846</v>
      </c>
      <c r="D564" t="s">
        <v>2007</v>
      </c>
      <c r="E564" t="s">
        <v>2008</v>
      </c>
      <c r="F564" t="s">
        <v>1666</v>
      </c>
      <c r="G564" s="1">
        <v>30603</v>
      </c>
      <c r="H564" s="1">
        <v>41575</v>
      </c>
      <c r="I564" t="str">
        <f>"12"</f>
        <v>12</v>
      </c>
      <c r="J564" t="s">
        <v>245</v>
      </c>
      <c r="K564" t="s">
        <v>98</v>
      </c>
      <c r="L564" t="s">
        <v>37</v>
      </c>
      <c r="M564" t="s">
        <v>117</v>
      </c>
      <c r="N564" s="1">
        <v>41617</v>
      </c>
      <c r="O564">
        <v>4951.96</v>
      </c>
      <c r="P564">
        <v>1237.8599999999999</v>
      </c>
      <c r="Q564" t="s">
        <v>37</v>
      </c>
      <c r="R564" t="s">
        <v>29</v>
      </c>
      <c r="S564" t="s">
        <v>620</v>
      </c>
      <c r="T564" t="s">
        <v>621</v>
      </c>
    </row>
    <row r="565" spans="1:20" x14ac:dyDescent="0.25">
      <c r="A565" t="s">
        <v>2009</v>
      </c>
      <c r="B565" t="str">
        <f>"6430"</f>
        <v>6430</v>
      </c>
      <c r="C565" t="str">
        <f>"291046430"</f>
        <v>291046430</v>
      </c>
      <c r="D565" t="s">
        <v>310</v>
      </c>
      <c r="E565" t="s">
        <v>2010</v>
      </c>
      <c r="F565" t="s">
        <v>165</v>
      </c>
      <c r="G565" s="1">
        <v>20419</v>
      </c>
      <c r="H565" s="1">
        <v>41575</v>
      </c>
      <c r="I565" t="str">
        <f>"03"</f>
        <v>03</v>
      </c>
      <c r="J565" t="s">
        <v>70</v>
      </c>
      <c r="K565" t="s">
        <v>98</v>
      </c>
      <c r="L565" t="s">
        <v>37</v>
      </c>
      <c r="M565" t="s">
        <v>117</v>
      </c>
      <c r="N565" s="1">
        <v>41617</v>
      </c>
      <c r="O565">
        <v>4951.96</v>
      </c>
      <c r="P565">
        <v>1237.8599999999999</v>
      </c>
      <c r="Q565" t="s">
        <v>28</v>
      </c>
      <c r="R565" t="s">
        <v>77</v>
      </c>
      <c r="S565" t="s">
        <v>78</v>
      </c>
      <c r="T565" t="s">
        <v>79</v>
      </c>
    </row>
    <row r="566" spans="1:20" x14ac:dyDescent="0.25">
      <c r="A566" t="s">
        <v>2011</v>
      </c>
      <c r="B566" t="str">
        <f>"0703"</f>
        <v>0703</v>
      </c>
      <c r="C566" t="str">
        <f>"295900703"</f>
        <v>295900703</v>
      </c>
      <c r="D566" t="s">
        <v>2012</v>
      </c>
      <c r="E566" t="s">
        <v>2013</v>
      </c>
      <c r="F566" t="s">
        <v>2014</v>
      </c>
      <c r="G566" s="1">
        <v>31862</v>
      </c>
      <c r="H566" s="1">
        <v>41570</v>
      </c>
      <c r="I566" t="str">
        <f>"15"</f>
        <v>15</v>
      </c>
      <c r="J566" t="s">
        <v>36</v>
      </c>
      <c r="K566" t="s">
        <v>98</v>
      </c>
      <c r="L566" t="s">
        <v>37</v>
      </c>
      <c r="M566" t="s">
        <v>117</v>
      </c>
      <c r="N566" s="1">
        <v>41617</v>
      </c>
      <c r="O566">
        <v>4951.96</v>
      </c>
      <c r="P566">
        <v>1237.8599999999999</v>
      </c>
      <c r="Q566" t="s">
        <v>37</v>
      </c>
      <c r="R566" t="s">
        <v>29</v>
      </c>
      <c r="S566" t="s">
        <v>1182</v>
      </c>
      <c r="T566" t="s">
        <v>1183</v>
      </c>
    </row>
    <row r="567" spans="1:20" x14ac:dyDescent="0.25">
      <c r="A567" t="s">
        <v>2015</v>
      </c>
      <c r="B567" t="str">
        <f>"8031"</f>
        <v>8031</v>
      </c>
      <c r="C567" t="str">
        <f>"280808031"</f>
        <v>280808031</v>
      </c>
      <c r="D567" t="s">
        <v>2016</v>
      </c>
      <c r="E567" t="s">
        <v>2017</v>
      </c>
      <c r="F567" t="s">
        <v>358</v>
      </c>
      <c r="G567" s="1">
        <v>30410</v>
      </c>
      <c r="H567" s="1">
        <v>41568</v>
      </c>
      <c r="I567" t="str">
        <f>"51"</f>
        <v>51</v>
      </c>
      <c r="J567" t="s">
        <v>471</v>
      </c>
      <c r="K567" t="s">
        <v>25</v>
      </c>
      <c r="L567" t="s">
        <v>26</v>
      </c>
      <c r="M567" t="s">
        <v>27</v>
      </c>
      <c r="N567" s="1">
        <v>18629</v>
      </c>
      <c r="O567">
        <v>0</v>
      </c>
      <c r="P567">
        <v>0</v>
      </c>
      <c r="Q567" t="s">
        <v>37</v>
      </c>
      <c r="R567" t="s">
        <v>71</v>
      </c>
      <c r="S567" t="s">
        <v>157</v>
      </c>
      <c r="T567" t="s">
        <v>158</v>
      </c>
    </row>
    <row r="568" spans="1:20" x14ac:dyDescent="0.25">
      <c r="A568" t="s">
        <v>2018</v>
      </c>
      <c r="B568" t="str">
        <f>"9224"</f>
        <v>9224</v>
      </c>
      <c r="C568" t="str">
        <f>"268849224"</f>
        <v>268849224</v>
      </c>
      <c r="D568" t="s">
        <v>2019</v>
      </c>
      <c r="E568" t="s">
        <v>2020</v>
      </c>
      <c r="G568" s="1">
        <v>25578</v>
      </c>
      <c r="H568" s="1">
        <v>41568</v>
      </c>
      <c r="I568" t="str">
        <f>"41"</f>
        <v>41</v>
      </c>
      <c r="J568" t="s">
        <v>24</v>
      </c>
      <c r="K568" t="s">
        <v>25</v>
      </c>
      <c r="L568" t="s">
        <v>26</v>
      </c>
      <c r="M568" t="s">
        <v>27</v>
      </c>
      <c r="N568" s="1">
        <v>18629</v>
      </c>
      <c r="O568">
        <v>0</v>
      </c>
      <c r="P568">
        <v>0</v>
      </c>
      <c r="Q568" t="s">
        <v>37</v>
      </c>
      <c r="R568" t="s">
        <v>29</v>
      </c>
      <c r="S568" t="s">
        <v>419</v>
      </c>
      <c r="T568" t="s">
        <v>420</v>
      </c>
    </row>
    <row r="569" spans="1:20" x14ac:dyDescent="0.25">
      <c r="A569" t="s">
        <v>2021</v>
      </c>
      <c r="B569" t="str">
        <f>"3542"</f>
        <v>3542</v>
      </c>
      <c r="C569" t="str">
        <f>"138763542"</f>
        <v>138763542</v>
      </c>
      <c r="D569" t="s">
        <v>2022</v>
      </c>
      <c r="E569" t="s">
        <v>1407</v>
      </c>
      <c r="F569" t="s">
        <v>93</v>
      </c>
      <c r="G569" s="1">
        <v>24683</v>
      </c>
      <c r="H569" s="1">
        <v>41568</v>
      </c>
      <c r="I569" t="str">
        <f t="shared" ref="I569:I574" si="6">"51"</f>
        <v>51</v>
      </c>
      <c r="J569" t="s">
        <v>471</v>
      </c>
      <c r="K569" t="s">
        <v>25</v>
      </c>
      <c r="L569" t="s">
        <v>26</v>
      </c>
      <c r="M569" t="s">
        <v>27</v>
      </c>
      <c r="N569" s="1">
        <v>18629</v>
      </c>
      <c r="O569">
        <v>0</v>
      </c>
      <c r="P569">
        <v>0</v>
      </c>
      <c r="Q569" t="s">
        <v>37</v>
      </c>
      <c r="R569" t="s">
        <v>71</v>
      </c>
      <c r="S569" t="s">
        <v>157</v>
      </c>
      <c r="T569" t="s">
        <v>158</v>
      </c>
    </row>
    <row r="570" spans="1:20" x14ac:dyDescent="0.25">
      <c r="A570" t="s">
        <v>2023</v>
      </c>
      <c r="B570" t="str">
        <f>"5868"</f>
        <v>5868</v>
      </c>
      <c r="C570" t="str">
        <f>"385545868"</f>
        <v>385545868</v>
      </c>
      <c r="D570" t="s">
        <v>2024</v>
      </c>
      <c r="E570" t="s">
        <v>1726</v>
      </c>
      <c r="F570" t="s">
        <v>28</v>
      </c>
      <c r="G570" s="1">
        <v>18494</v>
      </c>
      <c r="H570" s="1">
        <v>41568</v>
      </c>
      <c r="I570" t="str">
        <f t="shared" si="6"/>
        <v>51</v>
      </c>
      <c r="J570" t="s">
        <v>471</v>
      </c>
      <c r="K570" t="s">
        <v>25</v>
      </c>
      <c r="L570" t="s">
        <v>26</v>
      </c>
      <c r="M570" t="s">
        <v>27</v>
      </c>
      <c r="N570" s="1">
        <v>18629</v>
      </c>
      <c r="O570">
        <v>0</v>
      </c>
      <c r="P570">
        <v>0</v>
      </c>
      <c r="Q570" t="s">
        <v>37</v>
      </c>
      <c r="R570" t="s">
        <v>71</v>
      </c>
      <c r="S570" t="s">
        <v>305</v>
      </c>
      <c r="T570" t="s">
        <v>306</v>
      </c>
    </row>
    <row r="571" spans="1:20" x14ac:dyDescent="0.25">
      <c r="A571" t="s">
        <v>2025</v>
      </c>
      <c r="B571" t="str">
        <f>"8332"</f>
        <v>8332</v>
      </c>
      <c r="C571" t="str">
        <f>"284628332"</f>
        <v>284628332</v>
      </c>
      <c r="D571" t="s">
        <v>2026</v>
      </c>
      <c r="E571" t="s">
        <v>2027</v>
      </c>
      <c r="F571" t="s">
        <v>190</v>
      </c>
      <c r="G571" s="1">
        <v>20898</v>
      </c>
      <c r="H571" s="1">
        <v>41568</v>
      </c>
      <c r="I571" t="str">
        <f t="shared" si="6"/>
        <v>51</v>
      </c>
      <c r="J571" t="s">
        <v>471</v>
      </c>
      <c r="K571" t="s">
        <v>25</v>
      </c>
      <c r="L571" t="s">
        <v>26</v>
      </c>
      <c r="M571" t="s">
        <v>27</v>
      </c>
      <c r="N571" s="1">
        <v>18629</v>
      </c>
      <c r="O571">
        <v>0</v>
      </c>
      <c r="P571">
        <v>0</v>
      </c>
      <c r="Q571" t="s">
        <v>28</v>
      </c>
      <c r="R571" t="s">
        <v>71</v>
      </c>
      <c r="S571" t="s">
        <v>72</v>
      </c>
      <c r="T571" t="s">
        <v>73</v>
      </c>
    </row>
    <row r="572" spans="1:20" x14ac:dyDescent="0.25">
      <c r="A572" t="s">
        <v>2028</v>
      </c>
      <c r="B572" t="str">
        <f>"7610"</f>
        <v>7610</v>
      </c>
      <c r="C572" t="str">
        <f>"222727610"</f>
        <v>222727610</v>
      </c>
      <c r="D572" t="s">
        <v>2029</v>
      </c>
      <c r="E572" t="s">
        <v>2030</v>
      </c>
      <c r="F572" t="s">
        <v>28</v>
      </c>
      <c r="G572" s="1">
        <v>29137</v>
      </c>
      <c r="H572" s="1">
        <v>41568</v>
      </c>
      <c r="I572" t="str">
        <f t="shared" si="6"/>
        <v>51</v>
      </c>
      <c r="J572" t="s">
        <v>471</v>
      </c>
      <c r="K572" t="s">
        <v>25</v>
      </c>
      <c r="L572" t="s">
        <v>26</v>
      </c>
      <c r="M572" t="s">
        <v>27</v>
      </c>
      <c r="N572" s="1">
        <v>18629</v>
      </c>
      <c r="O572">
        <v>0</v>
      </c>
      <c r="P572">
        <v>0</v>
      </c>
      <c r="Q572" t="s">
        <v>28</v>
      </c>
      <c r="R572" t="s">
        <v>51</v>
      </c>
      <c r="S572" s="2" t="s">
        <v>1508</v>
      </c>
      <c r="T572" t="s">
        <v>1509</v>
      </c>
    </row>
    <row r="573" spans="1:20" x14ac:dyDescent="0.25">
      <c r="A573" t="s">
        <v>2031</v>
      </c>
      <c r="B573" t="str">
        <f>"5538"</f>
        <v>5538</v>
      </c>
      <c r="C573" t="str">
        <f>"294545538"</f>
        <v>294545538</v>
      </c>
      <c r="D573" t="s">
        <v>2032</v>
      </c>
      <c r="E573" t="s">
        <v>1342</v>
      </c>
      <c r="F573" t="s">
        <v>97</v>
      </c>
      <c r="G573" s="1">
        <v>19809</v>
      </c>
      <c r="H573" s="1">
        <v>41568</v>
      </c>
      <c r="I573" t="str">
        <f t="shared" si="6"/>
        <v>51</v>
      </c>
      <c r="J573" t="s">
        <v>471</v>
      </c>
      <c r="K573" t="s">
        <v>25</v>
      </c>
      <c r="L573" t="s">
        <v>26</v>
      </c>
      <c r="M573" t="s">
        <v>27</v>
      </c>
      <c r="N573" s="1">
        <v>18629</v>
      </c>
      <c r="O573">
        <v>0</v>
      </c>
      <c r="P573">
        <v>0</v>
      </c>
      <c r="Q573" t="s">
        <v>37</v>
      </c>
      <c r="R573" t="s">
        <v>71</v>
      </c>
      <c r="S573" t="s">
        <v>305</v>
      </c>
      <c r="T573" t="s">
        <v>306</v>
      </c>
    </row>
    <row r="574" spans="1:20" x14ac:dyDescent="0.25">
      <c r="A574" t="s">
        <v>2033</v>
      </c>
      <c r="B574" t="str">
        <f>"0706"</f>
        <v>0706</v>
      </c>
      <c r="C574" t="str">
        <f>"286880706"</f>
        <v>286880706</v>
      </c>
      <c r="D574" t="s">
        <v>2034</v>
      </c>
      <c r="E574" t="s">
        <v>1744</v>
      </c>
      <c r="F574" t="s">
        <v>438</v>
      </c>
      <c r="G574" s="1">
        <v>28417</v>
      </c>
      <c r="H574" s="1">
        <v>41568</v>
      </c>
      <c r="I574" t="str">
        <f t="shared" si="6"/>
        <v>51</v>
      </c>
      <c r="J574" t="s">
        <v>471</v>
      </c>
      <c r="K574" t="s">
        <v>25</v>
      </c>
      <c r="L574" t="s">
        <v>26</v>
      </c>
      <c r="M574" t="s">
        <v>27</v>
      </c>
      <c r="N574" s="1">
        <v>18629</v>
      </c>
      <c r="O574">
        <v>0</v>
      </c>
      <c r="P574">
        <v>0</v>
      </c>
      <c r="Q574" t="s">
        <v>37</v>
      </c>
      <c r="R574" t="s">
        <v>71</v>
      </c>
      <c r="S574" t="s">
        <v>157</v>
      </c>
      <c r="T574" t="s">
        <v>158</v>
      </c>
    </row>
    <row r="575" spans="1:20" x14ac:dyDescent="0.25">
      <c r="A575" t="s">
        <v>2035</v>
      </c>
      <c r="B575" t="str">
        <f>"8842"</f>
        <v>8842</v>
      </c>
      <c r="C575" t="str">
        <f>"438958842"</f>
        <v>438958842</v>
      </c>
      <c r="D575" t="s">
        <v>2036</v>
      </c>
      <c r="E575" t="s">
        <v>2037</v>
      </c>
      <c r="G575" s="1">
        <v>25063</v>
      </c>
      <c r="H575" s="1">
        <v>41567</v>
      </c>
      <c r="I575" t="str">
        <f>"53"</f>
        <v>53</v>
      </c>
      <c r="J575" t="s">
        <v>917</v>
      </c>
      <c r="K575" t="s">
        <v>25</v>
      </c>
      <c r="L575" t="s">
        <v>26</v>
      </c>
      <c r="M575" t="s">
        <v>27</v>
      </c>
      <c r="N575" s="1">
        <v>18629</v>
      </c>
      <c r="O575">
        <v>0</v>
      </c>
      <c r="P575">
        <v>0</v>
      </c>
      <c r="Q575" t="s">
        <v>37</v>
      </c>
      <c r="R575" t="s">
        <v>312</v>
      </c>
      <c r="S575" t="s">
        <v>2038</v>
      </c>
      <c r="T575" t="s">
        <v>2039</v>
      </c>
    </row>
    <row r="576" spans="1:20" x14ac:dyDescent="0.25">
      <c r="A576" t="s">
        <v>2040</v>
      </c>
      <c r="B576" t="str">
        <f>"8041"</f>
        <v>8041</v>
      </c>
      <c r="C576" t="str">
        <f>"280648041"</f>
        <v>280648041</v>
      </c>
      <c r="D576" t="s">
        <v>2041</v>
      </c>
      <c r="E576" t="s">
        <v>2042</v>
      </c>
      <c r="F576" t="s">
        <v>28</v>
      </c>
      <c r="G576" s="1">
        <v>20927</v>
      </c>
      <c r="H576" s="1">
        <v>41561</v>
      </c>
      <c r="I576" t="str">
        <f>"12"</f>
        <v>12</v>
      </c>
      <c r="J576" t="s">
        <v>245</v>
      </c>
      <c r="L576" t="s">
        <v>37</v>
      </c>
      <c r="M576" t="s">
        <v>143</v>
      </c>
      <c r="N576" s="1">
        <v>41617</v>
      </c>
      <c r="O576">
        <v>185.9</v>
      </c>
      <c r="P576">
        <v>-185.9</v>
      </c>
      <c r="Q576" t="s">
        <v>37</v>
      </c>
      <c r="R576" t="s">
        <v>312</v>
      </c>
      <c r="S576" t="s">
        <v>2043</v>
      </c>
      <c r="T576" t="s">
        <v>2044</v>
      </c>
    </row>
    <row r="577" spans="1:20" x14ac:dyDescent="0.25">
      <c r="A577" t="s">
        <v>2045</v>
      </c>
      <c r="B577" t="str">
        <f>"4323"</f>
        <v>4323</v>
      </c>
      <c r="C577" t="str">
        <f>"300444323"</f>
        <v>300444323</v>
      </c>
      <c r="D577" t="s">
        <v>2046</v>
      </c>
      <c r="E577" t="s">
        <v>335</v>
      </c>
      <c r="F577" t="s">
        <v>2047</v>
      </c>
      <c r="G577" s="1">
        <v>17299</v>
      </c>
      <c r="H577" s="1">
        <v>41561</v>
      </c>
      <c r="I577" t="str">
        <f>"33"</f>
        <v>33</v>
      </c>
      <c r="J577" t="s">
        <v>45</v>
      </c>
      <c r="K577" t="s">
        <v>25</v>
      </c>
      <c r="L577" t="s">
        <v>26</v>
      </c>
      <c r="M577" t="s">
        <v>27</v>
      </c>
      <c r="N577" s="1">
        <v>18629</v>
      </c>
      <c r="O577">
        <v>0</v>
      </c>
      <c r="P577">
        <v>0</v>
      </c>
      <c r="Q577" t="s">
        <v>28</v>
      </c>
      <c r="R577" t="s">
        <v>100</v>
      </c>
      <c r="S577" t="s">
        <v>757</v>
      </c>
      <c r="T577" t="s">
        <v>758</v>
      </c>
    </row>
    <row r="578" spans="1:20" x14ac:dyDescent="0.25">
      <c r="A578" t="s">
        <v>2048</v>
      </c>
      <c r="B578" t="str">
        <f>"9248"</f>
        <v>9248</v>
      </c>
      <c r="C578" t="str">
        <f>"297629248"</f>
        <v>297629248</v>
      </c>
      <c r="D578" t="s">
        <v>1156</v>
      </c>
      <c r="E578" t="s">
        <v>2049</v>
      </c>
      <c r="F578" t="s">
        <v>414</v>
      </c>
      <c r="G578" s="1">
        <v>25122</v>
      </c>
      <c r="H578" s="1">
        <v>41561</v>
      </c>
      <c r="I578" t="str">
        <f>"52"</f>
        <v>52</v>
      </c>
      <c r="J578" t="s">
        <v>330</v>
      </c>
      <c r="K578" t="s">
        <v>25</v>
      </c>
      <c r="L578" t="s">
        <v>26</v>
      </c>
      <c r="M578" t="s">
        <v>27</v>
      </c>
      <c r="N578" s="1">
        <v>18629</v>
      </c>
      <c r="O578">
        <v>0</v>
      </c>
      <c r="P578">
        <v>0</v>
      </c>
      <c r="Q578" t="s">
        <v>28</v>
      </c>
      <c r="R578" t="s">
        <v>71</v>
      </c>
      <c r="S578" t="s">
        <v>336</v>
      </c>
      <c r="T578" t="s">
        <v>337</v>
      </c>
    </row>
    <row r="579" spans="1:20" x14ac:dyDescent="0.25">
      <c r="A579" t="s">
        <v>2050</v>
      </c>
      <c r="B579" t="str">
        <f>"0015"</f>
        <v>0015</v>
      </c>
      <c r="C579" t="str">
        <f>"277800015"</f>
        <v>277800015</v>
      </c>
      <c r="D579" t="s">
        <v>2051</v>
      </c>
      <c r="E579" t="s">
        <v>1415</v>
      </c>
      <c r="G579" s="1">
        <v>25311</v>
      </c>
      <c r="H579" s="1">
        <v>41561</v>
      </c>
      <c r="I579" t="str">
        <f>"33"</f>
        <v>33</v>
      </c>
      <c r="J579" t="s">
        <v>45</v>
      </c>
      <c r="K579" t="s">
        <v>25</v>
      </c>
      <c r="L579" t="s">
        <v>26</v>
      </c>
      <c r="M579" t="s">
        <v>27</v>
      </c>
      <c r="N579" s="1">
        <v>18629</v>
      </c>
      <c r="O579">
        <v>0</v>
      </c>
      <c r="P579">
        <v>0</v>
      </c>
      <c r="Q579" t="s">
        <v>37</v>
      </c>
      <c r="R579" t="s">
        <v>100</v>
      </c>
      <c r="S579" t="s">
        <v>757</v>
      </c>
      <c r="T579" t="s">
        <v>758</v>
      </c>
    </row>
    <row r="580" spans="1:20" x14ac:dyDescent="0.25">
      <c r="A580" t="s">
        <v>2052</v>
      </c>
      <c r="B580" t="str">
        <f>"9126"</f>
        <v>9126</v>
      </c>
      <c r="C580" t="str">
        <f>"298809126"</f>
        <v>298809126</v>
      </c>
      <c r="D580" t="s">
        <v>2053</v>
      </c>
      <c r="E580" t="s">
        <v>289</v>
      </c>
      <c r="F580" t="s">
        <v>813</v>
      </c>
      <c r="G580" s="1">
        <v>24908</v>
      </c>
      <c r="H580" s="1">
        <v>41561</v>
      </c>
      <c r="I580" t="str">
        <f>"03"</f>
        <v>03</v>
      </c>
      <c r="J580" t="s">
        <v>70</v>
      </c>
      <c r="K580" t="s">
        <v>98</v>
      </c>
      <c r="L580" t="s">
        <v>37</v>
      </c>
      <c r="M580" t="s">
        <v>257</v>
      </c>
      <c r="N580" s="1">
        <v>41617</v>
      </c>
      <c r="O580">
        <v>10753.08</v>
      </c>
      <c r="P580">
        <v>2688.4</v>
      </c>
      <c r="Q580" t="s">
        <v>37</v>
      </c>
      <c r="R580" t="s">
        <v>312</v>
      </c>
      <c r="S580" t="s">
        <v>2054</v>
      </c>
      <c r="T580" t="s">
        <v>2055</v>
      </c>
    </row>
    <row r="581" spans="1:20" x14ac:dyDescent="0.25">
      <c r="A581" t="s">
        <v>2056</v>
      </c>
      <c r="B581" t="str">
        <f>"2104"</f>
        <v>2104</v>
      </c>
      <c r="C581" t="str">
        <f>"297762104"</f>
        <v>297762104</v>
      </c>
      <c r="D581" t="s">
        <v>2057</v>
      </c>
      <c r="E581" t="s">
        <v>1088</v>
      </c>
      <c r="F581" t="s">
        <v>44</v>
      </c>
      <c r="G581" s="1">
        <v>28216</v>
      </c>
      <c r="H581" s="1">
        <v>41561</v>
      </c>
      <c r="I581" t="str">
        <f>"05"</f>
        <v>05</v>
      </c>
      <c r="J581" t="s">
        <v>58</v>
      </c>
      <c r="K581" t="s">
        <v>175</v>
      </c>
      <c r="L581" t="s">
        <v>37</v>
      </c>
      <c r="M581" t="s">
        <v>117</v>
      </c>
      <c r="N581" s="1">
        <v>41617</v>
      </c>
      <c r="O581">
        <v>5288.66</v>
      </c>
      <c r="P581">
        <v>1322.1</v>
      </c>
      <c r="Q581" t="s">
        <v>37</v>
      </c>
      <c r="R581" t="s">
        <v>29</v>
      </c>
      <c r="S581" t="s">
        <v>259</v>
      </c>
      <c r="T581" t="s">
        <v>260</v>
      </c>
    </row>
    <row r="582" spans="1:20" x14ac:dyDescent="0.25">
      <c r="A582" t="s">
        <v>2058</v>
      </c>
      <c r="B582" t="str">
        <f>"8532"</f>
        <v>8532</v>
      </c>
      <c r="C582" t="str">
        <f>"274728532"</f>
        <v>274728532</v>
      </c>
      <c r="D582" t="s">
        <v>2059</v>
      </c>
      <c r="E582" t="s">
        <v>2060</v>
      </c>
      <c r="F582" t="s">
        <v>197</v>
      </c>
      <c r="G582" s="1">
        <v>27078</v>
      </c>
      <c r="H582" s="1">
        <v>41561</v>
      </c>
      <c r="I582" t="str">
        <f>"52"</f>
        <v>52</v>
      </c>
      <c r="J582" t="s">
        <v>330</v>
      </c>
      <c r="K582" t="s">
        <v>25</v>
      </c>
      <c r="L582" t="s">
        <v>26</v>
      </c>
      <c r="M582" t="s">
        <v>27</v>
      </c>
      <c r="N582" s="1">
        <v>18629</v>
      </c>
      <c r="O582">
        <v>0</v>
      </c>
      <c r="P582">
        <v>0</v>
      </c>
      <c r="Q582" t="s">
        <v>28</v>
      </c>
      <c r="R582" t="s">
        <v>71</v>
      </c>
      <c r="S582" t="s">
        <v>336</v>
      </c>
      <c r="T582" t="s">
        <v>337</v>
      </c>
    </row>
    <row r="583" spans="1:20" x14ac:dyDescent="0.25">
      <c r="A583" t="s">
        <v>2061</v>
      </c>
      <c r="B583" t="str">
        <f>"3437"</f>
        <v>3437</v>
      </c>
      <c r="C583" t="str">
        <f>"281663437"</f>
        <v>281663437</v>
      </c>
      <c r="D583" t="s">
        <v>2062</v>
      </c>
      <c r="E583" t="s">
        <v>1071</v>
      </c>
      <c r="F583" t="s">
        <v>414</v>
      </c>
      <c r="G583" s="1">
        <v>21140</v>
      </c>
      <c r="H583" s="1">
        <v>41561</v>
      </c>
      <c r="I583" t="str">
        <f>"42"</f>
        <v>42</v>
      </c>
      <c r="J583" t="s">
        <v>367</v>
      </c>
      <c r="K583" t="s">
        <v>25</v>
      </c>
      <c r="L583" t="s">
        <v>26</v>
      </c>
      <c r="M583" t="s">
        <v>27</v>
      </c>
      <c r="N583" s="1">
        <v>18629</v>
      </c>
      <c r="O583">
        <v>0</v>
      </c>
      <c r="P583">
        <v>0</v>
      </c>
      <c r="Q583" t="s">
        <v>37</v>
      </c>
      <c r="R583" t="s">
        <v>29</v>
      </c>
      <c r="S583" t="s">
        <v>885</v>
      </c>
      <c r="T583" t="s">
        <v>886</v>
      </c>
    </row>
    <row r="584" spans="1:20" x14ac:dyDescent="0.25">
      <c r="A584" t="s">
        <v>2063</v>
      </c>
      <c r="B584" t="str">
        <f>"0528"</f>
        <v>0528</v>
      </c>
      <c r="C584" t="str">
        <f>"294500528"</f>
        <v>294500528</v>
      </c>
      <c r="D584" t="s">
        <v>2064</v>
      </c>
      <c r="E584" t="s">
        <v>2065</v>
      </c>
      <c r="F584" t="s">
        <v>44</v>
      </c>
      <c r="G584" s="1">
        <v>18074</v>
      </c>
      <c r="H584" s="1">
        <v>41561</v>
      </c>
      <c r="I584" t="str">
        <f>"41"</f>
        <v>41</v>
      </c>
      <c r="J584" t="s">
        <v>24</v>
      </c>
      <c r="K584" t="s">
        <v>25</v>
      </c>
      <c r="L584" t="s">
        <v>26</v>
      </c>
      <c r="M584" t="s">
        <v>27</v>
      </c>
      <c r="N584" s="1">
        <v>18629</v>
      </c>
      <c r="O584">
        <v>0</v>
      </c>
      <c r="P584">
        <v>0</v>
      </c>
      <c r="Q584" t="s">
        <v>37</v>
      </c>
      <c r="R584" t="s">
        <v>29</v>
      </c>
      <c r="S584" t="s">
        <v>2066</v>
      </c>
      <c r="T584" t="s">
        <v>2067</v>
      </c>
    </row>
    <row r="585" spans="1:20" x14ac:dyDescent="0.25">
      <c r="A585" t="s">
        <v>2068</v>
      </c>
      <c r="B585" t="str">
        <f>"1590"</f>
        <v>1590</v>
      </c>
      <c r="C585" t="str">
        <f>"278781590"</f>
        <v>278781590</v>
      </c>
      <c r="D585" t="s">
        <v>2069</v>
      </c>
      <c r="E585" t="s">
        <v>2070</v>
      </c>
      <c r="F585" t="s">
        <v>93</v>
      </c>
      <c r="G585" s="1">
        <v>29208</v>
      </c>
      <c r="H585" s="1">
        <v>41561</v>
      </c>
      <c r="I585" t="str">
        <f>"41"</f>
        <v>41</v>
      </c>
      <c r="J585" t="s">
        <v>24</v>
      </c>
      <c r="K585" t="s">
        <v>25</v>
      </c>
      <c r="L585" t="s">
        <v>26</v>
      </c>
      <c r="M585" t="s">
        <v>27</v>
      </c>
      <c r="N585" s="1">
        <v>18629</v>
      </c>
      <c r="O585">
        <v>0</v>
      </c>
      <c r="P585">
        <v>0</v>
      </c>
      <c r="Q585" t="s">
        <v>37</v>
      </c>
      <c r="R585" t="s">
        <v>110</v>
      </c>
      <c r="S585" t="s">
        <v>2071</v>
      </c>
      <c r="T585" t="s">
        <v>2072</v>
      </c>
    </row>
    <row r="586" spans="1:20" x14ac:dyDescent="0.25">
      <c r="A586" t="s">
        <v>2073</v>
      </c>
      <c r="B586" t="str">
        <f>"2306"</f>
        <v>2306</v>
      </c>
      <c r="C586" t="str">
        <f>"292822306"</f>
        <v>292822306</v>
      </c>
      <c r="D586" t="s">
        <v>609</v>
      </c>
      <c r="E586" t="s">
        <v>2074</v>
      </c>
      <c r="F586" t="s">
        <v>2075</v>
      </c>
      <c r="G586" s="1">
        <v>25969</v>
      </c>
      <c r="H586" s="1">
        <v>41554</v>
      </c>
      <c r="I586" t="str">
        <f>"51"</f>
        <v>51</v>
      </c>
      <c r="J586" t="s">
        <v>471</v>
      </c>
      <c r="K586" t="s">
        <v>25</v>
      </c>
      <c r="L586" t="s">
        <v>26</v>
      </c>
      <c r="M586" t="s">
        <v>27</v>
      </c>
      <c r="N586" s="1">
        <v>18629</v>
      </c>
      <c r="O586">
        <v>0</v>
      </c>
      <c r="P586">
        <v>0</v>
      </c>
      <c r="Q586" t="s">
        <v>37</v>
      </c>
      <c r="R586" t="s">
        <v>29</v>
      </c>
      <c r="S586" t="s">
        <v>2066</v>
      </c>
      <c r="T586" t="s">
        <v>2067</v>
      </c>
    </row>
    <row r="587" spans="1:20" x14ac:dyDescent="0.25">
      <c r="A587" t="s">
        <v>2076</v>
      </c>
      <c r="B587" t="str">
        <f>"7289"</f>
        <v>7289</v>
      </c>
      <c r="C587" t="str">
        <f>"273447289"</f>
        <v>273447289</v>
      </c>
      <c r="D587" t="s">
        <v>2077</v>
      </c>
      <c r="E587" t="s">
        <v>1074</v>
      </c>
      <c r="F587" t="s">
        <v>256</v>
      </c>
      <c r="G587" s="1">
        <v>20593</v>
      </c>
      <c r="H587" s="1">
        <v>41554</v>
      </c>
      <c r="I587" t="str">
        <f>"41"</f>
        <v>41</v>
      </c>
      <c r="J587" t="s">
        <v>24</v>
      </c>
      <c r="K587" t="s">
        <v>25</v>
      </c>
      <c r="L587" t="s">
        <v>26</v>
      </c>
      <c r="M587" t="s">
        <v>27</v>
      </c>
      <c r="N587" s="1">
        <v>18629</v>
      </c>
      <c r="O587">
        <v>0</v>
      </c>
      <c r="P587">
        <v>0</v>
      </c>
      <c r="Q587" t="s">
        <v>37</v>
      </c>
      <c r="R587" t="s">
        <v>29</v>
      </c>
      <c r="S587" t="s">
        <v>527</v>
      </c>
      <c r="T587" t="s">
        <v>528</v>
      </c>
    </row>
    <row r="588" spans="1:20" x14ac:dyDescent="0.25">
      <c r="A588" t="s">
        <v>2078</v>
      </c>
      <c r="B588" t="str">
        <f>"3743"</f>
        <v>3743</v>
      </c>
      <c r="C588" t="str">
        <f>"295463743"</f>
        <v>295463743</v>
      </c>
      <c r="D588" t="s">
        <v>2079</v>
      </c>
      <c r="E588" t="s">
        <v>609</v>
      </c>
      <c r="F588" t="s">
        <v>2080</v>
      </c>
      <c r="G588" s="1">
        <v>18805</v>
      </c>
      <c r="H588" s="1">
        <v>41554</v>
      </c>
      <c r="I588" t="str">
        <f>"51"</f>
        <v>51</v>
      </c>
      <c r="J588" t="s">
        <v>471</v>
      </c>
      <c r="K588" t="s">
        <v>25</v>
      </c>
      <c r="L588" t="s">
        <v>26</v>
      </c>
      <c r="M588" t="s">
        <v>27</v>
      </c>
      <c r="N588" s="1">
        <v>18629</v>
      </c>
      <c r="O588">
        <v>0</v>
      </c>
      <c r="P588">
        <v>0</v>
      </c>
      <c r="Q588" t="s">
        <v>28</v>
      </c>
      <c r="R588" t="s">
        <v>29</v>
      </c>
      <c r="S588" t="s">
        <v>615</v>
      </c>
      <c r="T588" t="s">
        <v>616</v>
      </c>
    </row>
    <row r="589" spans="1:20" x14ac:dyDescent="0.25">
      <c r="A589" t="s">
        <v>2081</v>
      </c>
      <c r="B589" t="str">
        <f>"1463"</f>
        <v>1463</v>
      </c>
      <c r="C589" t="str">
        <f>"301901463"</f>
        <v>301901463</v>
      </c>
      <c r="D589" t="s">
        <v>2082</v>
      </c>
      <c r="E589" t="s">
        <v>2083</v>
      </c>
      <c r="F589" t="s">
        <v>190</v>
      </c>
      <c r="G589" s="1">
        <v>30791</v>
      </c>
      <c r="H589" s="1">
        <v>41554</v>
      </c>
      <c r="I589" t="str">
        <f>"30"</f>
        <v>30</v>
      </c>
      <c r="J589" t="s">
        <v>50</v>
      </c>
      <c r="K589" t="s">
        <v>25</v>
      </c>
      <c r="L589" t="s">
        <v>26</v>
      </c>
      <c r="M589" t="s">
        <v>27</v>
      </c>
      <c r="N589" s="1">
        <v>18629</v>
      </c>
      <c r="O589">
        <v>0</v>
      </c>
      <c r="P589">
        <v>0</v>
      </c>
      <c r="Q589" t="s">
        <v>37</v>
      </c>
      <c r="R589" t="s">
        <v>51</v>
      </c>
      <c r="S589" t="s">
        <v>2084</v>
      </c>
      <c r="T589" t="s">
        <v>2085</v>
      </c>
    </row>
    <row r="590" spans="1:20" x14ac:dyDescent="0.25">
      <c r="A590" t="s">
        <v>2086</v>
      </c>
      <c r="B590" t="str">
        <f>"3562"</f>
        <v>3562</v>
      </c>
      <c r="C590" t="str">
        <f>"168543562"</f>
        <v>168543562</v>
      </c>
      <c r="D590" t="s">
        <v>2087</v>
      </c>
      <c r="E590" t="s">
        <v>2060</v>
      </c>
      <c r="F590" t="s">
        <v>264</v>
      </c>
      <c r="G590" s="1">
        <v>27273</v>
      </c>
      <c r="H590" s="1">
        <v>41554</v>
      </c>
      <c r="I590" t="str">
        <f>"41"</f>
        <v>41</v>
      </c>
      <c r="J590" t="s">
        <v>24</v>
      </c>
      <c r="K590" t="s">
        <v>25</v>
      </c>
      <c r="L590" t="s">
        <v>26</v>
      </c>
      <c r="M590" t="s">
        <v>27</v>
      </c>
      <c r="N590" s="1">
        <v>18629</v>
      </c>
      <c r="O590">
        <v>0</v>
      </c>
      <c r="P590">
        <v>0</v>
      </c>
      <c r="Q590" t="s">
        <v>28</v>
      </c>
      <c r="R590" t="s">
        <v>71</v>
      </c>
      <c r="S590" t="s">
        <v>402</v>
      </c>
      <c r="T590" t="s">
        <v>403</v>
      </c>
    </row>
    <row r="591" spans="1:20" x14ac:dyDescent="0.25">
      <c r="A591" t="s">
        <v>2088</v>
      </c>
      <c r="B591" t="str">
        <f>"3718"</f>
        <v>3718</v>
      </c>
      <c r="C591" t="str">
        <f>"295403718"</f>
        <v>295403718</v>
      </c>
      <c r="D591" t="s">
        <v>2089</v>
      </c>
      <c r="E591" t="s">
        <v>82</v>
      </c>
      <c r="F591" t="s">
        <v>97</v>
      </c>
      <c r="G591" s="1">
        <v>18566</v>
      </c>
      <c r="H591" s="1">
        <v>41548</v>
      </c>
      <c r="I591" t="str">
        <f>"41"</f>
        <v>41</v>
      </c>
      <c r="J591" t="s">
        <v>24</v>
      </c>
      <c r="K591" t="s">
        <v>25</v>
      </c>
      <c r="L591" t="s">
        <v>26</v>
      </c>
      <c r="M591" t="s">
        <v>27</v>
      </c>
      <c r="N591" s="1">
        <v>18629</v>
      </c>
      <c r="O591">
        <v>0</v>
      </c>
      <c r="P591">
        <v>0</v>
      </c>
      <c r="Q591" t="s">
        <v>37</v>
      </c>
      <c r="R591" t="s">
        <v>110</v>
      </c>
      <c r="S591" t="s">
        <v>2090</v>
      </c>
      <c r="T591" t="s">
        <v>2091</v>
      </c>
    </row>
    <row r="592" spans="1:20" x14ac:dyDescent="0.25">
      <c r="A592" t="s">
        <v>2092</v>
      </c>
      <c r="B592" t="str">
        <f>"0934"</f>
        <v>0934</v>
      </c>
      <c r="C592" t="str">
        <f>"277800934"</f>
        <v>277800934</v>
      </c>
      <c r="D592" t="s">
        <v>2093</v>
      </c>
      <c r="E592" t="s">
        <v>2094</v>
      </c>
      <c r="F592" t="s">
        <v>2095</v>
      </c>
      <c r="G592" s="1">
        <v>29393</v>
      </c>
      <c r="H592" s="1">
        <v>41547</v>
      </c>
      <c r="I592" t="str">
        <f>"15"</f>
        <v>15</v>
      </c>
      <c r="J592" t="s">
        <v>36</v>
      </c>
      <c r="L592" t="s">
        <v>37</v>
      </c>
      <c r="M592" t="s">
        <v>143</v>
      </c>
      <c r="N592" s="1">
        <v>41617</v>
      </c>
      <c r="O592">
        <v>185.9</v>
      </c>
      <c r="P592">
        <v>-185.9</v>
      </c>
      <c r="Q592" t="s">
        <v>37</v>
      </c>
      <c r="R592" t="s">
        <v>258</v>
      </c>
      <c r="S592" t="s">
        <v>678</v>
      </c>
      <c r="T592" t="s">
        <v>679</v>
      </c>
    </row>
    <row r="593" spans="1:20" x14ac:dyDescent="0.25">
      <c r="A593" t="s">
        <v>2096</v>
      </c>
      <c r="B593" t="str">
        <f>"6650"</f>
        <v>6650</v>
      </c>
      <c r="C593" t="str">
        <f>"277886650"</f>
        <v>277886650</v>
      </c>
      <c r="D593" t="s">
        <v>2097</v>
      </c>
      <c r="E593" t="s">
        <v>304</v>
      </c>
      <c r="F593" t="s">
        <v>93</v>
      </c>
      <c r="G593" s="1">
        <v>31890</v>
      </c>
      <c r="H593" s="1">
        <v>41547</v>
      </c>
      <c r="I593" t="str">
        <f>"03"</f>
        <v>03</v>
      </c>
      <c r="J593" t="s">
        <v>70</v>
      </c>
      <c r="K593" t="s">
        <v>175</v>
      </c>
      <c r="L593" t="s">
        <v>37</v>
      </c>
      <c r="M593" t="s">
        <v>117</v>
      </c>
      <c r="N593" s="1">
        <v>41617</v>
      </c>
      <c r="O593">
        <v>5288.66</v>
      </c>
      <c r="P593">
        <v>1322.1</v>
      </c>
      <c r="Q593" t="s">
        <v>28</v>
      </c>
      <c r="R593" t="s">
        <v>29</v>
      </c>
      <c r="S593" t="s">
        <v>419</v>
      </c>
      <c r="T593" t="s">
        <v>420</v>
      </c>
    </row>
    <row r="594" spans="1:20" x14ac:dyDescent="0.25">
      <c r="A594" t="s">
        <v>2098</v>
      </c>
      <c r="B594" t="str">
        <f>"1550"</f>
        <v>1550</v>
      </c>
      <c r="C594" t="str">
        <f>"279061550"</f>
        <v>279061550</v>
      </c>
      <c r="D594" t="s">
        <v>2099</v>
      </c>
      <c r="E594" t="s">
        <v>2100</v>
      </c>
      <c r="G594" s="1">
        <v>27915</v>
      </c>
      <c r="H594" s="1">
        <v>41547</v>
      </c>
      <c r="I594" t="str">
        <f>"41"</f>
        <v>41</v>
      </c>
      <c r="J594" t="s">
        <v>24</v>
      </c>
      <c r="K594" t="s">
        <v>25</v>
      </c>
      <c r="L594" t="s">
        <v>26</v>
      </c>
      <c r="M594" t="s">
        <v>27</v>
      </c>
      <c r="N594" s="1">
        <v>18629</v>
      </c>
      <c r="O594">
        <v>0</v>
      </c>
      <c r="P594">
        <v>0</v>
      </c>
      <c r="Q594" t="s">
        <v>37</v>
      </c>
      <c r="R594" t="s">
        <v>29</v>
      </c>
      <c r="S594" t="s">
        <v>691</v>
      </c>
      <c r="T594" t="s">
        <v>692</v>
      </c>
    </row>
    <row r="595" spans="1:20" x14ac:dyDescent="0.25">
      <c r="A595" t="s">
        <v>2101</v>
      </c>
      <c r="B595" t="str">
        <f>"9528"</f>
        <v>9528</v>
      </c>
      <c r="C595" t="str">
        <f>"291629528"</f>
        <v>291629528</v>
      </c>
      <c r="D595" t="s">
        <v>2102</v>
      </c>
      <c r="E595" t="s">
        <v>1353</v>
      </c>
      <c r="F595" t="s">
        <v>414</v>
      </c>
      <c r="G595" s="1">
        <v>26723</v>
      </c>
      <c r="H595" s="1">
        <v>41547</v>
      </c>
      <c r="I595" t="str">
        <f>"52"</f>
        <v>52</v>
      </c>
      <c r="J595" t="s">
        <v>330</v>
      </c>
      <c r="K595" t="s">
        <v>25</v>
      </c>
      <c r="L595" t="s">
        <v>26</v>
      </c>
      <c r="M595" t="s">
        <v>27</v>
      </c>
      <c r="N595" s="1">
        <v>18629</v>
      </c>
      <c r="O595">
        <v>0</v>
      </c>
      <c r="P595">
        <v>0</v>
      </c>
      <c r="Q595" t="s">
        <v>37</v>
      </c>
      <c r="R595" t="s">
        <v>29</v>
      </c>
      <c r="S595" t="s">
        <v>678</v>
      </c>
      <c r="T595" t="s">
        <v>679</v>
      </c>
    </row>
    <row r="596" spans="1:20" x14ac:dyDescent="0.25">
      <c r="A596" t="s">
        <v>2103</v>
      </c>
      <c r="B596" t="str">
        <f>"9092"</f>
        <v>9092</v>
      </c>
      <c r="C596" t="str">
        <f>"298529092"</f>
        <v>298529092</v>
      </c>
      <c r="D596" t="s">
        <v>2104</v>
      </c>
      <c r="E596" t="s">
        <v>2105</v>
      </c>
      <c r="F596" t="s">
        <v>35</v>
      </c>
      <c r="G596" s="1">
        <v>19908</v>
      </c>
      <c r="H596" s="1">
        <v>41547</v>
      </c>
      <c r="I596" t="str">
        <f>"41"</f>
        <v>41</v>
      </c>
      <c r="J596" t="s">
        <v>24</v>
      </c>
      <c r="K596" t="s">
        <v>25</v>
      </c>
      <c r="L596" t="s">
        <v>26</v>
      </c>
      <c r="M596" t="s">
        <v>27</v>
      </c>
      <c r="N596" s="1">
        <v>18629</v>
      </c>
      <c r="O596">
        <v>0</v>
      </c>
      <c r="P596">
        <v>0</v>
      </c>
      <c r="Q596" t="s">
        <v>28</v>
      </c>
      <c r="R596" t="s">
        <v>29</v>
      </c>
      <c r="S596" t="s">
        <v>527</v>
      </c>
      <c r="T596" t="s">
        <v>528</v>
      </c>
    </row>
    <row r="597" spans="1:20" x14ac:dyDescent="0.25">
      <c r="A597" t="s">
        <v>2106</v>
      </c>
      <c r="B597" t="str">
        <f>"1786"</f>
        <v>1786</v>
      </c>
      <c r="C597" t="str">
        <f>"273821786"</f>
        <v>273821786</v>
      </c>
      <c r="D597" t="s">
        <v>2107</v>
      </c>
      <c r="E597" t="s">
        <v>959</v>
      </c>
      <c r="F597" t="s">
        <v>466</v>
      </c>
      <c r="G597" s="1">
        <v>29835</v>
      </c>
      <c r="H597" s="1">
        <v>41540</v>
      </c>
      <c r="I597" t="str">
        <f>"30"</f>
        <v>30</v>
      </c>
      <c r="J597" t="s">
        <v>50</v>
      </c>
      <c r="K597" t="s">
        <v>25</v>
      </c>
      <c r="L597" t="s">
        <v>26</v>
      </c>
      <c r="M597" t="s">
        <v>27</v>
      </c>
      <c r="N597" s="1">
        <v>18629</v>
      </c>
      <c r="O597">
        <v>0</v>
      </c>
      <c r="P597">
        <v>0</v>
      </c>
      <c r="Q597" t="s">
        <v>28</v>
      </c>
      <c r="R597" t="s">
        <v>100</v>
      </c>
      <c r="S597" t="s">
        <v>655</v>
      </c>
      <c r="T597" t="s">
        <v>656</v>
      </c>
    </row>
    <row r="598" spans="1:20" x14ac:dyDescent="0.25">
      <c r="A598" t="s">
        <v>2108</v>
      </c>
      <c r="B598" t="str">
        <f>"1158"</f>
        <v>1158</v>
      </c>
      <c r="C598" t="str">
        <f>"282621158"</f>
        <v>282621158</v>
      </c>
      <c r="D598" t="s">
        <v>2109</v>
      </c>
      <c r="E598" t="s">
        <v>2110</v>
      </c>
      <c r="F598" t="s">
        <v>275</v>
      </c>
      <c r="G598" s="1">
        <v>21073</v>
      </c>
      <c r="H598" s="1">
        <v>41540</v>
      </c>
      <c r="I598" t="str">
        <f>"33"</f>
        <v>33</v>
      </c>
      <c r="J598" t="s">
        <v>45</v>
      </c>
      <c r="K598" t="s">
        <v>25</v>
      </c>
      <c r="L598" t="s">
        <v>26</v>
      </c>
      <c r="M598" t="s">
        <v>27</v>
      </c>
      <c r="N598" s="1">
        <v>18629</v>
      </c>
      <c r="O598">
        <v>0</v>
      </c>
      <c r="P598">
        <v>0</v>
      </c>
      <c r="Q598" t="s">
        <v>37</v>
      </c>
      <c r="R598" t="s">
        <v>100</v>
      </c>
      <c r="S598" t="s">
        <v>757</v>
      </c>
      <c r="T598" t="s">
        <v>758</v>
      </c>
    </row>
    <row r="599" spans="1:20" x14ac:dyDescent="0.25">
      <c r="A599" t="s">
        <v>2111</v>
      </c>
      <c r="B599" t="str">
        <f>"8462"</f>
        <v>8462</v>
      </c>
      <c r="C599" t="str">
        <f>"273388462"</f>
        <v>273388462</v>
      </c>
      <c r="D599" t="s">
        <v>2112</v>
      </c>
      <c r="E599" t="s">
        <v>127</v>
      </c>
      <c r="F599" t="s">
        <v>165</v>
      </c>
      <c r="G599" s="1">
        <v>15851</v>
      </c>
      <c r="H599" s="1">
        <v>41537</v>
      </c>
      <c r="I599" t="str">
        <f>"52"</f>
        <v>52</v>
      </c>
      <c r="J599" t="s">
        <v>330</v>
      </c>
      <c r="K599" t="s">
        <v>25</v>
      </c>
      <c r="L599" t="s">
        <v>26</v>
      </c>
      <c r="M599" t="s">
        <v>27</v>
      </c>
      <c r="N599" s="1">
        <v>18629</v>
      </c>
      <c r="O599">
        <v>0</v>
      </c>
      <c r="P599">
        <v>0</v>
      </c>
      <c r="Q599" t="s">
        <v>28</v>
      </c>
      <c r="R599" t="s">
        <v>51</v>
      </c>
      <c r="S599" s="2" t="s">
        <v>362</v>
      </c>
      <c r="T599" t="s">
        <v>363</v>
      </c>
    </row>
    <row r="600" spans="1:20" x14ac:dyDescent="0.25">
      <c r="A600" t="s">
        <v>2113</v>
      </c>
      <c r="B600" t="str">
        <f>"9697"</f>
        <v>9697</v>
      </c>
      <c r="C600" t="str">
        <f>"302729697"</f>
        <v>302729697</v>
      </c>
      <c r="D600" t="s">
        <v>2114</v>
      </c>
      <c r="E600" t="s">
        <v>2115</v>
      </c>
      <c r="F600" t="s">
        <v>256</v>
      </c>
      <c r="G600" s="1">
        <v>22514</v>
      </c>
      <c r="H600" s="1">
        <v>41537</v>
      </c>
      <c r="I600" t="str">
        <f>"52"</f>
        <v>52</v>
      </c>
      <c r="J600" t="s">
        <v>330</v>
      </c>
      <c r="K600" t="s">
        <v>25</v>
      </c>
      <c r="L600" t="s">
        <v>26</v>
      </c>
      <c r="M600" t="s">
        <v>27</v>
      </c>
      <c r="N600" s="1">
        <v>18629</v>
      </c>
      <c r="O600">
        <v>0</v>
      </c>
      <c r="P600">
        <v>0</v>
      </c>
      <c r="Q600" t="s">
        <v>37</v>
      </c>
      <c r="R600" t="s">
        <v>71</v>
      </c>
      <c r="S600" s="2" t="s">
        <v>362</v>
      </c>
      <c r="T600" t="s">
        <v>363</v>
      </c>
    </row>
    <row r="601" spans="1:20" x14ac:dyDescent="0.25">
      <c r="A601" t="s">
        <v>2116</v>
      </c>
      <c r="B601" t="str">
        <f>"1475"</f>
        <v>1475</v>
      </c>
      <c r="C601" t="str">
        <f>"298541475"</f>
        <v>298541475</v>
      </c>
      <c r="D601" t="s">
        <v>2117</v>
      </c>
      <c r="E601" t="s">
        <v>48</v>
      </c>
      <c r="F601" t="s">
        <v>239</v>
      </c>
      <c r="G601" s="1">
        <v>23851</v>
      </c>
      <c r="H601" s="1">
        <v>41537</v>
      </c>
      <c r="I601" t="str">
        <f>"52"</f>
        <v>52</v>
      </c>
      <c r="J601" t="s">
        <v>330</v>
      </c>
      <c r="K601" t="s">
        <v>25</v>
      </c>
      <c r="L601" t="s">
        <v>26</v>
      </c>
      <c r="M601" t="s">
        <v>27</v>
      </c>
      <c r="N601" s="1">
        <v>18629</v>
      </c>
      <c r="O601">
        <v>0</v>
      </c>
      <c r="P601">
        <v>0</v>
      </c>
      <c r="Q601" t="s">
        <v>37</v>
      </c>
      <c r="R601" t="s">
        <v>51</v>
      </c>
      <c r="S601" s="2" t="s">
        <v>362</v>
      </c>
      <c r="T601" t="s">
        <v>363</v>
      </c>
    </row>
    <row r="602" spans="1:20" x14ac:dyDescent="0.25">
      <c r="A602" t="s">
        <v>2118</v>
      </c>
      <c r="B602" t="str">
        <f>"8993"</f>
        <v>8993</v>
      </c>
      <c r="C602" t="str">
        <f>"143688993"</f>
        <v>143688993</v>
      </c>
      <c r="D602" t="s">
        <v>2119</v>
      </c>
      <c r="E602" t="s">
        <v>1453</v>
      </c>
      <c r="F602" t="s">
        <v>28</v>
      </c>
      <c r="G602" s="1">
        <v>24391</v>
      </c>
      <c r="H602" s="1">
        <v>41537</v>
      </c>
      <c r="I602" t="str">
        <f>"51"</f>
        <v>51</v>
      </c>
      <c r="J602" t="s">
        <v>471</v>
      </c>
      <c r="K602" t="s">
        <v>25</v>
      </c>
      <c r="L602" t="s">
        <v>26</v>
      </c>
      <c r="M602" t="s">
        <v>27</v>
      </c>
      <c r="N602" s="1">
        <v>18629</v>
      </c>
      <c r="O602">
        <v>0</v>
      </c>
      <c r="P602">
        <v>0</v>
      </c>
      <c r="Q602" t="s">
        <v>28</v>
      </c>
      <c r="R602" t="s">
        <v>51</v>
      </c>
      <c r="S602" s="2" t="s">
        <v>362</v>
      </c>
      <c r="T602" t="s">
        <v>363</v>
      </c>
    </row>
    <row r="603" spans="1:20" x14ac:dyDescent="0.25">
      <c r="A603" t="s">
        <v>2120</v>
      </c>
      <c r="B603" t="str">
        <f>"4263"</f>
        <v>4263</v>
      </c>
      <c r="C603" t="str">
        <f>"292784263"</f>
        <v>292784263</v>
      </c>
      <c r="D603" t="s">
        <v>2121</v>
      </c>
      <c r="E603" t="s">
        <v>2122</v>
      </c>
      <c r="F603" t="s">
        <v>28</v>
      </c>
      <c r="G603" s="1">
        <v>23854</v>
      </c>
      <c r="H603" s="1">
        <v>41537</v>
      </c>
      <c r="I603" t="str">
        <f>"52"</f>
        <v>52</v>
      </c>
      <c r="J603" t="s">
        <v>330</v>
      </c>
      <c r="K603" t="s">
        <v>25</v>
      </c>
      <c r="L603" t="s">
        <v>26</v>
      </c>
      <c r="M603" t="s">
        <v>27</v>
      </c>
      <c r="N603" s="1">
        <v>18629</v>
      </c>
      <c r="O603">
        <v>0</v>
      </c>
      <c r="P603">
        <v>0</v>
      </c>
      <c r="Q603" t="s">
        <v>37</v>
      </c>
      <c r="R603" t="s">
        <v>51</v>
      </c>
      <c r="S603" s="2" t="s">
        <v>362</v>
      </c>
      <c r="T603" t="s">
        <v>363</v>
      </c>
    </row>
    <row r="604" spans="1:20" x14ac:dyDescent="0.25">
      <c r="A604" t="s">
        <v>2123</v>
      </c>
      <c r="B604" t="str">
        <f>"4583"</f>
        <v>4583</v>
      </c>
      <c r="C604" t="str">
        <f>"292384583"</f>
        <v>292384583</v>
      </c>
      <c r="D604" t="s">
        <v>553</v>
      </c>
      <c r="E604" t="s">
        <v>22</v>
      </c>
      <c r="F604" t="s">
        <v>174</v>
      </c>
      <c r="G604" s="1">
        <v>16016</v>
      </c>
      <c r="H604" s="1">
        <v>41537</v>
      </c>
      <c r="I604" t="str">
        <f>"51"</f>
        <v>51</v>
      </c>
      <c r="J604" t="s">
        <v>471</v>
      </c>
      <c r="K604" t="s">
        <v>25</v>
      </c>
      <c r="L604" t="s">
        <v>26</v>
      </c>
      <c r="M604" t="s">
        <v>27</v>
      </c>
      <c r="N604" s="1">
        <v>18629</v>
      </c>
      <c r="O604">
        <v>0</v>
      </c>
      <c r="P604">
        <v>0</v>
      </c>
      <c r="Q604" t="s">
        <v>28</v>
      </c>
      <c r="R604" t="s">
        <v>51</v>
      </c>
      <c r="S604" s="2" t="s">
        <v>362</v>
      </c>
      <c r="T604" t="s">
        <v>363</v>
      </c>
    </row>
    <row r="605" spans="1:20" x14ac:dyDescent="0.25">
      <c r="A605" t="s">
        <v>2124</v>
      </c>
      <c r="B605" t="str">
        <f>"5088"</f>
        <v>5088</v>
      </c>
      <c r="C605" t="str">
        <f>"276605088"</f>
        <v>276605088</v>
      </c>
      <c r="D605" t="s">
        <v>2125</v>
      </c>
      <c r="E605" t="s">
        <v>2126</v>
      </c>
      <c r="F605" t="s">
        <v>2127</v>
      </c>
      <c r="G605" s="1">
        <v>21151</v>
      </c>
      <c r="H605" s="1">
        <v>41537</v>
      </c>
      <c r="I605" t="str">
        <f>"52"</f>
        <v>52</v>
      </c>
      <c r="J605" t="s">
        <v>330</v>
      </c>
      <c r="K605" t="s">
        <v>25</v>
      </c>
      <c r="L605" t="s">
        <v>26</v>
      </c>
      <c r="M605" t="s">
        <v>27</v>
      </c>
      <c r="N605" s="1">
        <v>18629</v>
      </c>
      <c r="O605">
        <v>0</v>
      </c>
      <c r="P605">
        <v>0</v>
      </c>
      <c r="Q605" t="s">
        <v>37</v>
      </c>
      <c r="R605" t="s">
        <v>51</v>
      </c>
      <c r="S605" s="2" t="s">
        <v>362</v>
      </c>
      <c r="T605" t="s">
        <v>363</v>
      </c>
    </row>
    <row r="606" spans="1:20" x14ac:dyDescent="0.25">
      <c r="A606" t="s">
        <v>2128</v>
      </c>
      <c r="B606" t="str">
        <f>"6838"</f>
        <v>6838</v>
      </c>
      <c r="C606" t="str">
        <f>"166446838"</f>
        <v>166446838</v>
      </c>
      <c r="D606" t="s">
        <v>2129</v>
      </c>
      <c r="E606" t="s">
        <v>33</v>
      </c>
      <c r="F606" t="s">
        <v>219</v>
      </c>
      <c r="G606" s="1">
        <v>19907</v>
      </c>
      <c r="H606" s="1">
        <v>41537</v>
      </c>
      <c r="I606" t="str">
        <f>"33"</f>
        <v>33</v>
      </c>
      <c r="J606" t="s">
        <v>45</v>
      </c>
      <c r="K606" t="s">
        <v>25</v>
      </c>
      <c r="L606" t="s">
        <v>26</v>
      </c>
      <c r="M606" t="s">
        <v>27</v>
      </c>
      <c r="N606" s="1">
        <v>18629</v>
      </c>
      <c r="O606">
        <v>0</v>
      </c>
      <c r="P606">
        <v>0</v>
      </c>
      <c r="Q606" t="s">
        <v>28</v>
      </c>
      <c r="R606" t="s">
        <v>100</v>
      </c>
      <c r="S606" t="s">
        <v>757</v>
      </c>
      <c r="T606" t="s">
        <v>758</v>
      </c>
    </row>
    <row r="607" spans="1:20" x14ac:dyDescent="0.25">
      <c r="A607" t="s">
        <v>2130</v>
      </c>
      <c r="B607" t="str">
        <f>"5526"</f>
        <v>5526</v>
      </c>
      <c r="C607" t="str">
        <f>"279425526"</f>
        <v>279425526</v>
      </c>
      <c r="D607" t="s">
        <v>2131</v>
      </c>
      <c r="E607" t="s">
        <v>381</v>
      </c>
      <c r="F607" t="s">
        <v>2132</v>
      </c>
      <c r="G607" s="1">
        <v>17543</v>
      </c>
      <c r="H607" s="1">
        <v>41537</v>
      </c>
      <c r="I607" t="str">
        <f>"52"</f>
        <v>52</v>
      </c>
      <c r="J607" t="s">
        <v>330</v>
      </c>
      <c r="K607" t="s">
        <v>25</v>
      </c>
      <c r="L607" t="s">
        <v>26</v>
      </c>
      <c r="M607" t="s">
        <v>27</v>
      </c>
      <c r="N607" s="1">
        <v>18629</v>
      </c>
      <c r="O607">
        <v>0</v>
      </c>
      <c r="P607">
        <v>0</v>
      </c>
      <c r="Q607" t="s">
        <v>37</v>
      </c>
      <c r="R607" t="s">
        <v>51</v>
      </c>
      <c r="S607" s="2" t="s">
        <v>362</v>
      </c>
      <c r="T607" t="s">
        <v>363</v>
      </c>
    </row>
    <row r="608" spans="1:20" x14ac:dyDescent="0.25">
      <c r="A608" t="s">
        <v>2133</v>
      </c>
      <c r="B608" t="str">
        <f>"3758"</f>
        <v>3758</v>
      </c>
      <c r="C608" t="str">
        <f>"302383758"</f>
        <v>302383758</v>
      </c>
      <c r="D608" t="s">
        <v>2134</v>
      </c>
      <c r="E608" t="s">
        <v>2135</v>
      </c>
      <c r="F608" t="s">
        <v>2136</v>
      </c>
      <c r="G608" s="1">
        <v>16397</v>
      </c>
      <c r="H608" s="1">
        <v>41537</v>
      </c>
      <c r="I608" t="str">
        <f>"52"</f>
        <v>52</v>
      </c>
      <c r="J608" t="s">
        <v>330</v>
      </c>
      <c r="K608" t="s">
        <v>25</v>
      </c>
      <c r="L608" t="s">
        <v>26</v>
      </c>
      <c r="M608" t="s">
        <v>27</v>
      </c>
      <c r="N608" s="1">
        <v>18629</v>
      </c>
      <c r="O608">
        <v>0</v>
      </c>
      <c r="P608">
        <v>0</v>
      </c>
      <c r="Q608" t="s">
        <v>28</v>
      </c>
      <c r="R608" t="s">
        <v>71</v>
      </c>
      <c r="S608" s="2" t="s">
        <v>362</v>
      </c>
      <c r="T608" t="s">
        <v>363</v>
      </c>
    </row>
    <row r="609" spans="1:20" x14ac:dyDescent="0.25">
      <c r="A609" t="s">
        <v>2137</v>
      </c>
      <c r="B609" t="str">
        <f>"9148"</f>
        <v>9148</v>
      </c>
      <c r="C609" t="str">
        <f>"614819148"</f>
        <v>614819148</v>
      </c>
      <c r="D609" t="s">
        <v>2138</v>
      </c>
      <c r="E609" t="s">
        <v>2139</v>
      </c>
      <c r="G609" s="1">
        <v>30685</v>
      </c>
      <c r="H609" s="1">
        <v>41537</v>
      </c>
      <c r="I609" t="str">
        <f>"33"</f>
        <v>33</v>
      </c>
      <c r="J609" t="s">
        <v>45</v>
      </c>
      <c r="K609" t="s">
        <v>25</v>
      </c>
      <c r="L609" t="s">
        <v>26</v>
      </c>
      <c r="M609" t="s">
        <v>27</v>
      </c>
      <c r="N609" s="1">
        <v>18629</v>
      </c>
      <c r="O609">
        <v>0</v>
      </c>
      <c r="P609">
        <v>0</v>
      </c>
      <c r="Q609" t="s">
        <v>37</v>
      </c>
      <c r="R609" t="s">
        <v>100</v>
      </c>
      <c r="S609" t="s">
        <v>757</v>
      </c>
      <c r="T609" t="s">
        <v>758</v>
      </c>
    </row>
    <row r="610" spans="1:20" x14ac:dyDescent="0.25">
      <c r="A610" t="s">
        <v>2140</v>
      </c>
      <c r="B610" t="str">
        <f>"7595"</f>
        <v>7595</v>
      </c>
      <c r="C610" t="str">
        <f>"291727595"</f>
        <v>291727595</v>
      </c>
      <c r="D610" t="s">
        <v>2141</v>
      </c>
      <c r="E610" t="s">
        <v>2142</v>
      </c>
      <c r="G610" s="1">
        <v>22531</v>
      </c>
      <c r="H610" s="1">
        <v>41537</v>
      </c>
      <c r="I610" t="str">
        <f>"52"</f>
        <v>52</v>
      </c>
      <c r="J610" t="s">
        <v>330</v>
      </c>
      <c r="K610" t="s">
        <v>25</v>
      </c>
      <c r="L610" t="s">
        <v>26</v>
      </c>
      <c r="M610" t="s">
        <v>27</v>
      </c>
      <c r="N610" s="1">
        <v>18629</v>
      </c>
      <c r="O610">
        <v>0</v>
      </c>
      <c r="P610">
        <v>0</v>
      </c>
      <c r="Q610" t="s">
        <v>37</v>
      </c>
      <c r="R610" t="s">
        <v>71</v>
      </c>
      <c r="S610" s="2" t="s">
        <v>362</v>
      </c>
      <c r="T610" t="s">
        <v>363</v>
      </c>
    </row>
    <row r="611" spans="1:20" x14ac:dyDescent="0.25">
      <c r="A611" t="s">
        <v>2143</v>
      </c>
      <c r="B611" t="str">
        <f>"6973"</f>
        <v>6973</v>
      </c>
      <c r="C611" t="str">
        <f>"283486973"</f>
        <v>283486973</v>
      </c>
      <c r="D611" t="s">
        <v>2144</v>
      </c>
      <c r="E611" t="s">
        <v>1799</v>
      </c>
      <c r="F611" t="s">
        <v>1970</v>
      </c>
      <c r="G611" s="1">
        <v>18002</v>
      </c>
      <c r="H611" s="1">
        <v>41537</v>
      </c>
      <c r="I611" t="str">
        <f>"52"</f>
        <v>52</v>
      </c>
      <c r="J611" t="s">
        <v>330</v>
      </c>
      <c r="K611" t="s">
        <v>25</v>
      </c>
      <c r="L611" t="s">
        <v>26</v>
      </c>
      <c r="M611" t="s">
        <v>27</v>
      </c>
      <c r="N611" s="1">
        <v>18629</v>
      </c>
      <c r="O611">
        <v>0</v>
      </c>
      <c r="P611">
        <v>0</v>
      </c>
      <c r="Q611" t="s">
        <v>37</v>
      </c>
      <c r="R611" t="s">
        <v>71</v>
      </c>
      <c r="S611" s="2" t="s">
        <v>362</v>
      </c>
      <c r="T611" t="s">
        <v>363</v>
      </c>
    </row>
    <row r="612" spans="1:20" x14ac:dyDescent="0.25">
      <c r="A612" t="s">
        <v>2145</v>
      </c>
      <c r="B612" t="str">
        <f>"9527"</f>
        <v>9527</v>
      </c>
      <c r="C612" t="str">
        <f>"283749527"</f>
        <v>283749527</v>
      </c>
      <c r="D612" t="s">
        <v>2146</v>
      </c>
      <c r="E612" t="s">
        <v>164</v>
      </c>
      <c r="F612" t="s">
        <v>49</v>
      </c>
      <c r="G612" s="1">
        <v>28000</v>
      </c>
      <c r="H612" s="1">
        <v>41536</v>
      </c>
      <c r="I612" t="str">
        <f>"33"</f>
        <v>33</v>
      </c>
      <c r="J612" t="s">
        <v>45</v>
      </c>
      <c r="K612" t="s">
        <v>25</v>
      </c>
      <c r="L612" t="s">
        <v>26</v>
      </c>
      <c r="M612" t="s">
        <v>27</v>
      </c>
      <c r="N612" s="1">
        <v>18629</v>
      </c>
      <c r="O612">
        <v>0</v>
      </c>
      <c r="P612">
        <v>0</v>
      </c>
      <c r="Q612" t="s">
        <v>37</v>
      </c>
      <c r="R612" t="s">
        <v>100</v>
      </c>
      <c r="S612" t="s">
        <v>757</v>
      </c>
      <c r="T612" t="s">
        <v>758</v>
      </c>
    </row>
    <row r="613" spans="1:20" x14ac:dyDescent="0.25">
      <c r="A613" t="s">
        <v>2147</v>
      </c>
      <c r="B613" t="str">
        <f>"1981"</f>
        <v>1981</v>
      </c>
      <c r="C613" t="str">
        <f>"280861981"</f>
        <v>280861981</v>
      </c>
      <c r="D613" t="s">
        <v>2148</v>
      </c>
      <c r="E613" t="s">
        <v>1546</v>
      </c>
      <c r="F613" t="s">
        <v>28</v>
      </c>
      <c r="G613" s="1">
        <v>30457</v>
      </c>
      <c r="H613" s="1">
        <v>41536</v>
      </c>
      <c r="I613" t="str">
        <f>"51"</f>
        <v>51</v>
      </c>
      <c r="J613" t="s">
        <v>471</v>
      </c>
      <c r="K613" t="s">
        <v>25</v>
      </c>
      <c r="L613" t="s">
        <v>26</v>
      </c>
      <c r="M613" t="s">
        <v>27</v>
      </c>
      <c r="N613" s="1">
        <v>18629</v>
      </c>
      <c r="O613">
        <v>0</v>
      </c>
      <c r="P613">
        <v>0</v>
      </c>
      <c r="Q613" t="s">
        <v>37</v>
      </c>
      <c r="R613" t="s">
        <v>29</v>
      </c>
      <c r="S613" t="s">
        <v>818</v>
      </c>
      <c r="T613" t="s">
        <v>819</v>
      </c>
    </row>
    <row r="614" spans="1:20" x14ac:dyDescent="0.25">
      <c r="A614" t="s">
        <v>2149</v>
      </c>
      <c r="B614" t="str">
        <f>"9237"</f>
        <v>9237</v>
      </c>
      <c r="C614" t="str">
        <f>"270889237"</f>
        <v>270889237</v>
      </c>
      <c r="D614" t="s">
        <v>2136</v>
      </c>
      <c r="E614" t="s">
        <v>2150</v>
      </c>
      <c r="F614" t="s">
        <v>93</v>
      </c>
      <c r="G614" s="1">
        <v>27078</v>
      </c>
      <c r="H614" s="1">
        <v>41535</v>
      </c>
      <c r="I614" t="str">
        <f>"51"</f>
        <v>51</v>
      </c>
      <c r="J614" t="s">
        <v>471</v>
      </c>
      <c r="K614" t="s">
        <v>25</v>
      </c>
      <c r="L614" t="s">
        <v>26</v>
      </c>
      <c r="M614" t="s">
        <v>27</v>
      </c>
      <c r="N614" s="1">
        <v>18629</v>
      </c>
      <c r="O614">
        <v>0</v>
      </c>
      <c r="P614">
        <v>0</v>
      </c>
      <c r="Q614" t="s">
        <v>37</v>
      </c>
      <c r="R614" t="s">
        <v>29</v>
      </c>
      <c r="S614" t="s">
        <v>138</v>
      </c>
      <c r="T614" t="s">
        <v>139</v>
      </c>
    </row>
    <row r="615" spans="1:20" x14ac:dyDescent="0.25">
      <c r="A615" t="s">
        <v>2151</v>
      </c>
      <c r="B615" t="str">
        <f>"1898"</f>
        <v>1898</v>
      </c>
      <c r="C615" t="str">
        <f>"288561898"</f>
        <v>288561898</v>
      </c>
      <c r="D615" t="s">
        <v>860</v>
      </c>
      <c r="E615" t="s">
        <v>2152</v>
      </c>
      <c r="F615" t="s">
        <v>69</v>
      </c>
      <c r="G615" s="1">
        <v>20143</v>
      </c>
      <c r="H615" s="1">
        <v>41534</v>
      </c>
      <c r="I615" t="str">
        <f>"52"</f>
        <v>52</v>
      </c>
      <c r="J615" t="s">
        <v>330</v>
      </c>
      <c r="K615" t="s">
        <v>25</v>
      </c>
      <c r="L615" t="s">
        <v>26</v>
      </c>
      <c r="M615" t="s">
        <v>27</v>
      </c>
      <c r="N615" s="1">
        <v>18629</v>
      </c>
      <c r="O615">
        <v>0</v>
      </c>
      <c r="P615">
        <v>0</v>
      </c>
      <c r="Q615" t="s">
        <v>37</v>
      </c>
      <c r="R615" t="s">
        <v>71</v>
      </c>
      <c r="S615" s="2" t="s">
        <v>362</v>
      </c>
      <c r="T615" t="s">
        <v>363</v>
      </c>
    </row>
    <row r="616" spans="1:20" x14ac:dyDescent="0.25">
      <c r="A616" t="s">
        <v>2153</v>
      </c>
      <c r="B616" t="str">
        <f>"3644"</f>
        <v>3644</v>
      </c>
      <c r="C616" t="str">
        <f>"294503644"</f>
        <v>294503644</v>
      </c>
      <c r="D616" t="s">
        <v>2154</v>
      </c>
      <c r="E616" t="s">
        <v>1023</v>
      </c>
      <c r="G616" s="1">
        <v>18901</v>
      </c>
      <c r="H616" s="1">
        <v>41533</v>
      </c>
      <c r="I616" t="str">
        <f>"15"</f>
        <v>15</v>
      </c>
      <c r="J616" t="s">
        <v>36</v>
      </c>
      <c r="K616" t="s">
        <v>98</v>
      </c>
      <c r="L616" t="s">
        <v>37</v>
      </c>
      <c r="M616" t="s">
        <v>117</v>
      </c>
      <c r="N616" s="1">
        <v>41617</v>
      </c>
      <c r="O616">
        <v>4951.96</v>
      </c>
      <c r="P616">
        <v>1237.8599999999999</v>
      </c>
      <c r="Q616" t="s">
        <v>37</v>
      </c>
      <c r="R616" t="s">
        <v>258</v>
      </c>
      <c r="S616" t="s">
        <v>678</v>
      </c>
      <c r="T616" t="s">
        <v>679</v>
      </c>
    </row>
    <row r="617" spans="1:20" x14ac:dyDescent="0.25">
      <c r="A617" t="s">
        <v>2155</v>
      </c>
      <c r="B617" t="str">
        <f>"5031"</f>
        <v>5031</v>
      </c>
      <c r="C617" t="str">
        <f>"293525031"</f>
        <v>293525031</v>
      </c>
      <c r="D617" t="s">
        <v>2156</v>
      </c>
      <c r="E617" t="s">
        <v>1533</v>
      </c>
      <c r="F617" t="s">
        <v>93</v>
      </c>
      <c r="G617" s="1">
        <v>19288</v>
      </c>
      <c r="H617" s="1">
        <v>41533</v>
      </c>
      <c r="I617" t="str">
        <f>"51"</f>
        <v>51</v>
      </c>
      <c r="J617" t="s">
        <v>471</v>
      </c>
      <c r="K617" t="s">
        <v>25</v>
      </c>
      <c r="L617" t="s">
        <v>26</v>
      </c>
      <c r="M617" t="s">
        <v>27</v>
      </c>
      <c r="N617" s="1">
        <v>18629</v>
      </c>
      <c r="O617">
        <v>0</v>
      </c>
      <c r="P617">
        <v>0</v>
      </c>
      <c r="Q617" t="s">
        <v>37</v>
      </c>
      <c r="R617" t="s">
        <v>29</v>
      </c>
      <c r="S617" t="s">
        <v>1427</v>
      </c>
      <c r="T617" t="s">
        <v>1428</v>
      </c>
    </row>
    <row r="618" spans="1:20" x14ac:dyDescent="0.25">
      <c r="A618" t="s">
        <v>2157</v>
      </c>
      <c r="B618" t="str">
        <f>"9844"</f>
        <v>9844</v>
      </c>
      <c r="C618" t="str">
        <f>"287849844"</f>
        <v>287849844</v>
      </c>
      <c r="D618" t="s">
        <v>2158</v>
      </c>
      <c r="E618" t="s">
        <v>2159</v>
      </c>
      <c r="F618" t="s">
        <v>190</v>
      </c>
      <c r="G618" s="1">
        <v>25391</v>
      </c>
      <c r="H618" s="1">
        <v>41533</v>
      </c>
      <c r="I618" t="str">
        <f>"03"</f>
        <v>03</v>
      </c>
      <c r="J618" t="s">
        <v>70</v>
      </c>
      <c r="K618" t="s">
        <v>98</v>
      </c>
      <c r="L618" t="s">
        <v>37</v>
      </c>
      <c r="M618" t="s">
        <v>99</v>
      </c>
      <c r="N618" s="1">
        <v>41617</v>
      </c>
      <c r="O618">
        <v>14801.8</v>
      </c>
      <c r="P618">
        <v>3700.32</v>
      </c>
      <c r="Q618" t="s">
        <v>37</v>
      </c>
      <c r="R618" t="s">
        <v>29</v>
      </c>
      <c r="S618" t="s">
        <v>138</v>
      </c>
      <c r="T618" t="s">
        <v>139</v>
      </c>
    </row>
    <row r="619" spans="1:20" x14ac:dyDescent="0.25">
      <c r="A619" t="s">
        <v>2160</v>
      </c>
      <c r="B619" t="str">
        <f>"6273"</f>
        <v>6273</v>
      </c>
      <c r="C619" t="str">
        <f>"280846273"</f>
        <v>280846273</v>
      </c>
      <c r="D619" t="s">
        <v>2161</v>
      </c>
      <c r="E619" t="s">
        <v>2162</v>
      </c>
      <c r="F619" t="s">
        <v>44</v>
      </c>
      <c r="G619" s="1">
        <v>25734</v>
      </c>
      <c r="H619" s="1">
        <v>41533</v>
      </c>
      <c r="I619" t="str">
        <f>"15"</f>
        <v>15</v>
      </c>
      <c r="J619" t="s">
        <v>36</v>
      </c>
      <c r="K619" t="s">
        <v>98</v>
      </c>
      <c r="L619" t="s">
        <v>37</v>
      </c>
      <c r="M619" t="s">
        <v>257</v>
      </c>
      <c r="N619" s="1">
        <v>41617</v>
      </c>
      <c r="O619">
        <v>10753.08</v>
      </c>
      <c r="P619">
        <v>2688.4</v>
      </c>
      <c r="Q619" t="s">
        <v>37</v>
      </c>
      <c r="R619" t="s">
        <v>38</v>
      </c>
      <c r="S619" t="s">
        <v>929</v>
      </c>
      <c r="T619" t="s">
        <v>930</v>
      </c>
    </row>
    <row r="620" spans="1:20" x14ac:dyDescent="0.25">
      <c r="A620" t="s">
        <v>2163</v>
      </c>
      <c r="B620" t="str">
        <f>"9510"</f>
        <v>9510</v>
      </c>
      <c r="C620" t="str">
        <f>"286589510"</f>
        <v>286589510</v>
      </c>
      <c r="D620" t="s">
        <v>2164</v>
      </c>
      <c r="E620" t="s">
        <v>1813</v>
      </c>
      <c r="F620" t="s">
        <v>44</v>
      </c>
      <c r="G620" s="1">
        <v>20338</v>
      </c>
      <c r="H620" s="1">
        <v>41533</v>
      </c>
      <c r="I620" t="str">
        <f>"05"</f>
        <v>05</v>
      </c>
      <c r="J620" t="s">
        <v>58</v>
      </c>
      <c r="K620" t="s">
        <v>98</v>
      </c>
      <c r="L620" t="s">
        <v>37</v>
      </c>
      <c r="M620" t="s">
        <v>257</v>
      </c>
      <c r="N620" s="1">
        <v>41617</v>
      </c>
      <c r="O620">
        <v>10753.08</v>
      </c>
      <c r="P620">
        <v>2688.4</v>
      </c>
      <c r="Q620" t="s">
        <v>37</v>
      </c>
      <c r="R620" t="s">
        <v>51</v>
      </c>
      <c r="S620" s="2" t="s">
        <v>683</v>
      </c>
      <c r="T620" t="s">
        <v>684</v>
      </c>
    </row>
    <row r="621" spans="1:20" x14ac:dyDescent="0.25">
      <c r="A621" t="s">
        <v>2165</v>
      </c>
      <c r="B621" t="str">
        <f>"1481"</f>
        <v>1481</v>
      </c>
      <c r="C621" t="str">
        <f>"602361481"</f>
        <v>602361481</v>
      </c>
      <c r="D621" t="s">
        <v>2166</v>
      </c>
      <c r="E621" t="s">
        <v>2167</v>
      </c>
      <c r="F621" t="s">
        <v>414</v>
      </c>
      <c r="G621" s="1">
        <v>27958</v>
      </c>
      <c r="H621" s="1">
        <v>41533</v>
      </c>
      <c r="I621" t="str">
        <f>"12"</f>
        <v>12</v>
      </c>
      <c r="J621" t="s">
        <v>245</v>
      </c>
      <c r="L621" t="s">
        <v>37</v>
      </c>
      <c r="M621" t="s">
        <v>143</v>
      </c>
      <c r="N621" s="1">
        <v>41617</v>
      </c>
      <c r="O621">
        <v>185.9</v>
      </c>
      <c r="P621">
        <v>-185.9</v>
      </c>
      <c r="Q621" t="s">
        <v>37</v>
      </c>
      <c r="R621" t="s">
        <v>29</v>
      </c>
      <c r="S621" t="s">
        <v>620</v>
      </c>
      <c r="T621" t="s">
        <v>621</v>
      </c>
    </row>
    <row r="622" spans="1:20" x14ac:dyDescent="0.25">
      <c r="A622" t="s">
        <v>2168</v>
      </c>
      <c r="B622" t="str">
        <f>"9772"</f>
        <v>9772</v>
      </c>
      <c r="C622" t="str">
        <f>"295689772"</f>
        <v>295689772</v>
      </c>
      <c r="D622" t="s">
        <v>2169</v>
      </c>
      <c r="E622" t="s">
        <v>2170</v>
      </c>
      <c r="F622" t="s">
        <v>165</v>
      </c>
      <c r="G622" s="1">
        <v>22154</v>
      </c>
      <c r="H622" s="1">
        <v>41533</v>
      </c>
      <c r="I622" t="str">
        <f>"41"</f>
        <v>41</v>
      </c>
      <c r="J622" t="s">
        <v>24</v>
      </c>
      <c r="K622" t="s">
        <v>25</v>
      </c>
      <c r="L622" t="s">
        <v>26</v>
      </c>
      <c r="M622" t="s">
        <v>27</v>
      </c>
      <c r="N622" s="1">
        <v>18629</v>
      </c>
      <c r="O622">
        <v>0</v>
      </c>
      <c r="P622">
        <v>0</v>
      </c>
      <c r="Q622" t="s">
        <v>37</v>
      </c>
      <c r="R622" t="s">
        <v>29</v>
      </c>
      <c r="S622" t="s">
        <v>251</v>
      </c>
      <c r="T622" t="s">
        <v>252</v>
      </c>
    </row>
    <row r="623" spans="1:20" x14ac:dyDescent="0.25">
      <c r="A623" t="s">
        <v>2171</v>
      </c>
      <c r="B623" t="str">
        <f>"8224"</f>
        <v>8224</v>
      </c>
      <c r="C623" t="str">
        <f>"270848224"</f>
        <v>270848224</v>
      </c>
      <c r="D623" t="s">
        <v>2172</v>
      </c>
      <c r="E623" t="s">
        <v>122</v>
      </c>
      <c r="G623" s="1">
        <v>31286</v>
      </c>
      <c r="H623" s="1">
        <v>41533</v>
      </c>
      <c r="I623" t="str">
        <f>"12"</f>
        <v>12</v>
      </c>
      <c r="J623" t="s">
        <v>245</v>
      </c>
      <c r="K623" t="s">
        <v>98</v>
      </c>
      <c r="L623" t="s">
        <v>37</v>
      </c>
      <c r="M623" t="s">
        <v>117</v>
      </c>
      <c r="N623" s="1">
        <v>41617</v>
      </c>
      <c r="O623">
        <v>4951.96</v>
      </c>
      <c r="P623">
        <v>1237.8599999999999</v>
      </c>
      <c r="Q623" t="s">
        <v>28</v>
      </c>
      <c r="R623" t="s">
        <v>110</v>
      </c>
      <c r="S623" t="s">
        <v>1137</v>
      </c>
      <c r="T623" t="s">
        <v>1138</v>
      </c>
    </row>
    <row r="624" spans="1:20" x14ac:dyDescent="0.25">
      <c r="A624" t="s">
        <v>2173</v>
      </c>
      <c r="B624" t="str">
        <f>"7226"</f>
        <v>7226</v>
      </c>
      <c r="C624" t="str">
        <f>"292887226"</f>
        <v>292887226</v>
      </c>
      <c r="D624" t="s">
        <v>860</v>
      </c>
      <c r="E624" t="s">
        <v>1484</v>
      </c>
      <c r="F624" t="s">
        <v>2174</v>
      </c>
      <c r="G624" s="1">
        <v>30072</v>
      </c>
      <c r="H624" s="1">
        <v>41533</v>
      </c>
      <c r="I624" t="str">
        <f>"15"</f>
        <v>15</v>
      </c>
      <c r="J624" t="s">
        <v>36</v>
      </c>
      <c r="K624" t="s">
        <v>98</v>
      </c>
      <c r="L624" t="s">
        <v>37</v>
      </c>
      <c r="M624" t="s">
        <v>117</v>
      </c>
      <c r="N624" s="1">
        <v>41617</v>
      </c>
      <c r="O624">
        <v>4951.96</v>
      </c>
      <c r="P624">
        <v>1237.8599999999999</v>
      </c>
      <c r="Q624" t="s">
        <v>37</v>
      </c>
      <c r="R624" t="s">
        <v>38</v>
      </c>
      <c r="S624" t="s">
        <v>39</v>
      </c>
      <c r="T624" t="s">
        <v>40</v>
      </c>
    </row>
    <row r="625" spans="1:20" x14ac:dyDescent="0.25">
      <c r="A625" t="s">
        <v>2175</v>
      </c>
      <c r="B625" t="str">
        <f>"7424"</f>
        <v>7424</v>
      </c>
      <c r="C625" t="str">
        <f>"125707424"</f>
        <v>125707424</v>
      </c>
      <c r="D625" t="s">
        <v>2176</v>
      </c>
      <c r="E625" t="s">
        <v>2177</v>
      </c>
      <c r="F625" t="s">
        <v>93</v>
      </c>
      <c r="G625" s="1">
        <v>26733</v>
      </c>
      <c r="H625" s="1">
        <v>41533</v>
      </c>
      <c r="I625" t="str">
        <f>"51"</f>
        <v>51</v>
      </c>
      <c r="J625" t="s">
        <v>471</v>
      </c>
      <c r="K625" t="s">
        <v>25</v>
      </c>
      <c r="L625" t="s">
        <v>26</v>
      </c>
      <c r="M625" t="s">
        <v>27</v>
      </c>
      <c r="N625" s="1">
        <v>18629</v>
      </c>
      <c r="O625">
        <v>0</v>
      </c>
      <c r="P625">
        <v>0</v>
      </c>
      <c r="Q625" t="s">
        <v>37</v>
      </c>
      <c r="R625" t="s">
        <v>71</v>
      </c>
      <c r="S625" t="s">
        <v>157</v>
      </c>
      <c r="T625" t="s">
        <v>158</v>
      </c>
    </row>
    <row r="626" spans="1:20" x14ac:dyDescent="0.25">
      <c r="A626" t="s">
        <v>2178</v>
      </c>
      <c r="B626" t="str">
        <f>"7246"</f>
        <v>7246</v>
      </c>
      <c r="C626" t="str">
        <f>"280807246"</f>
        <v>280807246</v>
      </c>
      <c r="D626" t="s">
        <v>2179</v>
      </c>
      <c r="E626" t="s">
        <v>1284</v>
      </c>
      <c r="F626" t="s">
        <v>44</v>
      </c>
      <c r="G626" s="1">
        <v>26294</v>
      </c>
      <c r="H626" s="1">
        <v>41529</v>
      </c>
      <c r="I626" t="str">
        <f>"03"</f>
        <v>03</v>
      </c>
      <c r="J626" t="s">
        <v>70</v>
      </c>
      <c r="L626" t="s">
        <v>37</v>
      </c>
      <c r="M626" t="s">
        <v>143</v>
      </c>
      <c r="N626" s="1">
        <v>41617</v>
      </c>
      <c r="O626">
        <v>185.9</v>
      </c>
      <c r="P626">
        <v>-185.9</v>
      </c>
      <c r="Q626" t="s">
        <v>37</v>
      </c>
      <c r="R626" t="s">
        <v>29</v>
      </c>
      <c r="S626" t="s">
        <v>557</v>
      </c>
      <c r="T626" t="s">
        <v>558</v>
      </c>
    </row>
    <row r="627" spans="1:20" x14ac:dyDescent="0.25">
      <c r="A627" t="s">
        <v>2180</v>
      </c>
      <c r="B627" t="str">
        <f>"3269"</f>
        <v>3269</v>
      </c>
      <c r="C627" t="str">
        <f>"281703269"</f>
        <v>281703269</v>
      </c>
      <c r="D627" t="s">
        <v>2181</v>
      </c>
      <c r="E627" t="s">
        <v>944</v>
      </c>
      <c r="F627" t="s">
        <v>93</v>
      </c>
      <c r="G627" s="1">
        <v>22127</v>
      </c>
      <c r="H627" s="1">
        <v>41529</v>
      </c>
      <c r="I627" t="str">
        <f>"03"</f>
        <v>03</v>
      </c>
      <c r="J627" t="s">
        <v>70</v>
      </c>
      <c r="K627" t="s">
        <v>510</v>
      </c>
      <c r="L627" t="s">
        <v>37</v>
      </c>
      <c r="M627" t="s">
        <v>99</v>
      </c>
      <c r="N627" s="1">
        <v>41617</v>
      </c>
      <c r="O627">
        <v>19521.84</v>
      </c>
      <c r="P627">
        <v>4880.46</v>
      </c>
      <c r="Q627" t="s">
        <v>28</v>
      </c>
      <c r="R627" t="s">
        <v>258</v>
      </c>
      <c r="S627" t="s">
        <v>557</v>
      </c>
      <c r="T627" t="s">
        <v>558</v>
      </c>
    </row>
    <row r="628" spans="1:20" x14ac:dyDescent="0.25">
      <c r="A628" t="s">
        <v>2182</v>
      </c>
      <c r="B628" t="str">
        <f>"1092"</f>
        <v>1092</v>
      </c>
      <c r="C628" t="str">
        <f>"284801092"</f>
        <v>284801092</v>
      </c>
      <c r="D628" t="s">
        <v>2183</v>
      </c>
      <c r="E628" t="s">
        <v>2177</v>
      </c>
      <c r="F628" t="s">
        <v>165</v>
      </c>
      <c r="G628" s="1">
        <v>24928</v>
      </c>
      <c r="H628" s="1">
        <v>41527</v>
      </c>
      <c r="I628" t="str">
        <f>"53"</f>
        <v>53</v>
      </c>
      <c r="J628" t="s">
        <v>917</v>
      </c>
      <c r="K628" t="s">
        <v>25</v>
      </c>
      <c r="L628" t="s">
        <v>26</v>
      </c>
      <c r="M628" t="s">
        <v>27</v>
      </c>
      <c r="N628" s="1">
        <v>18629</v>
      </c>
      <c r="O628">
        <v>0</v>
      </c>
      <c r="P628">
        <v>0</v>
      </c>
      <c r="Q628" t="s">
        <v>37</v>
      </c>
      <c r="R628" t="s">
        <v>312</v>
      </c>
      <c r="S628" t="s">
        <v>2184</v>
      </c>
      <c r="T628" t="s">
        <v>2185</v>
      </c>
    </row>
    <row r="629" spans="1:20" x14ac:dyDescent="0.25">
      <c r="A629" t="s">
        <v>2186</v>
      </c>
      <c r="B629" t="str">
        <f>"9366"</f>
        <v>9366</v>
      </c>
      <c r="C629" t="str">
        <f>"294669366"</f>
        <v>294669366</v>
      </c>
      <c r="D629" t="s">
        <v>1084</v>
      </c>
      <c r="E629" t="s">
        <v>899</v>
      </c>
      <c r="F629" t="s">
        <v>470</v>
      </c>
      <c r="G629" s="1">
        <v>21574</v>
      </c>
      <c r="H629" s="1">
        <v>41526</v>
      </c>
      <c r="I629" t="str">
        <f>"41"</f>
        <v>41</v>
      </c>
      <c r="J629" t="s">
        <v>24</v>
      </c>
      <c r="K629" t="s">
        <v>25</v>
      </c>
      <c r="L629" t="s">
        <v>26</v>
      </c>
      <c r="M629" t="s">
        <v>27</v>
      </c>
      <c r="N629" s="1">
        <v>18629</v>
      </c>
      <c r="O629">
        <v>0</v>
      </c>
      <c r="P629">
        <v>0</v>
      </c>
      <c r="Q629" t="s">
        <v>37</v>
      </c>
      <c r="R629" t="s">
        <v>258</v>
      </c>
      <c r="S629" t="s">
        <v>215</v>
      </c>
      <c r="T629" t="s">
        <v>216</v>
      </c>
    </row>
    <row r="630" spans="1:20" x14ac:dyDescent="0.25">
      <c r="A630" t="s">
        <v>2187</v>
      </c>
      <c r="B630" t="str">
        <f>"6066"</f>
        <v>6066</v>
      </c>
      <c r="C630" t="str">
        <f>"140926066"</f>
        <v>140926066</v>
      </c>
      <c r="D630" t="s">
        <v>2188</v>
      </c>
      <c r="E630" t="s">
        <v>2189</v>
      </c>
      <c r="F630" t="s">
        <v>414</v>
      </c>
      <c r="G630" s="1">
        <v>23325</v>
      </c>
      <c r="H630" s="1">
        <v>41526</v>
      </c>
      <c r="I630" t="str">
        <f>"51"</f>
        <v>51</v>
      </c>
      <c r="J630" t="s">
        <v>471</v>
      </c>
      <c r="K630" t="s">
        <v>25</v>
      </c>
      <c r="L630" t="s">
        <v>26</v>
      </c>
      <c r="M630" t="s">
        <v>27</v>
      </c>
      <c r="N630" s="1">
        <v>18629</v>
      </c>
      <c r="O630">
        <v>0</v>
      </c>
      <c r="P630">
        <v>0</v>
      </c>
      <c r="Q630" t="s">
        <v>37</v>
      </c>
      <c r="R630" t="s">
        <v>71</v>
      </c>
      <c r="S630" t="s">
        <v>2190</v>
      </c>
      <c r="T630" t="s">
        <v>2191</v>
      </c>
    </row>
    <row r="631" spans="1:20" x14ac:dyDescent="0.25">
      <c r="A631" t="s">
        <v>2192</v>
      </c>
      <c r="B631" t="str">
        <f>"9146"</f>
        <v>9146</v>
      </c>
      <c r="C631" t="str">
        <f>"269509146"</f>
        <v>269509146</v>
      </c>
      <c r="D631" t="s">
        <v>2193</v>
      </c>
      <c r="E631" t="s">
        <v>2194</v>
      </c>
      <c r="G631" s="1">
        <v>19202</v>
      </c>
      <c r="H631" s="1">
        <v>41526</v>
      </c>
      <c r="I631" t="str">
        <f>"41"</f>
        <v>41</v>
      </c>
      <c r="J631" t="s">
        <v>24</v>
      </c>
      <c r="K631" t="s">
        <v>25</v>
      </c>
      <c r="L631" t="s">
        <v>26</v>
      </c>
      <c r="M631" t="s">
        <v>27</v>
      </c>
      <c r="N631" s="1">
        <v>18629</v>
      </c>
      <c r="O631">
        <v>0</v>
      </c>
      <c r="P631">
        <v>0</v>
      </c>
      <c r="Q631" t="s">
        <v>28</v>
      </c>
      <c r="R631" t="s">
        <v>258</v>
      </c>
      <c r="S631" t="s">
        <v>215</v>
      </c>
      <c r="T631" t="s">
        <v>216</v>
      </c>
    </row>
    <row r="632" spans="1:20" x14ac:dyDescent="0.25">
      <c r="A632" t="s">
        <v>2195</v>
      </c>
      <c r="B632" t="str">
        <f>"1131"</f>
        <v>1131</v>
      </c>
      <c r="C632" t="str">
        <f>"302801131"</f>
        <v>302801131</v>
      </c>
      <c r="D632" t="s">
        <v>2196</v>
      </c>
      <c r="E632" t="s">
        <v>1081</v>
      </c>
      <c r="F632" t="s">
        <v>93</v>
      </c>
      <c r="G632" s="1">
        <v>30348</v>
      </c>
      <c r="H632" s="1">
        <v>41526</v>
      </c>
      <c r="I632" t="str">
        <f t="shared" ref="I632:I638" si="7">"51"</f>
        <v>51</v>
      </c>
      <c r="J632" t="s">
        <v>471</v>
      </c>
      <c r="K632" t="s">
        <v>25</v>
      </c>
      <c r="L632" t="s">
        <v>26</v>
      </c>
      <c r="M632" t="s">
        <v>27</v>
      </c>
      <c r="N632" s="1">
        <v>18629</v>
      </c>
      <c r="O632">
        <v>0</v>
      </c>
      <c r="P632">
        <v>0</v>
      </c>
      <c r="Q632" t="s">
        <v>28</v>
      </c>
      <c r="R632" t="s">
        <v>71</v>
      </c>
      <c r="S632" t="s">
        <v>2190</v>
      </c>
      <c r="T632" t="s">
        <v>2191</v>
      </c>
    </row>
    <row r="633" spans="1:20" x14ac:dyDescent="0.25">
      <c r="A633" t="s">
        <v>2197</v>
      </c>
      <c r="B633" t="str">
        <f>"1098"</f>
        <v>1098</v>
      </c>
      <c r="C633" t="str">
        <f>"297861098"</f>
        <v>297861098</v>
      </c>
      <c r="D633" t="s">
        <v>2198</v>
      </c>
      <c r="E633" t="s">
        <v>699</v>
      </c>
      <c r="F633" t="s">
        <v>28</v>
      </c>
      <c r="G633" s="1">
        <v>29167</v>
      </c>
      <c r="H633" s="1">
        <v>41526</v>
      </c>
      <c r="I633" t="str">
        <f t="shared" si="7"/>
        <v>51</v>
      </c>
      <c r="J633" t="s">
        <v>471</v>
      </c>
      <c r="K633" t="s">
        <v>25</v>
      </c>
      <c r="L633" t="s">
        <v>26</v>
      </c>
      <c r="M633" t="s">
        <v>27</v>
      </c>
      <c r="N633" s="1">
        <v>18629</v>
      </c>
      <c r="O633">
        <v>0</v>
      </c>
      <c r="P633">
        <v>0</v>
      </c>
      <c r="Q633" t="s">
        <v>37</v>
      </c>
      <c r="R633" t="s">
        <v>71</v>
      </c>
      <c r="S633" t="s">
        <v>808</v>
      </c>
      <c r="T633" t="s">
        <v>809</v>
      </c>
    </row>
    <row r="634" spans="1:20" x14ac:dyDescent="0.25">
      <c r="A634" t="s">
        <v>2199</v>
      </c>
      <c r="B634" t="str">
        <f>"4963"</f>
        <v>4963</v>
      </c>
      <c r="C634" t="str">
        <f>"274084963"</f>
        <v>274084963</v>
      </c>
      <c r="D634" t="s">
        <v>2200</v>
      </c>
      <c r="E634" t="s">
        <v>2201</v>
      </c>
      <c r="G634" s="1">
        <v>28727</v>
      </c>
      <c r="H634" s="1">
        <v>41526</v>
      </c>
      <c r="I634" t="str">
        <f t="shared" si="7"/>
        <v>51</v>
      </c>
      <c r="J634" t="s">
        <v>471</v>
      </c>
      <c r="K634" t="s">
        <v>25</v>
      </c>
      <c r="L634" t="s">
        <v>26</v>
      </c>
      <c r="M634" t="s">
        <v>27</v>
      </c>
      <c r="N634" s="1">
        <v>18629</v>
      </c>
      <c r="O634">
        <v>0</v>
      </c>
      <c r="P634">
        <v>0</v>
      </c>
      <c r="Q634" t="s">
        <v>37</v>
      </c>
      <c r="R634" t="s">
        <v>51</v>
      </c>
      <c r="S634" s="2" t="s">
        <v>2202</v>
      </c>
      <c r="T634" t="s">
        <v>2203</v>
      </c>
    </row>
    <row r="635" spans="1:20" x14ac:dyDescent="0.25">
      <c r="A635" t="s">
        <v>2204</v>
      </c>
      <c r="B635" t="str">
        <f>"6229"</f>
        <v>6229</v>
      </c>
      <c r="C635" t="str">
        <f>"276766229"</f>
        <v>276766229</v>
      </c>
      <c r="D635" t="s">
        <v>907</v>
      </c>
      <c r="E635" t="s">
        <v>214</v>
      </c>
      <c r="F635" t="s">
        <v>97</v>
      </c>
      <c r="G635" s="1">
        <v>25593</v>
      </c>
      <c r="H635" s="1">
        <v>41526</v>
      </c>
      <c r="I635" t="str">
        <f t="shared" si="7"/>
        <v>51</v>
      </c>
      <c r="J635" t="s">
        <v>471</v>
      </c>
      <c r="K635" t="s">
        <v>25</v>
      </c>
      <c r="L635" t="s">
        <v>26</v>
      </c>
      <c r="M635" t="s">
        <v>27</v>
      </c>
      <c r="N635" s="1">
        <v>18629</v>
      </c>
      <c r="O635">
        <v>0</v>
      </c>
      <c r="P635">
        <v>0</v>
      </c>
      <c r="Q635" t="s">
        <v>28</v>
      </c>
      <c r="R635" t="s">
        <v>100</v>
      </c>
      <c r="S635" t="s">
        <v>166</v>
      </c>
      <c r="T635" t="s">
        <v>167</v>
      </c>
    </row>
    <row r="636" spans="1:20" x14ac:dyDescent="0.25">
      <c r="A636" t="s">
        <v>2205</v>
      </c>
      <c r="B636" t="str">
        <f>"9089"</f>
        <v>9089</v>
      </c>
      <c r="C636" t="str">
        <f>"282449089"</f>
        <v>282449089</v>
      </c>
      <c r="D636" t="s">
        <v>2129</v>
      </c>
      <c r="E636" t="s">
        <v>1666</v>
      </c>
      <c r="F636" t="s">
        <v>438</v>
      </c>
      <c r="G636" s="1">
        <v>20201</v>
      </c>
      <c r="H636" s="1">
        <v>41526</v>
      </c>
      <c r="I636" t="str">
        <f t="shared" si="7"/>
        <v>51</v>
      </c>
      <c r="J636" t="s">
        <v>471</v>
      </c>
      <c r="K636" t="s">
        <v>25</v>
      </c>
      <c r="L636" t="s">
        <v>26</v>
      </c>
      <c r="M636" t="s">
        <v>27</v>
      </c>
      <c r="N636" s="1">
        <v>18629</v>
      </c>
      <c r="O636">
        <v>0</v>
      </c>
      <c r="P636">
        <v>0</v>
      </c>
      <c r="Q636" t="s">
        <v>37</v>
      </c>
      <c r="R636" t="s">
        <v>100</v>
      </c>
      <c r="S636" t="s">
        <v>2206</v>
      </c>
      <c r="T636" t="s">
        <v>2207</v>
      </c>
    </row>
    <row r="637" spans="1:20" x14ac:dyDescent="0.25">
      <c r="A637" t="s">
        <v>2208</v>
      </c>
      <c r="B637" t="str">
        <f>"8332"</f>
        <v>8332</v>
      </c>
      <c r="C637" t="str">
        <f>"278548332"</f>
        <v>278548332</v>
      </c>
      <c r="D637" t="s">
        <v>2209</v>
      </c>
      <c r="E637" t="s">
        <v>323</v>
      </c>
      <c r="F637" t="s">
        <v>28</v>
      </c>
      <c r="G637" s="1">
        <v>24960</v>
      </c>
      <c r="H637" s="1">
        <v>41526</v>
      </c>
      <c r="I637" t="str">
        <f t="shared" si="7"/>
        <v>51</v>
      </c>
      <c r="J637" t="s">
        <v>471</v>
      </c>
      <c r="K637" t="s">
        <v>25</v>
      </c>
      <c r="L637" t="s">
        <v>26</v>
      </c>
      <c r="M637" t="s">
        <v>27</v>
      </c>
      <c r="N637" s="1">
        <v>18629</v>
      </c>
      <c r="O637">
        <v>0</v>
      </c>
      <c r="P637">
        <v>0</v>
      </c>
      <c r="Q637" t="s">
        <v>37</v>
      </c>
      <c r="R637" t="s">
        <v>100</v>
      </c>
      <c r="S637" t="s">
        <v>130</v>
      </c>
      <c r="T637" t="s">
        <v>131</v>
      </c>
    </row>
    <row r="638" spans="1:20" x14ac:dyDescent="0.25">
      <c r="A638" t="s">
        <v>2210</v>
      </c>
      <c r="B638" t="str">
        <f>"2182"</f>
        <v>2182</v>
      </c>
      <c r="C638" t="str">
        <f>"284802182"</f>
        <v>284802182</v>
      </c>
      <c r="D638" t="s">
        <v>2211</v>
      </c>
      <c r="E638" t="s">
        <v>518</v>
      </c>
      <c r="F638" t="s">
        <v>1970</v>
      </c>
      <c r="G638" s="1">
        <v>28822</v>
      </c>
      <c r="H638" s="1">
        <v>41526</v>
      </c>
      <c r="I638" t="str">
        <f t="shared" si="7"/>
        <v>51</v>
      </c>
      <c r="J638" t="s">
        <v>471</v>
      </c>
      <c r="K638" t="s">
        <v>25</v>
      </c>
      <c r="L638" t="s">
        <v>26</v>
      </c>
      <c r="M638" t="s">
        <v>27</v>
      </c>
      <c r="N638" s="1">
        <v>18629</v>
      </c>
      <c r="O638">
        <v>0</v>
      </c>
      <c r="P638">
        <v>0</v>
      </c>
      <c r="Q638" t="s">
        <v>37</v>
      </c>
      <c r="R638" t="s">
        <v>71</v>
      </c>
      <c r="S638" t="s">
        <v>2212</v>
      </c>
      <c r="T638" t="s">
        <v>2213</v>
      </c>
    </row>
    <row r="639" spans="1:20" x14ac:dyDescent="0.25">
      <c r="A639" t="s">
        <v>2214</v>
      </c>
      <c r="B639" t="str">
        <f>"2878"</f>
        <v>2878</v>
      </c>
      <c r="C639" t="str">
        <f>"294502878"</f>
        <v>294502878</v>
      </c>
      <c r="D639" t="s">
        <v>2215</v>
      </c>
      <c r="E639" t="s">
        <v>22</v>
      </c>
      <c r="F639" t="s">
        <v>239</v>
      </c>
      <c r="G639" s="1">
        <v>19136</v>
      </c>
      <c r="H639" s="1">
        <v>41526</v>
      </c>
      <c r="I639" t="str">
        <f>"41"</f>
        <v>41</v>
      </c>
      <c r="J639" t="s">
        <v>24</v>
      </c>
      <c r="K639" t="s">
        <v>25</v>
      </c>
      <c r="L639" t="s">
        <v>26</v>
      </c>
      <c r="M639" t="s">
        <v>27</v>
      </c>
      <c r="N639" s="1">
        <v>18629</v>
      </c>
      <c r="O639">
        <v>0</v>
      </c>
      <c r="P639">
        <v>0</v>
      </c>
      <c r="Q639" t="s">
        <v>28</v>
      </c>
      <c r="R639" t="s">
        <v>258</v>
      </c>
      <c r="S639" t="s">
        <v>215</v>
      </c>
      <c r="T639" t="s">
        <v>216</v>
      </c>
    </row>
    <row r="640" spans="1:20" x14ac:dyDescent="0.25">
      <c r="A640" t="s">
        <v>2216</v>
      </c>
      <c r="B640" t="str">
        <f>"2009"</f>
        <v>2009</v>
      </c>
      <c r="C640" t="str">
        <f>"397682009"</f>
        <v>397682009</v>
      </c>
      <c r="D640" t="s">
        <v>2217</v>
      </c>
      <c r="E640" t="s">
        <v>2218</v>
      </c>
      <c r="G640" s="1">
        <v>19158</v>
      </c>
      <c r="H640" s="1">
        <v>41526</v>
      </c>
      <c r="I640" t="str">
        <f>"41"</f>
        <v>41</v>
      </c>
      <c r="J640" t="s">
        <v>24</v>
      </c>
      <c r="K640" t="s">
        <v>25</v>
      </c>
      <c r="L640" t="s">
        <v>26</v>
      </c>
      <c r="M640" t="s">
        <v>27</v>
      </c>
      <c r="N640" s="1">
        <v>18629</v>
      </c>
      <c r="O640">
        <v>0</v>
      </c>
      <c r="P640">
        <v>0</v>
      </c>
      <c r="Q640" t="s">
        <v>37</v>
      </c>
      <c r="R640" t="s">
        <v>258</v>
      </c>
      <c r="S640" t="s">
        <v>215</v>
      </c>
      <c r="T640" t="s">
        <v>216</v>
      </c>
    </row>
    <row r="641" spans="1:20" x14ac:dyDescent="0.25">
      <c r="A641" t="s">
        <v>2219</v>
      </c>
      <c r="B641" t="str">
        <f>"5725"</f>
        <v>5725</v>
      </c>
      <c r="C641" t="str">
        <f>"252575725"</f>
        <v>252575725</v>
      </c>
      <c r="D641" t="s">
        <v>2220</v>
      </c>
      <c r="E641" t="s">
        <v>2221</v>
      </c>
      <c r="F641" t="s">
        <v>97</v>
      </c>
      <c r="G641" s="1">
        <v>31835</v>
      </c>
      <c r="H641" s="1">
        <v>41526</v>
      </c>
      <c r="I641" t="str">
        <f>"51"</f>
        <v>51</v>
      </c>
      <c r="J641" t="s">
        <v>471</v>
      </c>
      <c r="K641" t="s">
        <v>25</v>
      </c>
      <c r="L641" t="s">
        <v>26</v>
      </c>
      <c r="M641" t="s">
        <v>27</v>
      </c>
      <c r="N641" s="1">
        <v>18629</v>
      </c>
      <c r="O641">
        <v>0</v>
      </c>
      <c r="P641">
        <v>0</v>
      </c>
      <c r="Q641" t="s">
        <v>37</v>
      </c>
      <c r="R641" t="s">
        <v>71</v>
      </c>
      <c r="S641" t="s">
        <v>1547</v>
      </c>
      <c r="T641" t="s">
        <v>1548</v>
      </c>
    </row>
    <row r="642" spans="1:20" x14ac:dyDescent="0.25">
      <c r="A642" t="s">
        <v>2222</v>
      </c>
      <c r="B642" t="str">
        <f>"4682"</f>
        <v>4682</v>
      </c>
      <c r="C642" t="str">
        <f>"290604682"</f>
        <v>290604682</v>
      </c>
      <c r="D642" t="s">
        <v>2223</v>
      </c>
      <c r="E642" t="s">
        <v>2224</v>
      </c>
      <c r="F642" t="s">
        <v>463</v>
      </c>
      <c r="G642" s="1">
        <v>28151</v>
      </c>
      <c r="H642" s="1">
        <v>41526</v>
      </c>
      <c r="I642" t="str">
        <f>"41"</f>
        <v>41</v>
      </c>
      <c r="J642" t="s">
        <v>24</v>
      </c>
      <c r="K642" t="s">
        <v>25</v>
      </c>
      <c r="L642" t="s">
        <v>26</v>
      </c>
      <c r="M642" t="s">
        <v>27</v>
      </c>
      <c r="N642" s="1">
        <v>18629</v>
      </c>
      <c r="O642">
        <v>0</v>
      </c>
      <c r="P642">
        <v>0</v>
      </c>
      <c r="Q642" t="s">
        <v>28</v>
      </c>
      <c r="R642" t="s">
        <v>258</v>
      </c>
      <c r="S642" t="s">
        <v>215</v>
      </c>
      <c r="T642" t="s">
        <v>216</v>
      </c>
    </row>
    <row r="643" spans="1:20" x14ac:dyDescent="0.25">
      <c r="A643" t="s">
        <v>2225</v>
      </c>
      <c r="B643" t="str">
        <f>"6819"</f>
        <v>6819</v>
      </c>
      <c r="C643" t="str">
        <f>"278346819"</f>
        <v>278346819</v>
      </c>
      <c r="D643" t="s">
        <v>860</v>
      </c>
      <c r="E643" t="s">
        <v>1381</v>
      </c>
      <c r="F643" t="s">
        <v>44</v>
      </c>
      <c r="G643" s="1">
        <v>14461</v>
      </c>
      <c r="H643" s="1">
        <v>41526</v>
      </c>
      <c r="I643" t="str">
        <f>"51"</f>
        <v>51</v>
      </c>
      <c r="J643" t="s">
        <v>471</v>
      </c>
      <c r="K643" t="s">
        <v>25</v>
      </c>
      <c r="L643" t="s">
        <v>26</v>
      </c>
      <c r="M643" t="s">
        <v>27</v>
      </c>
      <c r="N643" s="1">
        <v>18629</v>
      </c>
      <c r="O643">
        <v>0</v>
      </c>
      <c r="P643">
        <v>0</v>
      </c>
      <c r="Q643" t="s">
        <v>28</v>
      </c>
      <c r="R643" t="s">
        <v>71</v>
      </c>
      <c r="S643" t="s">
        <v>770</v>
      </c>
      <c r="T643" t="s">
        <v>771</v>
      </c>
    </row>
    <row r="644" spans="1:20" x14ac:dyDescent="0.25">
      <c r="A644" t="s">
        <v>2226</v>
      </c>
      <c r="B644" t="str">
        <f>"0367"</f>
        <v>0367</v>
      </c>
      <c r="C644" t="str">
        <f>"300620367"</f>
        <v>300620367</v>
      </c>
      <c r="D644" t="s">
        <v>2227</v>
      </c>
      <c r="E644" t="s">
        <v>2228</v>
      </c>
      <c r="F644" t="s">
        <v>2229</v>
      </c>
      <c r="G644" s="1">
        <v>21643</v>
      </c>
      <c r="H644" s="1">
        <v>41526</v>
      </c>
      <c r="I644" t="str">
        <f>"41"</f>
        <v>41</v>
      </c>
      <c r="J644" t="s">
        <v>24</v>
      </c>
      <c r="K644" t="s">
        <v>25</v>
      </c>
      <c r="L644" t="s">
        <v>26</v>
      </c>
      <c r="M644" t="s">
        <v>27</v>
      </c>
      <c r="N644" s="1">
        <v>18629</v>
      </c>
      <c r="O644">
        <v>0</v>
      </c>
      <c r="P644">
        <v>0</v>
      </c>
      <c r="Q644" t="s">
        <v>37</v>
      </c>
      <c r="R644" t="s">
        <v>258</v>
      </c>
      <c r="S644" t="s">
        <v>215</v>
      </c>
      <c r="T644" t="s">
        <v>216</v>
      </c>
    </row>
    <row r="645" spans="1:20" x14ac:dyDescent="0.25">
      <c r="A645" t="s">
        <v>2230</v>
      </c>
      <c r="B645" t="str">
        <f>"4664"</f>
        <v>4664</v>
      </c>
      <c r="C645" t="str">
        <f>"252714664"</f>
        <v>252714664</v>
      </c>
      <c r="D645" t="s">
        <v>2231</v>
      </c>
      <c r="E645" t="s">
        <v>2232</v>
      </c>
      <c r="G645" s="1">
        <v>32682</v>
      </c>
      <c r="H645" s="1">
        <v>41526</v>
      </c>
      <c r="I645" t="str">
        <f>"41"</f>
        <v>41</v>
      </c>
      <c r="J645" t="s">
        <v>24</v>
      </c>
      <c r="K645" t="s">
        <v>25</v>
      </c>
      <c r="L645" t="s">
        <v>26</v>
      </c>
      <c r="M645" t="s">
        <v>27</v>
      </c>
      <c r="N645" s="1">
        <v>18629</v>
      </c>
      <c r="O645">
        <v>0</v>
      </c>
      <c r="P645">
        <v>0</v>
      </c>
      <c r="Q645" t="s">
        <v>28</v>
      </c>
      <c r="R645" t="s">
        <v>258</v>
      </c>
      <c r="S645" t="s">
        <v>215</v>
      </c>
      <c r="T645" t="s">
        <v>216</v>
      </c>
    </row>
    <row r="646" spans="1:20" x14ac:dyDescent="0.25">
      <c r="A646" t="s">
        <v>2233</v>
      </c>
      <c r="B646" t="str">
        <f>"1598"</f>
        <v>1598</v>
      </c>
      <c r="C646" t="str">
        <f>"273481598"</f>
        <v>273481598</v>
      </c>
      <c r="D646" t="s">
        <v>2234</v>
      </c>
      <c r="E646" t="s">
        <v>304</v>
      </c>
      <c r="F646" t="s">
        <v>174</v>
      </c>
      <c r="G646" s="1">
        <v>18787</v>
      </c>
      <c r="H646" s="1">
        <v>41526</v>
      </c>
      <c r="I646" t="str">
        <f>"51"</f>
        <v>51</v>
      </c>
      <c r="J646" t="s">
        <v>471</v>
      </c>
      <c r="K646" t="s">
        <v>25</v>
      </c>
      <c r="L646" t="s">
        <v>26</v>
      </c>
      <c r="M646" t="s">
        <v>27</v>
      </c>
      <c r="N646" s="1">
        <v>18629</v>
      </c>
      <c r="O646">
        <v>0</v>
      </c>
      <c r="P646">
        <v>0</v>
      </c>
      <c r="Q646" t="s">
        <v>28</v>
      </c>
      <c r="R646" t="s">
        <v>100</v>
      </c>
      <c r="S646" t="s">
        <v>166</v>
      </c>
      <c r="T646" t="s">
        <v>167</v>
      </c>
    </row>
    <row r="647" spans="1:20" x14ac:dyDescent="0.25">
      <c r="A647" t="s">
        <v>2235</v>
      </c>
      <c r="B647" t="str">
        <f>"5119"</f>
        <v>5119</v>
      </c>
      <c r="C647" t="str">
        <f>"275545119"</f>
        <v>275545119</v>
      </c>
      <c r="D647" t="s">
        <v>2236</v>
      </c>
      <c r="E647" t="s">
        <v>1994</v>
      </c>
      <c r="F647" t="s">
        <v>28</v>
      </c>
      <c r="G647" s="1">
        <v>19190</v>
      </c>
      <c r="H647" s="1">
        <v>41526</v>
      </c>
      <c r="I647" t="str">
        <f>"01"</f>
        <v>01</v>
      </c>
      <c r="J647" t="s">
        <v>116</v>
      </c>
      <c r="K647" t="s">
        <v>98</v>
      </c>
      <c r="L647" t="s">
        <v>37</v>
      </c>
      <c r="M647" t="s">
        <v>257</v>
      </c>
      <c r="N647" s="1">
        <v>41617</v>
      </c>
      <c r="O647">
        <v>10753.08</v>
      </c>
      <c r="P647">
        <v>2688.4</v>
      </c>
      <c r="Q647" t="s">
        <v>37</v>
      </c>
      <c r="R647" t="s">
        <v>29</v>
      </c>
      <c r="S647" t="s">
        <v>1182</v>
      </c>
      <c r="T647" t="s">
        <v>1183</v>
      </c>
    </row>
    <row r="648" spans="1:20" x14ac:dyDescent="0.25">
      <c r="A648" t="s">
        <v>2237</v>
      </c>
      <c r="B648" t="str">
        <f>"2885"</f>
        <v>2885</v>
      </c>
      <c r="C648" t="str">
        <f>"289722885"</f>
        <v>289722885</v>
      </c>
      <c r="D648" t="s">
        <v>2238</v>
      </c>
      <c r="E648" t="s">
        <v>2239</v>
      </c>
      <c r="F648" t="s">
        <v>1085</v>
      </c>
      <c r="G648" s="1">
        <v>25945</v>
      </c>
      <c r="H648" s="1">
        <v>41522</v>
      </c>
      <c r="I648" t="str">
        <f>"51"</f>
        <v>51</v>
      </c>
      <c r="J648" t="s">
        <v>471</v>
      </c>
      <c r="K648" t="s">
        <v>25</v>
      </c>
      <c r="L648" t="s">
        <v>26</v>
      </c>
      <c r="M648" t="s">
        <v>27</v>
      </c>
      <c r="N648" s="1">
        <v>18629</v>
      </c>
      <c r="O648">
        <v>0</v>
      </c>
      <c r="P648">
        <v>0</v>
      </c>
      <c r="Q648" t="s">
        <v>37</v>
      </c>
      <c r="R648" t="s">
        <v>29</v>
      </c>
      <c r="S648" t="s">
        <v>151</v>
      </c>
      <c r="T648" t="s">
        <v>152</v>
      </c>
    </row>
    <row r="649" spans="1:20" x14ac:dyDescent="0.25">
      <c r="A649" t="s">
        <v>2240</v>
      </c>
      <c r="B649" t="str">
        <f>"8879"</f>
        <v>8879</v>
      </c>
      <c r="C649" t="str">
        <f>"360588879"</f>
        <v>360588879</v>
      </c>
      <c r="D649" t="s">
        <v>2241</v>
      </c>
      <c r="E649" t="s">
        <v>35</v>
      </c>
      <c r="F649" t="s">
        <v>26</v>
      </c>
      <c r="G649" s="1">
        <v>24245</v>
      </c>
      <c r="H649" s="1">
        <v>41522</v>
      </c>
      <c r="I649" t="str">
        <f>"51"</f>
        <v>51</v>
      </c>
      <c r="J649" t="s">
        <v>471</v>
      </c>
      <c r="K649" t="s">
        <v>25</v>
      </c>
      <c r="L649" t="s">
        <v>26</v>
      </c>
      <c r="M649" t="s">
        <v>27</v>
      </c>
      <c r="N649" s="1">
        <v>18629</v>
      </c>
      <c r="O649">
        <v>0</v>
      </c>
      <c r="P649">
        <v>0</v>
      </c>
      <c r="Q649" t="s">
        <v>28</v>
      </c>
      <c r="R649" t="s">
        <v>29</v>
      </c>
      <c r="S649" t="s">
        <v>1640</v>
      </c>
      <c r="T649" t="s">
        <v>983</v>
      </c>
    </row>
    <row r="650" spans="1:20" x14ac:dyDescent="0.25">
      <c r="A650" t="s">
        <v>2242</v>
      </c>
      <c r="B650" t="str">
        <f>"5371"</f>
        <v>5371</v>
      </c>
      <c r="C650" t="str">
        <f>"274705371"</f>
        <v>274705371</v>
      </c>
      <c r="D650" t="s">
        <v>2243</v>
      </c>
      <c r="E650" t="s">
        <v>372</v>
      </c>
      <c r="F650" t="s">
        <v>629</v>
      </c>
      <c r="G650" s="1">
        <v>23604</v>
      </c>
      <c r="H650" s="1">
        <v>41521</v>
      </c>
      <c r="I650" t="str">
        <f>"51"</f>
        <v>51</v>
      </c>
      <c r="J650" t="s">
        <v>471</v>
      </c>
      <c r="K650" t="s">
        <v>25</v>
      </c>
      <c r="L650" t="s">
        <v>26</v>
      </c>
      <c r="M650" t="s">
        <v>27</v>
      </c>
      <c r="N650" s="1">
        <v>18629</v>
      </c>
      <c r="O650">
        <v>0</v>
      </c>
      <c r="P650">
        <v>0</v>
      </c>
      <c r="Q650" t="s">
        <v>37</v>
      </c>
      <c r="R650" t="s">
        <v>29</v>
      </c>
      <c r="S650" t="s">
        <v>138</v>
      </c>
      <c r="T650" t="s">
        <v>139</v>
      </c>
    </row>
    <row r="651" spans="1:20" x14ac:dyDescent="0.25">
      <c r="A651" t="s">
        <v>2244</v>
      </c>
      <c r="B651" t="str">
        <f>"6870"</f>
        <v>6870</v>
      </c>
      <c r="C651" t="str">
        <f>"269786870"</f>
        <v>269786870</v>
      </c>
      <c r="D651" t="s">
        <v>2245</v>
      </c>
      <c r="E651" t="s">
        <v>2246</v>
      </c>
      <c r="F651" t="s">
        <v>2247</v>
      </c>
      <c r="G651" s="1">
        <v>23298</v>
      </c>
      <c r="H651" s="1">
        <v>41520</v>
      </c>
      <c r="I651" t="str">
        <f>"52"</f>
        <v>52</v>
      </c>
      <c r="J651" t="s">
        <v>330</v>
      </c>
      <c r="K651" t="s">
        <v>25</v>
      </c>
      <c r="L651" t="s">
        <v>26</v>
      </c>
      <c r="M651" t="s">
        <v>27</v>
      </c>
      <c r="N651" s="1">
        <v>18629</v>
      </c>
      <c r="O651">
        <v>0</v>
      </c>
      <c r="P651">
        <v>0</v>
      </c>
      <c r="Q651" t="s">
        <v>37</v>
      </c>
      <c r="R651" t="s">
        <v>29</v>
      </c>
      <c r="S651" t="s">
        <v>678</v>
      </c>
      <c r="T651" t="s">
        <v>679</v>
      </c>
    </row>
    <row r="652" spans="1:20" x14ac:dyDescent="0.25">
      <c r="A652" t="s">
        <v>2248</v>
      </c>
      <c r="B652" t="str">
        <f>"5998"</f>
        <v>5998</v>
      </c>
      <c r="C652" t="str">
        <f>"277885998"</f>
        <v>277885998</v>
      </c>
      <c r="D652" t="s">
        <v>2249</v>
      </c>
      <c r="E652" t="s">
        <v>2250</v>
      </c>
      <c r="F652" t="s">
        <v>69</v>
      </c>
      <c r="G652" s="1">
        <v>28408</v>
      </c>
      <c r="H652" s="1">
        <v>41520</v>
      </c>
      <c r="I652" t="str">
        <f>"30"</f>
        <v>30</v>
      </c>
      <c r="J652" t="s">
        <v>50</v>
      </c>
      <c r="K652" t="s">
        <v>25</v>
      </c>
      <c r="L652" t="s">
        <v>26</v>
      </c>
      <c r="M652" t="s">
        <v>27</v>
      </c>
      <c r="N652" s="1">
        <v>18629</v>
      </c>
      <c r="O652">
        <v>0</v>
      </c>
      <c r="P652">
        <v>0</v>
      </c>
      <c r="Q652" t="s">
        <v>37</v>
      </c>
      <c r="R652" t="s">
        <v>29</v>
      </c>
      <c r="S652" t="s">
        <v>2251</v>
      </c>
      <c r="T652" t="s">
        <v>2252</v>
      </c>
    </row>
    <row r="653" spans="1:20" x14ac:dyDescent="0.25">
      <c r="A653" t="s">
        <v>2253</v>
      </c>
      <c r="B653" t="str">
        <f>"8771"</f>
        <v>8771</v>
      </c>
      <c r="C653" t="str">
        <f>"295748771"</f>
        <v>295748771</v>
      </c>
      <c r="D653" t="s">
        <v>2254</v>
      </c>
      <c r="E653" t="s">
        <v>2255</v>
      </c>
      <c r="F653" t="s">
        <v>2256</v>
      </c>
      <c r="G653" s="1">
        <v>24732</v>
      </c>
      <c r="H653" s="1">
        <v>41520</v>
      </c>
      <c r="I653" t="str">
        <f>"15"</f>
        <v>15</v>
      </c>
      <c r="J653" t="s">
        <v>36</v>
      </c>
      <c r="K653" t="s">
        <v>98</v>
      </c>
      <c r="L653" t="s">
        <v>37</v>
      </c>
      <c r="M653" t="s">
        <v>117</v>
      </c>
      <c r="N653" s="1">
        <v>41617</v>
      </c>
      <c r="O653">
        <v>4951.96</v>
      </c>
      <c r="P653">
        <v>1237.8599999999999</v>
      </c>
      <c r="Q653" t="s">
        <v>37</v>
      </c>
      <c r="R653" t="s">
        <v>110</v>
      </c>
      <c r="S653" t="s">
        <v>2257</v>
      </c>
      <c r="T653" t="s">
        <v>2258</v>
      </c>
    </row>
    <row r="654" spans="1:20" x14ac:dyDescent="0.25">
      <c r="A654" t="s">
        <v>2259</v>
      </c>
      <c r="B654" t="str">
        <f>"2950"</f>
        <v>2950</v>
      </c>
      <c r="C654" t="str">
        <f>"286622950"</f>
        <v>286622950</v>
      </c>
      <c r="D654" t="s">
        <v>2260</v>
      </c>
      <c r="E654" t="s">
        <v>189</v>
      </c>
      <c r="F654" t="s">
        <v>44</v>
      </c>
      <c r="G654" s="1">
        <v>21679</v>
      </c>
      <c r="H654" s="1">
        <v>41520</v>
      </c>
      <c r="I654" t="str">
        <f>"52"</f>
        <v>52</v>
      </c>
      <c r="J654" t="s">
        <v>330</v>
      </c>
      <c r="K654" t="s">
        <v>25</v>
      </c>
      <c r="L654" t="s">
        <v>26</v>
      </c>
      <c r="M654" t="s">
        <v>27</v>
      </c>
      <c r="N654" s="1">
        <v>18629</v>
      </c>
      <c r="O654">
        <v>0</v>
      </c>
      <c r="P654">
        <v>0</v>
      </c>
      <c r="Q654" t="s">
        <v>37</v>
      </c>
      <c r="R654" t="s">
        <v>29</v>
      </c>
      <c r="S654" t="s">
        <v>678</v>
      </c>
      <c r="T654" t="s">
        <v>679</v>
      </c>
    </row>
    <row r="655" spans="1:20" x14ac:dyDescent="0.25">
      <c r="A655" t="s">
        <v>2261</v>
      </c>
      <c r="B655" t="str">
        <f>"9039"</f>
        <v>9039</v>
      </c>
      <c r="C655" t="str">
        <f>"284429039"</f>
        <v>284429039</v>
      </c>
      <c r="D655" t="s">
        <v>2262</v>
      </c>
      <c r="E655" t="s">
        <v>1134</v>
      </c>
      <c r="F655" t="s">
        <v>264</v>
      </c>
      <c r="G655" s="1">
        <v>17388</v>
      </c>
      <c r="H655" s="1">
        <v>41520</v>
      </c>
      <c r="I655" t="str">
        <f>"41"</f>
        <v>41</v>
      </c>
      <c r="J655" t="s">
        <v>24</v>
      </c>
      <c r="K655" t="s">
        <v>25</v>
      </c>
      <c r="L655" t="s">
        <v>26</v>
      </c>
      <c r="M655" t="s">
        <v>27</v>
      </c>
      <c r="N655" s="1">
        <v>18629</v>
      </c>
      <c r="O655">
        <v>0</v>
      </c>
      <c r="P655">
        <v>0</v>
      </c>
      <c r="Q655" t="s">
        <v>37</v>
      </c>
      <c r="R655" t="s">
        <v>29</v>
      </c>
      <c r="S655" t="s">
        <v>138</v>
      </c>
      <c r="T655" t="s">
        <v>139</v>
      </c>
    </row>
    <row r="656" spans="1:20" x14ac:dyDescent="0.25">
      <c r="A656" t="s">
        <v>2263</v>
      </c>
      <c r="B656" t="str">
        <f>"6247"</f>
        <v>6247</v>
      </c>
      <c r="C656" t="str">
        <f>"301826247"</f>
        <v>301826247</v>
      </c>
      <c r="D656" t="s">
        <v>2264</v>
      </c>
      <c r="E656" t="s">
        <v>2177</v>
      </c>
      <c r="G656" s="1">
        <v>25397</v>
      </c>
      <c r="H656" s="1">
        <v>41520</v>
      </c>
      <c r="I656" t="str">
        <f>"03"</f>
        <v>03</v>
      </c>
      <c r="J656" t="s">
        <v>70</v>
      </c>
      <c r="K656" t="s">
        <v>98</v>
      </c>
      <c r="L656" t="s">
        <v>37</v>
      </c>
      <c r="M656" t="s">
        <v>99</v>
      </c>
      <c r="N656" s="1">
        <v>41617</v>
      </c>
      <c r="O656">
        <v>14801.8</v>
      </c>
      <c r="P656">
        <v>3700.32</v>
      </c>
      <c r="Q656" t="s">
        <v>37</v>
      </c>
      <c r="R656" t="s">
        <v>38</v>
      </c>
      <c r="S656" t="s">
        <v>39</v>
      </c>
      <c r="T656" t="s">
        <v>40</v>
      </c>
    </row>
    <row r="657" spans="1:20" x14ac:dyDescent="0.25">
      <c r="A657" t="s">
        <v>2265</v>
      </c>
      <c r="B657" t="str">
        <f>"5998"</f>
        <v>5998</v>
      </c>
      <c r="C657" t="str">
        <f>"297925998"</f>
        <v>297925998</v>
      </c>
      <c r="D657" t="s">
        <v>2266</v>
      </c>
      <c r="E657" t="s">
        <v>2267</v>
      </c>
      <c r="F657" t="s">
        <v>264</v>
      </c>
      <c r="G657" s="1">
        <v>33186</v>
      </c>
      <c r="H657" s="1">
        <v>41520</v>
      </c>
      <c r="I657" t="str">
        <f>"34"</f>
        <v>34</v>
      </c>
      <c r="J657" t="s">
        <v>388</v>
      </c>
      <c r="K657" t="s">
        <v>25</v>
      </c>
      <c r="L657" t="s">
        <v>26</v>
      </c>
      <c r="M657" t="s">
        <v>27</v>
      </c>
      <c r="N657" s="1">
        <v>18629</v>
      </c>
      <c r="O657">
        <v>0</v>
      </c>
      <c r="P657">
        <v>0</v>
      </c>
      <c r="Q657" t="s">
        <v>28</v>
      </c>
      <c r="R657" t="s">
        <v>71</v>
      </c>
      <c r="S657" t="s">
        <v>570</v>
      </c>
      <c r="T657" t="s">
        <v>571</v>
      </c>
    </row>
    <row r="658" spans="1:20" x14ac:dyDescent="0.25">
      <c r="A658" t="s">
        <v>2268</v>
      </c>
      <c r="B658" t="str">
        <f>"9716"</f>
        <v>9716</v>
      </c>
      <c r="C658" t="str">
        <f>"393909716"</f>
        <v>393909716</v>
      </c>
      <c r="D658" t="s">
        <v>2269</v>
      </c>
      <c r="E658" t="s">
        <v>2270</v>
      </c>
      <c r="F658" t="s">
        <v>2271</v>
      </c>
      <c r="G658" s="1">
        <v>30415</v>
      </c>
      <c r="H658" s="1">
        <v>41520</v>
      </c>
      <c r="I658" t="str">
        <f>"52"</f>
        <v>52</v>
      </c>
      <c r="J658" t="s">
        <v>330</v>
      </c>
      <c r="K658" t="s">
        <v>25</v>
      </c>
      <c r="L658" t="s">
        <v>26</v>
      </c>
      <c r="M658" t="s">
        <v>27</v>
      </c>
      <c r="N658" s="1">
        <v>18629</v>
      </c>
      <c r="O658">
        <v>0</v>
      </c>
      <c r="P658">
        <v>0</v>
      </c>
      <c r="Q658" t="s">
        <v>37</v>
      </c>
      <c r="R658" t="s">
        <v>29</v>
      </c>
      <c r="S658" t="s">
        <v>678</v>
      </c>
      <c r="T658" t="s">
        <v>679</v>
      </c>
    </row>
    <row r="659" spans="1:20" x14ac:dyDescent="0.25">
      <c r="A659" t="s">
        <v>2272</v>
      </c>
      <c r="B659" t="str">
        <f>"7254"</f>
        <v>7254</v>
      </c>
      <c r="C659" t="str">
        <f>"385067254"</f>
        <v>385067254</v>
      </c>
      <c r="D659" t="s">
        <v>2273</v>
      </c>
      <c r="E659" t="s">
        <v>991</v>
      </c>
      <c r="F659" t="s">
        <v>93</v>
      </c>
      <c r="G659" s="1">
        <v>31014</v>
      </c>
      <c r="H659" s="1">
        <v>41520</v>
      </c>
      <c r="I659" t="str">
        <f>"12"</f>
        <v>12</v>
      </c>
      <c r="J659" t="s">
        <v>245</v>
      </c>
      <c r="L659" t="s">
        <v>37</v>
      </c>
      <c r="M659" t="s">
        <v>143</v>
      </c>
      <c r="N659" s="1">
        <v>41617</v>
      </c>
      <c r="O659">
        <v>185.9</v>
      </c>
      <c r="P659">
        <v>-185.9</v>
      </c>
      <c r="Q659" t="s">
        <v>37</v>
      </c>
      <c r="R659" t="s">
        <v>29</v>
      </c>
      <c r="S659" t="s">
        <v>30</v>
      </c>
      <c r="T659" t="s">
        <v>31</v>
      </c>
    </row>
    <row r="660" spans="1:20" x14ac:dyDescent="0.25">
      <c r="A660" t="s">
        <v>2274</v>
      </c>
      <c r="B660" t="str">
        <f>"5665"</f>
        <v>5665</v>
      </c>
      <c r="C660" t="str">
        <f>"279825665"</f>
        <v>279825665</v>
      </c>
      <c r="D660" t="s">
        <v>2275</v>
      </c>
      <c r="E660" t="s">
        <v>2276</v>
      </c>
      <c r="F660" t="s">
        <v>264</v>
      </c>
      <c r="G660" s="1">
        <v>30786</v>
      </c>
      <c r="H660" s="1">
        <v>41519</v>
      </c>
      <c r="I660" t="str">
        <f>"03"</f>
        <v>03</v>
      </c>
      <c r="J660" t="s">
        <v>70</v>
      </c>
      <c r="K660" t="s">
        <v>98</v>
      </c>
      <c r="L660" t="s">
        <v>37</v>
      </c>
      <c r="M660" t="s">
        <v>117</v>
      </c>
      <c r="N660" s="1">
        <v>41631</v>
      </c>
      <c r="O660">
        <v>4951.96</v>
      </c>
      <c r="P660">
        <v>1237.8599999999999</v>
      </c>
      <c r="Q660" t="s">
        <v>37</v>
      </c>
      <c r="R660" t="s">
        <v>29</v>
      </c>
      <c r="S660" t="s">
        <v>615</v>
      </c>
      <c r="T660" t="s">
        <v>616</v>
      </c>
    </row>
    <row r="661" spans="1:20" x14ac:dyDescent="0.25">
      <c r="A661" t="s">
        <v>2277</v>
      </c>
      <c r="B661" t="str">
        <f>"2928"</f>
        <v>2928</v>
      </c>
      <c r="C661" t="str">
        <f>"286882928"</f>
        <v>286882928</v>
      </c>
      <c r="D661" t="s">
        <v>2278</v>
      </c>
      <c r="E661" t="s">
        <v>609</v>
      </c>
      <c r="F661" t="s">
        <v>2279</v>
      </c>
      <c r="G661" s="1">
        <v>28123</v>
      </c>
      <c r="H661" s="1">
        <v>41516</v>
      </c>
      <c r="I661" t="str">
        <f>"52"</f>
        <v>52</v>
      </c>
      <c r="J661" t="s">
        <v>330</v>
      </c>
      <c r="K661" t="s">
        <v>25</v>
      </c>
      <c r="L661" t="s">
        <v>26</v>
      </c>
      <c r="M661" t="s">
        <v>27</v>
      </c>
      <c r="N661" s="1">
        <v>18629</v>
      </c>
      <c r="O661">
        <v>0</v>
      </c>
      <c r="P661">
        <v>0</v>
      </c>
      <c r="Q661" t="s">
        <v>28</v>
      </c>
      <c r="R661" t="s">
        <v>71</v>
      </c>
      <c r="S661" t="s">
        <v>402</v>
      </c>
      <c r="T661" t="s">
        <v>403</v>
      </c>
    </row>
    <row r="662" spans="1:20" x14ac:dyDescent="0.25">
      <c r="A662" t="s">
        <v>2280</v>
      </c>
      <c r="B662" t="str">
        <f>"8117"</f>
        <v>8117</v>
      </c>
      <c r="C662" t="str">
        <f>"522628117"</f>
        <v>522628117</v>
      </c>
      <c r="D662" t="s">
        <v>2281</v>
      </c>
      <c r="E662" t="s">
        <v>22</v>
      </c>
      <c r="F662" t="s">
        <v>345</v>
      </c>
      <c r="G662" s="1">
        <v>21143</v>
      </c>
      <c r="H662" s="1">
        <v>41515</v>
      </c>
      <c r="I662" t="str">
        <f t="shared" ref="I662:I675" si="8">"51"</f>
        <v>51</v>
      </c>
      <c r="J662" t="s">
        <v>471</v>
      </c>
      <c r="K662" t="s">
        <v>25</v>
      </c>
      <c r="L662" t="s">
        <v>26</v>
      </c>
      <c r="M662" t="s">
        <v>27</v>
      </c>
      <c r="N662" s="1">
        <v>18629</v>
      </c>
      <c r="O662">
        <v>0</v>
      </c>
      <c r="P662">
        <v>0</v>
      </c>
      <c r="Q662" t="s">
        <v>28</v>
      </c>
      <c r="R662" t="s">
        <v>29</v>
      </c>
      <c r="S662" t="s">
        <v>717</v>
      </c>
      <c r="T662" t="s">
        <v>718</v>
      </c>
    </row>
    <row r="663" spans="1:20" x14ac:dyDescent="0.25">
      <c r="A663" t="s">
        <v>2282</v>
      </c>
      <c r="B663" t="str">
        <f>"3103"</f>
        <v>3103</v>
      </c>
      <c r="C663" t="str">
        <f>"274983103"</f>
        <v>274983103</v>
      </c>
      <c r="D663" t="s">
        <v>2283</v>
      </c>
      <c r="E663" t="s">
        <v>2284</v>
      </c>
      <c r="F663" t="s">
        <v>276</v>
      </c>
      <c r="G663" s="1">
        <v>23678</v>
      </c>
      <c r="H663" s="1">
        <v>41512</v>
      </c>
      <c r="I663" t="str">
        <f t="shared" si="8"/>
        <v>51</v>
      </c>
      <c r="J663" t="s">
        <v>471</v>
      </c>
      <c r="K663" t="s">
        <v>25</v>
      </c>
      <c r="L663" t="s">
        <v>26</v>
      </c>
      <c r="M663" t="s">
        <v>27</v>
      </c>
      <c r="N663" s="1">
        <v>18629</v>
      </c>
      <c r="O663">
        <v>0</v>
      </c>
      <c r="P663">
        <v>0</v>
      </c>
      <c r="Q663" t="s">
        <v>37</v>
      </c>
      <c r="R663" t="s">
        <v>29</v>
      </c>
      <c r="S663" t="s">
        <v>138</v>
      </c>
      <c r="T663" t="s">
        <v>139</v>
      </c>
    </row>
    <row r="664" spans="1:20" x14ac:dyDescent="0.25">
      <c r="A664" t="s">
        <v>2285</v>
      </c>
      <c r="B664" t="str">
        <f>"7265"</f>
        <v>7265</v>
      </c>
      <c r="C664" t="str">
        <f>"031217265"</f>
        <v>031217265</v>
      </c>
      <c r="D664" t="s">
        <v>2286</v>
      </c>
      <c r="E664" t="s">
        <v>2287</v>
      </c>
      <c r="G664" s="1">
        <v>28043</v>
      </c>
      <c r="H664" s="1">
        <v>41512</v>
      </c>
      <c r="I664" t="str">
        <f t="shared" si="8"/>
        <v>51</v>
      </c>
      <c r="J664" t="s">
        <v>471</v>
      </c>
      <c r="K664" t="s">
        <v>25</v>
      </c>
      <c r="L664" t="s">
        <v>26</v>
      </c>
      <c r="M664" t="s">
        <v>27</v>
      </c>
      <c r="N664" s="1">
        <v>18629</v>
      </c>
      <c r="O664">
        <v>0</v>
      </c>
      <c r="P664">
        <v>0</v>
      </c>
      <c r="Q664" t="s">
        <v>28</v>
      </c>
      <c r="R664" t="s">
        <v>71</v>
      </c>
      <c r="S664" t="s">
        <v>1499</v>
      </c>
      <c r="T664" t="s">
        <v>1500</v>
      </c>
    </row>
    <row r="665" spans="1:20" x14ac:dyDescent="0.25">
      <c r="A665" t="s">
        <v>2288</v>
      </c>
      <c r="B665" t="str">
        <f>"8772"</f>
        <v>8772</v>
      </c>
      <c r="C665" t="str">
        <f>"272588772"</f>
        <v>272588772</v>
      </c>
      <c r="D665" t="s">
        <v>2289</v>
      </c>
      <c r="E665" t="s">
        <v>2290</v>
      </c>
      <c r="F665" t="s">
        <v>28</v>
      </c>
      <c r="G665" s="1">
        <v>20494</v>
      </c>
      <c r="H665" s="1">
        <v>41512</v>
      </c>
      <c r="I665" t="str">
        <f t="shared" si="8"/>
        <v>51</v>
      </c>
      <c r="J665" t="s">
        <v>471</v>
      </c>
      <c r="K665" t="s">
        <v>25</v>
      </c>
      <c r="L665" t="s">
        <v>26</v>
      </c>
      <c r="M665" t="s">
        <v>27</v>
      </c>
      <c r="N665" s="1">
        <v>18629</v>
      </c>
      <c r="O665">
        <v>0</v>
      </c>
      <c r="P665">
        <v>0</v>
      </c>
      <c r="Q665" t="s">
        <v>28</v>
      </c>
      <c r="R665" t="s">
        <v>100</v>
      </c>
      <c r="S665" t="s">
        <v>1392</v>
      </c>
      <c r="T665" t="s">
        <v>1393</v>
      </c>
    </row>
    <row r="666" spans="1:20" x14ac:dyDescent="0.25">
      <c r="A666" t="s">
        <v>2291</v>
      </c>
      <c r="B666" t="str">
        <f>"4060"</f>
        <v>4060</v>
      </c>
      <c r="C666" t="str">
        <f>"370084060"</f>
        <v>370084060</v>
      </c>
      <c r="D666" t="s">
        <v>2292</v>
      </c>
      <c r="E666" t="s">
        <v>569</v>
      </c>
      <c r="F666" t="s">
        <v>93</v>
      </c>
      <c r="G666" s="1">
        <v>31638</v>
      </c>
      <c r="H666" s="1">
        <v>41512</v>
      </c>
      <c r="I666" t="str">
        <f t="shared" si="8"/>
        <v>51</v>
      </c>
      <c r="J666" t="s">
        <v>471</v>
      </c>
      <c r="K666" t="s">
        <v>25</v>
      </c>
      <c r="L666" t="s">
        <v>26</v>
      </c>
      <c r="M666" t="s">
        <v>27</v>
      </c>
      <c r="N666" s="1">
        <v>18629</v>
      </c>
      <c r="O666">
        <v>0</v>
      </c>
      <c r="P666">
        <v>0</v>
      </c>
      <c r="Q666" t="s">
        <v>28</v>
      </c>
      <c r="R666" t="s">
        <v>29</v>
      </c>
      <c r="S666" t="s">
        <v>717</v>
      </c>
      <c r="T666" t="s">
        <v>718</v>
      </c>
    </row>
    <row r="667" spans="1:20" x14ac:dyDescent="0.25">
      <c r="A667" t="s">
        <v>2293</v>
      </c>
      <c r="B667" t="str">
        <f>"6414"</f>
        <v>6414</v>
      </c>
      <c r="C667" t="str">
        <f>"332686414"</f>
        <v>332686414</v>
      </c>
      <c r="D667" t="s">
        <v>2294</v>
      </c>
      <c r="E667" t="s">
        <v>304</v>
      </c>
      <c r="G667" s="1">
        <v>25957</v>
      </c>
      <c r="H667" s="1">
        <v>41512</v>
      </c>
      <c r="I667" t="str">
        <f t="shared" si="8"/>
        <v>51</v>
      </c>
      <c r="J667" t="s">
        <v>471</v>
      </c>
      <c r="K667" t="s">
        <v>25</v>
      </c>
      <c r="L667" t="s">
        <v>26</v>
      </c>
      <c r="M667" t="s">
        <v>27</v>
      </c>
      <c r="N667" s="1">
        <v>18629</v>
      </c>
      <c r="O667">
        <v>0</v>
      </c>
      <c r="P667">
        <v>0</v>
      </c>
      <c r="Q667" t="s">
        <v>28</v>
      </c>
      <c r="R667" t="s">
        <v>71</v>
      </c>
      <c r="S667" t="s">
        <v>157</v>
      </c>
      <c r="T667" t="s">
        <v>158</v>
      </c>
    </row>
    <row r="668" spans="1:20" x14ac:dyDescent="0.25">
      <c r="A668" t="s">
        <v>2295</v>
      </c>
      <c r="B668" t="str">
        <f>"8498"</f>
        <v>8498</v>
      </c>
      <c r="C668" t="str">
        <f>"163568498"</f>
        <v>163568498</v>
      </c>
      <c r="D668" t="s">
        <v>2296</v>
      </c>
      <c r="E668" t="s">
        <v>1813</v>
      </c>
      <c r="F668" t="s">
        <v>93</v>
      </c>
      <c r="G668" s="1">
        <v>22373</v>
      </c>
      <c r="H668" s="1">
        <v>41512</v>
      </c>
      <c r="I668" t="str">
        <f t="shared" si="8"/>
        <v>51</v>
      </c>
      <c r="J668" t="s">
        <v>471</v>
      </c>
      <c r="K668" t="s">
        <v>25</v>
      </c>
      <c r="L668" t="s">
        <v>26</v>
      </c>
      <c r="M668" t="s">
        <v>27</v>
      </c>
      <c r="N668" s="1">
        <v>18629</v>
      </c>
      <c r="O668">
        <v>0</v>
      </c>
      <c r="P668">
        <v>0</v>
      </c>
      <c r="Q668" t="s">
        <v>37</v>
      </c>
      <c r="R668" t="s">
        <v>71</v>
      </c>
      <c r="S668" t="s">
        <v>2297</v>
      </c>
      <c r="T668" t="s">
        <v>2298</v>
      </c>
    </row>
    <row r="669" spans="1:20" x14ac:dyDescent="0.25">
      <c r="A669" t="s">
        <v>2299</v>
      </c>
      <c r="B669" t="str">
        <f>"9881"</f>
        <v>9881</v>
      </c>
      <c r="C669" t="str">
        <f>"292529881"</f>
        <v>292529881</v>
      </c>
      <c r="D669" t="s">
        <v>2300</v>
      </c>
      <c r="E669" t="s">
        <v>1907</v>
      </c>
      <c r="F669" t="s">
        <v>69</v>
      </c>
      <c r="G669" s="1">
        <v>19293</v>
      </c>
      <c r="H669" s="1">
        <v>41512</v>
      </c>
      <c r="I669" t="str">
        <f t="shared" si="8"/>
        <v>51</v>
      </c>
      <c r="J669" t="s">
        <v>471</v>
      </c>
      <c r="K669" t="s">
        <v>25</v>
      </c>
      <c r="L669" t="s">
        <v>26</v>
      </c>
      <c r="M669" t="s">
        <v>27</v>
      </c>
      <c r="N669" s="1">
        <v>18629</v>
      </c>
      <c r="O669">
        <v>0</v>
      </c>
      <c r="P669">
        <v>0</v>
      </c>
      <c r="Q669" t="s">
        <v>28</v>
      </c>
      <c r="R669" t="s">
        <v>71</v>
      </c>
      <c r="S669" t="s">
        <v>305</v>
      </c>
      <c r="T669" t="s">
        <v>306</v>
      </c>
    </row>
    <row r="670" spans="1:20" x14ac:dyDescent="0.25">
      <c r="A670" t="s">
        <v>2301</v>
      </c>
      <c r="B670" t="str">
        <f>"9731"</f>
        <v>9731</v>
      </c>
      <c r="C670" t="str">
        <f>"314969731"</f>
        <v>314969731</v>
      </c>
      <c r="D670" t="s">
        <v>2302</v>
      </c>
      <c r="E670" t="s">
        <v>2303</v>
      </c>
      <c r="F670" t="s">
        <v>219</v>
      </c>
      <c r="G670" s="1">
        <v>31540</v>
      </c>
      <c r="H670" s="1">
        <v>41512</v>
      </c>
      <c r="I670" t="str">
        <f t="shared" si="8"/>
        <v>51</v>
      </c>
      <c r="J670" t="s">
        <v>471</v>
      </c>
      <c r="K670" t="s">
        <v>25</v>
      </c>
      <c r="L670" t="s">
        <v>26</v>
      </c>
      <c r="M670" t="s">
        <v>27</v>
      </c>
      <c r="N670" s="1">
        <v>18629</v>
      </c>
      <c r="O670">
        <v>0</v>
      </c>
      <c r="P670">
        <v>0</v>
      </c>
      <c r="Q670" t="s">
        <v>37</v>
      </c>
      <c r="R670" t="s">
        <v>71</v>
      </c>
      <c r="S670" t="s">
        <v>790</v>
      </c>
      <c r="T670" t="s">
        <v>791</v>
      </c>
    </row>
    <row r="671" spans="1:20" x14ac:dyDescent="0.25">
      <c r="A671" t="s">
        <v>2304</v>
      </c>
      <c r="B671" t="str">
        <f>"3416"</f>
        <v>3416</v>
      </c>
      <c r="C671" t="str">
        <f>"302703416"</f>
        <v>302703416</v>
      </c>
      <c r="D671" t="s">
        <v>2305</v>
      </c>
      <c r="E671" t="s">
        <v>106</v>
      </c>
      <c r="F671" t="s">
        <v>197</v>
      </c>
      <c r="G671" s="1">
        <v>26597</v>
      </c>
      <c r="H671" s="1">
        <v>41512</v>
      </c>
      <c r="I671" t="str">
        <f t="shared" si="8"/>
        <v>51</v>
      </c>
      <c r="J671" t="s">
        <v>471</v>
      </c>
      <c r="K671" t="s">
        <v>25</v>
      </c>
      <c r="L671" t="s">
        <v>26</v>
      </c>
      <c r="M671" t="s">
        <v>27</v>
      </c>
      <c r="N671" s="1">
        <v>18629</v>
      </c>
      <c r="O671">
        <v>0</v>
      </c>
      <c r="P671">
        <v>0</v>
      </c>
      <c r="Q671" t="s">
        <v>28</v>
      </c>
      <c r="R671" t="s">
        <v>71</v>
      </c>
      <c r="S671" t="s">
        <v>871</v>
      </c>
      <c r="T671" t="s">
        <v>872</v>
      </c>
    </row>
    <row r="672" spans="1:20" x14ac:dyDescent="0.25">
      <c r="A672" t="s">
        <v>2306</v>
      </c>
      <c r="B672" t="str">
        <f>"7281"</f>
        <v>7281</v>
      </c>
      <c r="C672" t="str">
        <f>"272547281"</f>
        <v>272547281</v>
      </c>
      <c r="D672" t="s">
        <v>2307</v>
      </c>
      <c r="E672" t="s">
        <v>2308</v>
      </c>
      <c r="F672" t="s">
        <v>49</v>
      </c>
      <c r="G672" s="1">
        <v>19457</v>
      </c>
      <c r="H672" s="1">
        <v>41512</v>
      </c>
      <c r="I672" t="str">
        <f t="shared" si="8"/>
        <v>51</v>
      </c>
      <c r="J672" t="s">
        <v>471</v>
      </c>
      <c r="K672" t="s">
        <v>25</v>
      </c>
      <c r="L672" t="s">
        <v>26</v>
      </c>
      <c r="M672" t="s">
        <v>27</v>
      </c>
      <c r="N672" s="1">
        <v>18629</v>
      </c>
      <c r="O672">
        <v>0</v>
      </c>
      <c r="P672">
        <v>0</v>
      </c>
      <c r="Q672" t="s">
        <v>37</v>
      </c>
      <c r="R672" t="s">
        <v>51</v>
      </c>
      <c r="S672" s="2" t="s">
        <v>2202</v>
      </c>
      <c r="T672" t="s">
        <v>2203</v>
      </c>
    </row>
    <row r="673" spans="1:20" x14ac:dyDescent="0.25">
      <c r="A673" t="s">
        <v>2309</v>
      </c>
      <c r="B673" t="str">
        <f>"4077"</f>
        <v>4077</v>
      </c>
      <c r="C673" t="str">
        <f>"283744077"</f>
        <v>283744077</v>
      </c>
      <c r="D673" t="s">
        <v>2310</v>
      </c>
      <c r="E673" t="s">
        <v>2311</v>
      </c>
      <c r="F673" t="s">
        <v>44</v>
      </c>
      <c r="G673" s="1">
        <v>27711</v>
      </c>
      <c r="H673" s="1">
        <v>41512</v>
      </c>
      <c r="I673" t="str">
        <f t="shared" si="8"/>
        <v>51</v>
      </c>
      <c r="J673" t="s">
        <v>471</v>
      </c>
      <c r="K673" t="s">
        <v>25</v>
      </c>
      <c r="L673" t="s">
        <v>26</v>
      </c>
      <c r="M673" t="s">
        <v>27</v>
      </c>
      <c r="N673" s="1">
        <v>18629</v>
      </c>
      <c r="O673">
        <v>0</v>
      </c>
      <c r="P673">
        <v>0</v>
      </c>
      <c r="Q673" t="s">
        <v>37</v>
      </c>
      <c r="R673" t="s">
        <v>29</v>
      </c>
      <c r="S673" t="s">
        <v>2312</v>
      </c>
      <c r="T673" t="s">
        <v>2313</v>
      </c>
    </row>
    <row r="674" spans="1:20" x14ac:dyDescent="0.25">
      <c r="A674" t="s">
        <v>2314</v>
      </c>
      <c r="B674" t="str">
        <f>"7604"</f>
        <v>7604</v>
      </c>
      <c r="C674" t="str">
        <f>"299807604"</f>
        <v>299807604</v>
      </c>
      <c r="D674" t="s">
        <v>2315</v>
      </c>
      <c r="E674" t="s">
        <v>109</v>
      </c>
      <c r="F674" t="s">
        <v>264</v>
      </c>
      <c r="G674" s="1">
        <v>28316</v>
      </c>
      <c r="H674" s="1">
        <v>41512</v>
      </c>
      <c r="I674" t="str">
        <f t="shared" si="8"/>
        <v>51</v>
      </c>
      <c r="J674" t="s">
        <v>471</v>
      </c>
      <c r="K674" t="s">
        <v>25</v>
      </c>
      <c r="L674" t="s">
        <v>26</v>
      </c>
      <c r="M674" t="s">
        <v>27</v>
      </c>
      <c r="N674" s="1">
        <v>18629</v>
      </c>
      <c r="O674">
        <v>0</v>
      </c>
      <c r="P674">
        <v>0</v>
      </c>
      <c r="Q674" t="s">
        <v>37</v>
      </c>
      <c r="R674" t="s">
        <v>599</v>
      </c>
      <c r="S674" t="s">
        <v>157</v>
      </c>
      <c r="T674" t="s">
        <v>158</v>
      </c>
    </row>
    <row r="675" spans="1:20" x14ac:dyDescent="0.25">
      <c r="A675" t="s">
        <v>2316</v>
      </c>
      <c r="B675" t="str">
        <f>"8927"</f>
        <v>8927</v>
      </c>
      <c r="C675" t="str">
        <f>"279848927"</f>
        <v>279848927</v>
      </c>
      <c r="D675" t="s">
        <v>2317</v>
      </c>
      <c r="E675" t="s">
        <v>588</v>
      </c>
      <c r="F675" t="s">
        <v>174</v>
      </c>
      <c r="G675" s="1">
        <v>25670</v>
      </c>
      <c r="H675" s="1">
        <v>41512</v>
      </c>
      <c r="I675" t="str">
        <f t="shared" si="8"/>
        <v>51</v>
      </c>
      <c r="J675" t="s">
        <v>471</v>
      </c>
      <c r="K675" t="s">
        <v>25</v>
      </c>
      <c r="L675" t="s">
        <v>26</v>
      </c>
      <c r="M675" t="s">
        <v>27</v>
      </c>
      <c r="N675" s="1">
        <v>18629</v>
      </c>
      <c r="O675">
        <v>0</v>
      </c>
      <c r="P675">
        <v>0</v>
      </c>
      <c r="Q675" t="s">
        <v>28</v>
      </c>
      <c r="R675" t="s">
        <v>51</v>
      </c>
      <c r="S675" s="2" t="s">
        <v>2318</v>
      </c>
      <c r="T675" t="s">
        <v>2319</v>
      </c>
    </row>
    <row r="676" spans="1:20" x14ac:dyDescent="0.25">
      <c r="A676" t="s">
        <v>2320</v>
      </c>
      <c r="B676" t="str">
        <f>"0463"</f>
        <v>0463</v>
      </c>
      <c r="C676" t="str">
        <f>"293840463"</f>
        <v>293840463</v>
      </c>
      <c r="D676" t="s">
        <v>2321</v>
      </c>
      <c r="E676" t="s">
        <v>2322</v>
      </c>
      <c r="F676" t="s">
        <v>44</v>
      </c>
      <c r="G676" s="1">
        <v>28643</v>
      </c>
      <c r="H676" s="1">
        <v>41512</v>
      </c>
      <c r="I676" t="str">
        <f>"41"</f>
        <v>41</v>
      </c>
      <c r="J676" t="s">
        <v>24</v>
      </c>
      <c r="K676" t="s">
        <v>25</v>
      </c>
      <c r="L676" t="s">
        <v>26</v>
      </c>
      <c r="M676" t="s">
        <v>27</v>
      </c>
      <c r="N676" s="1">
        <v>18629</v>
      </c>
      <c r="O676">
        <v>0</v>
      </c>
      <c r="P676">
        <v>0</v>
      </c>
      <c r="Q676" t="s">
        <v>28</v>
      </c>
      <c r="R676" t="s">
        <v>71</v>
      </c>
      <c r="S676" t="s">
        <v>402</v>
      </c>
      <c r="T676" t="s">
        <v>403</v>
      </c>
    </row>
    <row r="677" spans="1:20" x14ac:dyDescent="0.25">
      <c r="A677" t="s">
        <v>2323</v>
      </c>
      <c r="B677" t="str">
        <f>"1619"</f>
        <v>1619</v>
      </c>
      <c r="C677" t="str">
        <f>"294901619"</f>
        <v>294901619</v>
      </c>
      <c r="D677" t="s">
        <v>2321</v>
      </c>
      <c r="E677" t="s">
        <v>2324</v>
      </c>
      <c r="F677" t="s">
        <v>93</v>
      </c>
      <c r="G677" s="1">
        <v>31985</v>
      </c>
      <c r="H677" s="1">
        <v>41512</v>
      </c>
      <c r="I677" t="str">
        <f>"41"</f>
        <v>41</v>
      </c>
      <c r="J677" t="s">
        <v>24</v>
      </c>
      <c r="K677" t="s">
        <v>25</v>
      </c>
      <c r="L677" t="s">
        <v>26</v>
      </c>
      <c r="M677" t="s">
        <v>27</v>
      </c>
      <c r="N677" s="1">
        <v>18629</v>
      </c>
      <c r="O677">
        <v>0</v>
      </c>
      <c r="P677">
        <v>0</v>
      </c>
      <c r="Q677" t="s">
        <v>37</v>
      </c>
      <c r="R677" t="s">
        <v>71</v>
      </c>
      <c r="S677" t="s">
        <v>402</v>
      </c>
      <c r="T677" t="s">
        <v>403</v>
      </c>
    </row>
    <row r="678" spans="1:20" x14ac:dyDescent="0.25">
      <c r="A678" t="s">
        <v>2325</v>
      </c>
      <c r="B678" t="str">
        <f>"3338"</f>
        <v>3338</v>
      </c>
      <c r="C678" t="str">
        <f>"438513338"</f>
        <v>438513338</v>
      </c>
      <c r="D678" t="s">
        <v>2326</v>
      </c>
      <c r="E678" t="s">
        <v>654</v>
      </c>
      <c r="F678" t="s">
        <v>44</v>
      </c>
      <c r="G678" s="1">
        <v>29321</v>
      </c>
      <c r="H678" s="1">
        <v>41512</v>
      </c>
      <c r="I678" t="str">
        <f t="shared" ref="I678:I692" si="9">"51"</f>
        <v>51</v>
      </c>
      <c r="J678" t="s">
        <v>471</v>
      </c>
      <c r="K678" t="s">
        <v>25</v>
      </c>
      <c r="L678" t="s">
        <v>26</v>
      </c>
      <c r="M678" t="s">
        <v>27</v>
      </c>
      <c r="N678" s="1">
        <v>18629</v>
      </c>
      <c r="O678">
        <v>0</v>
      </c>
      <c r="P678">
        <v>0</v>
      </c>
      <c r="Q678" t="s">
        <v>37</v>
      </c>
      <c r="R678" t="s">
        <v>29</v>
      </c>
      <c r="S678" t="s">
        <v>138</v>
      </c>
      <c r="T678" t="s">
        <v>139</v>
      </c>
    </row>
    <row r="679" spans="1:20" x14ac:dyDescent="0.25">
      <c r="A679" t="s">
        <v>2327</v>
      </c>
      <c r="B679" t="str">
        <f>"1516"</f>
        <v>1516</v>
      </c>
      <c r="C679" t="str">
        <f>"268821516"</f>
        <v>268821516</v>
      </c>
      <c r="D679" t="s">
        <v>2328</v>
      </c>
      <c r="E679" t="s">
        <v>2329</v>
      </c>
      <c r="F679" t="s">
        <v>219</v>
      </c>
      <c r="G679" s="1">
        <v>30097</v>
      </c>
      <c r="H679" s="1">
        <v>41512</v>
      </c>
      <c r="I679" t="str">
        <f t="shared" si="9"/>
        <v>51</v>
      </c>
      <c r="J679" t="s">
        <v>471</v>
      </c>
      <c r="K679" t="s">
        <v>25</v>
      </c>
      <c r="L679" t="s">
        <v>26</v>
      </c>
      <c r="M679" t="s">
        <v>27</v>
      </c>
      <c r="N679" s="1">
        <v>18629</v>
      </c>
      <c r="O679">
        <v>0</v>
      </c>
      <c r="P679">
        <v>0</v>
      </c>
      <c r="Q679" t="s">
        <v>28</v>
      </c>
      <c r="R679" t="s">
        <v>71</v>
      </c>
      <c r="S679" t="s">
        <v>790</v>
      </c>
      <c r="T679" t="s">
        <v>791</v>
      </c>
    </row>
    <row r="680" spans="1:20" x14ac:dyDescent="0.25">
      <c r="A680" t="s">
        <v>2330</v>
      </c>
      <c r="B680" t="str">
        <f>"2894"</f>
        <v>2894</v>
      </c>
      <c r="C680" t="str">
        <f>"286482894"</f>
        <v>286482894</v>
      </c>
      <c r="D680" t="s">
        <v>2331</v>
      </c>
      <c r="E680" t="s">
        <v>2332</v>
      </c>
      <c r="F680" t="s">
        <v>93</v>
      </c>
      <c r="G680" s="1">
        <v>18652</v>
      </c>
      <c r="H680" s="1">
        <v>41512</v>
      </c>
      <c r="I680" t="str">
        <f t="shared" si="9"/>
        <v>51</v>
      </c>
      <c r="J680" t="s">
        <v>471</v>
      </c>
      <c r="K680" t="s">
        <v>25</v>
      </c>
      <c r="L680" t="s">
        <v>26</v>
      </c>
      <c r="M680" t="s">
        <v>27</v>
      </c>
      <c r="N680" s="1">
        <v>18629</v>
      </c>
      <c r="O680">
        <v>0</v>
      </c>
      <c r="P680">
        <v>0</v>
      </c>
      <c r="Q680" t="s">
        <v>28</v>
      </c>
      <c r="R680" t="s">
        <v>51</v>
      </c>
      <c r="S680" s="2" t="s">
        <v>2333</v>
      </c>
      <c r="T680" t="s">
        <v>2334</v>
      </c>
    </row>
    <row r="681" spans="1:20" x14ac:dyDescent="0.25">
      <c r="A681" t="s">
        <v>2335</v>
      </c>
      <c r="B681" t="str">
        <f>"0407"</f>
        <v>0407</v>
      </c>
      <c r="C681" t="str">
        <f>"278520407"</f>
        <v>278520407</v>
      </c>
      <c r="D681" t="s">
        <v>2336</v>
      </c>
      <c r="E681" t="s">
        <v>509</v>
      </c>
      <c r="F681" t="s">
        <v>174</v>
      </c>
      <c r="G681" s="1">
        <v>18814</v>
      </c>
      <c r="H681" s="1">
        <v>41512</v>
      </c>
      <c r="I681" t="str">
        <f t="shared" si="9"/>
        <v>51</v>
      </c>
      <c r="J681" t="s">
        <v>471</v>
      </c>
      <c r="K681" t="s">
        <v>25</v>
      </c>
      <c r="L681" t="s">
        <v>26</v>
      </c>
      <c r="M681" t="s">
        <v>27</v>
      </c>
      <c r="N681" s="1">
        <v>18629</v>
      </c>
      <c r="O681">
        <v>0</v>
      </c>
      <c r="P681">
        <v>0</v>
      </c>
      <c r="Q681" t="s">
        <v>37</v>
      </c>
      <c r="R681" t="s">
        <v>29</v>
      </c>
      <c r="S681" t="s">
        <v>717</v>
      </c>
      <c r="T681" t="s">
        <v>718</v>
      </c>
    </row>
    <row r="682" spans="1:20" x14ac:dyDescent="0.25">
      <c r="A682" t="s">
        <v>2337</v>
      </c>
      <c r="B682" t="str">
        <f>"0822"</f>
        <v>0822</v>
      </c>
      <c r="C682" t="str">
        <f>"293640822"</f>
        <v>293640822</v>
      </c>
      <c r="D682" t="s">
        <v>2338</v>
      </c>
      <c r="E682" t="s">
        <v>2339</v>
      </c>
      <c r="F682" t="s">
        <v>93</v>
      </c>
      <c r="G682" s="1">
        <v>27018</v>
      </c>
      <c r="H682" s="1">
        <v>41512</v>
      </c>
      <c r="I682" t="str">
        <f t="shared" si="9"/>
        <v>51</v>
      </c>
      <c r="J682" t="s">
        <v>471</v>
      </c>
      <c r="K682" t="s">
        <v>25</v>
      </c>
      <c r="L682" t="s">
        <v>26</v>
      </c>
      <c r="M682" t="s">
        <v>27</v>
      </c>
      <c r="N682" s="1">
        <v>18629</v>
      </c>
      <c r="O682">
        <v>0</v>
      </c>
      <c r="P682">
        <v>0</v>
      </c>
      <c r="Q682" t="s">
        <v>37</v>
      </c>
      <c r="R682" t="s">
        <v>29</v>
      </c>
      <c r="S682" t="s">
        <v>138</v>
      </c>
      <c r="T682" t="s">
        <v>139</v>
      </c>
    </row>
    <row r="683" spans="1:20" x14ac:dyDescent="0.25">
      <c r="A683" t="s">
        <v>2340</v>
      </c>
      <c r="B683" t="str">
        <f>"4464"</f>
        <v>4464</v>
      </c>
      <c r="C683" t="str">
        <f>"274884464"</f>
        <v>274884464</v>
      </c>
      <c r="D683" t="s">
        <v>2341</v>
      </c>
      <c r="E683" t="s">
        <v>619</v>
      </c>
      <c r="F683" t="s">
        <v>93</v>
      </c>
      <c r="G683" s="1">
        <v>30047</v>
      </c>
      <c r="H683" s="1">
        <v>41512</v>
      </c>
      <c r="I683" t="str">
        <f t="shared" si="9"/>
        <v>51</v>
      </c>
      <c r="J683" t="s">
        <v>471</v>
      </c>
      <c r="K683" t="s">
        <v>25</v>
      </c>
      <c r="L683" t="s">
        <v>26</v>
      </c>
      <c r="M683" t="s">
        <v>27</v>
      </c>
      <c r="N683" s="1">
        <v>18629</v>
      </c>
      <c r="O683">
        <v>0</v>
      </c>
      <c r="P683">
        <v>0</v>
      </c>
      <c r="Q683" t="s">
        <v>37</v>
      </c>
      <c r="R683" t="s">
        <v>29</v>
      </c>
      <c r="S683" t="s">
        <v>138</v>
      </c>
      <c r="T683" t="s">
        <v>139</v>
      </c>
    </row>
    <row r="684" spans="1:20" x14ac:dyDescent="0.25">
      <c r="A684" t="s">
        <v>2342</v>
      </c>
      <c r="B684" t="str">
        <f>"0141"</f>
        <v>0141</v>
      </c>
      <c r="C684" t="str">
        <f>"220740141"</f>
        <v>220740141</v>
      </c>
      <c r="D684" t="s">
        <v>2012</v>
      </c>
      <c r="E684" t="s">
        <v>35</v>
      </c>
      <c r="F684" t="s">
        <v>69</v>
      </c>
      <c r="G684" s="1">
        <v>21342</v>
      </c>
      <c r="H684" s="1">
        <v>41512</v>
      </c>
      <c r="I684" t="str">
        <f t="shared" si="9"/>
        <v>51</v>
      </c>
      <c r="J684" t="s">
        <v>471</v>
      </c>
      <c r="K684" t="s">
        <v>25</v>
      </c>
      <c r="L684" t="s">
        <v>26</v>
      </c>
      <c r="M684" t="s">
        <v>27</v>
      </c>
      <c r="N684" s="1">
        <v>18629</v>
      </c>
      <c r="O684">
        <v>0</v>
      </c>
      <c r="P684">
        <v>0</v>
      </c>
      <c r="Q684" t="s">
        <v>28</v>
      </c>
      <c r="R684" t="s">
        <v>51</v>
      </c>
      <c r="S684" s="2" t="s">
        <v>2202</v>
      </c>
      <c r="T684" t="s">
        <v>2203</v>
      </c>
    </row>
    <row r="685" spans="1:20" x14ac:dyDescent="0.25">
      <c r="A685" t="s">
        <v>2343</v>
      </c>
      <c r="B685" t="str">
        <f>"7010"</f>
        <v>7010</v>
      </c>
      <c r="C685" t="str">
        <f>"278687010"</f>
        <v>278687010</v>
      </c>
      <c r="D685" t="s">
        <v>2238</v>
      </c>
      <c r="E685" t="s">
        <v>2344</v>
      </c>
      <c r="F685" t="s">
        <v>28</v>
      </c>
      <c r="G685" s="1">
        <v>25996</v>
      </c>
      <c r="H685" s="1">
        <v>41512</v>
      </c>
      <c r="I685" t="str">
        <f t="shared" si="9"/>
        <v>51</v>
      </c>
      <c r="J685" t="s">
        <v>471</v>
      </c>
      <c r="K685" t="s">
        <v>25</v>
      </c>
      <c r="L685" t="s">
        <v>26</v>
      </c>
      <c r="M685" t="s">
        <v>27</v>
      </c>
      <c r="N685" s="1">
        <v>18629</v>
      </c>
      <c r="O685">
        <v>0</v>
      </c>
      <c r="P685">
        <v>0</v>
      </c>
      <c r="Q685" t="s">
        <v>37</v>
      </c>
      <c r="R685" t="s">
        <v>51</v>
      </c>
      <c r="S685" s="2" t="s">
        <v>1656</v>
      </c>
      <c r="T685" t="s">
        <v>1657</v>
      </c>
    </row>
    <row r="686" spans="1:20" x14ac:dyDescent="0.25">
      <c r="A686" t="s">
        <v>2345</v>
      </c>
      <c r="B686" t="str">
        <f>"1340"</f>
        <v>1340</v>
      </c>
      <c r="C686" t="str">
        <f>"299661340"</f>
        <v>299661340</v>
      </c>
      <c r="D686" t="s">
        <v>2346</v>
      </c>
      <c r="E686" t="s">
        <v>1489</v>
      </c>
      <c r="F686" t="s">
        <v>28</v>
      </c>
      <c r="G686" s="1">
        <v>22033</v>
      </c>
      <c r="H686" s="1">
        <v>41512</v>
      </c>
      <c r="I686" t="str">
        <f t="shared" si="9"/>
        <v>51</v>
      </c>
      <c r="J686" t="s">
        <v>471</v>
      </c>
      <c r="K686" t="s">
        <v>25</v>
      </c>
      <c r="L686" t="s">
        <v>26</v>
      </c>
      <c r="M686" t="s">
        <v>27</v>
      </c>
      <c r="N686" s="1">
        <v>18629</v>
      </c>
      <c r="O686">
        <v>0</v>
      </c>
      <c r="P686">
        <v>0</v>
      </c>
      <c r="Q686" t="s">
        <v>37</v>
      </c>
      <c r="R686" t="s">
        <v>71</v>
      </c>
      <c r="S686" t="s">
        <v>1474</v>
      </c>
      <c r="T686" t="s">
        <v>1475</v>
      </c>
    </row>
    <row r="687" spans="1:20" x14ac:dyDescent="0.25">
      <c r="A687" t="s">
        <v>2347</v>
      </c>
      <c r="B687" t="str">
        <f>"6893"</f>
        <v>6893</v>
      </c>
      <c r="C687" t="str">
        <f>"364236893"</f>
        <v>364236893</v>
      </c>
      <c r="D687" t="s">
        <v>2348</v>
      </c>
      <c r="E687" t="s">
        <v>583</v>
      </c>
      <c r="F687" t="s">
        <v>93</v>
      </c>
      <c r="G687" s="1">
        <v>21995</v>
      </c>
      <c r="H687" s="1">
        <v>41512</v>
      </c>
      <c r="I687" t="str">
        <f t="shared" si="9"/>
        <v>51</v>
      </c>
      <c r="J687" t="s">
        <v>471</v>
      </c>
      <c r="K687" t="s">
        <v>25</v>
      </c>
      <c r="L687" t="s">
        <v>26</v>
      </c>
      <c r="M687" t="s">
        <v>27</v>
      </c>
      <c r="N687" s="1">
        <v>18629</v>
      </c>
      <c r="O687">
        <v>0</v>
      </c>
      <c r="P687">
        <v>0</v>
      </c>
      <c r="Q687" t="s">
        <v>37</v>
      </c>
      <c r="R687" t="s">
        <v>29</v>
      </c>
      <c r="S687" t="s">
        <v>1572</v>
      </c>
      <c r="T687" t="s">
        <v>1573</v>
      </c>
    </row>
    <row r="688" spans="1:20" x14ac:dyDescent="0.25">
      <c r="A688" t="s">
        <v>2349</v>
      </c>
      <c r="B688" t="str">
        <f>"6565"</f>
        <v>6565</v>
      </c>
      <c r="C688" t="str">
        <f>"270646565"</f>
        <v>270646565</v>
      </c>
      <c r="D688" t="s">
        <v>2350</v>
      </c>
      <c r="E688" t="s">
        <v>2351</v>
      </c>
      <c r="G688" s="1">
        <v>20902</v>
      </c>
      <c r="H688" s="1">
        <v>41512</v>
      </c>
      <c r="I688" t="str">
        <f t="shared" si="9"/>
        <v>51</v>
      </c>
      <c r="J688" t="s">
        <v>471</v>
      </c>
      <c r="K688" t="s">
        <v>25</v>
      </c>
      <c r="L688" t="s">
        <v>26</v>
      </c>
      <c r="M688" t="s">
        <v>27</v>
      </c>
      <c r="N688" s="1">
        <v>18629</v>
      </c>
      <c r="O688">
        <v>0</v>
      </c>
      <c r="P688">
        <v>0</v>
      </c>
      <c r="Q688" t="s">
        <v>37</v>
      </c>
      <c r="R688" t="s">
        <v>29</v>
      </c>
      <c r="S688" t="s">
        <v>138</v>
      </c>
      <c r="T688" t="s">
        <v>139</v>
      </c>
    </row>
    <row r="689" spans="1:20" x14ac:dyDescent="0.25">
      <c r="A689" t="s">
        <v>2352</v>
      </c>
      <c r="B689" t="str">
        <f>"8908"</f>
        <v>8908</v>
      </c>
      <c r="C689" t="str">
        <f>"279908908"</f>
        <v>279908908</v>
      </c>
      <c r="D689" t="s">
        <v>2353</v>
      </c>
      <c r="E689" t="s">
        <v>2354</v>
      </c>
      <c r="F689" t="s">
        <v>190</v>
      </c>
      <c r="G689" s="1">
        <v>31698</v>
      </c>
      <c r="H689" s="1">
        <v>41512</v>
      </c>
      <c r="I689" t="str">
        <f t="shared" si="9"/>
        <v>51</v>
      </c>
      <c r="J689" t="s">
        <v>471</v>
      </c>
      <c r="K689" t="s">
        <v>25</v>
      </c>
      <c r="L689" t="s">
        <v>26</v>
      </c>
      <c r="M689" t="s">
        <v>27</v>
      </c>
      <c r="N689" s="1">
        <v>18629</v>
      </c>
      <c r="O689">
        <v>0</v>
      </c>
      <c r="P689">
        <v>0</v>
      </c>
      <c r="Q689" t="s">
        <v>37</v>
      </c>
      <c r="R689" t="s">
        <v>29</v>
      </c>
      <c r="S689" t="s">
        <v>2355</v>
      </c>
      <c r="T689" t="s">
        <v>2356</v>
      </c>
    </row>
    <row r="690" spans="1:20" x14ac:dyDescent="0.25">
      <c r="A690" t="s">
        <v>2357</v>
      </c>
      <c r="B690" t="str">
        <f>"2390"</f>
        <v>2390</v>
      </c>
      <c r="C690" t="str">
        <f>"302782390"</f>
        <v>302782390</v>
      </c>
      <c r="D690" t="s">
        <v>2358</v>
      </c>
      <c r="E690" t="s">
        <v>2359</v>
      </c>
      <c r="F690" t="s">
        <v>44</v>
      </c>
      <c r="G690" s="1">
        <v>30253</v>
      </c>
      <c r="H690" s="1">
        <v>41512</v>
      </c>
      <c r="I690" t="str">
        <f t="shared" si="9"/>
        <v>51</v>
      </c>
      <c r="J690" t="s">
        <v>471</v>
      </c>
      <c r="K690" t="s">
        <v>25</v>
      </c>
      <c r="L690" t="s">
        <v>26</v>
      </c>
      <c r="M690" t="s">
        <v>27</v>
      </c>
      <c r="N690" s="1">
        <v>18629</v>
      </c>
      <c r="O690">
        <v>0</v>
      </c>
      <c r="P690">
        <v>0</v>
      </c>
      <c r="Q690" t="s">
        <v>37</v>
      </c>
      <c r="R690" t="s">
        <v>71</v>
      </c>
      <c r="S690" t="s">
        <v>157</v>
      </c>
      <c r="T690" t="s">
        <v>158</v>
      </c>
    </row>
    <row r="691" spans="1:20" x14ac:dyDescent="0.25">
      <c r="A691" t="s">
        <v>2360</v>
      </c>
      <c r="B691" t="str">
        <f>"9454"</f>
        <v>9454</v>
      </c>
      <c r="C691" t="str">
        <f>"204349454"</f>
        <v>204349454</v>
      </c>
      <c r="D691" t="s">
        <v>2361</v>
      </c>
      <c r="E691" t="s">
        <v>1287</v>
      </c>
      <c r="F691" t="s">
        <v>165</v>
      </c>
      <c r="G691" s="1">
        <v>16086</v>
      </c>
      <c r="H691" s="1">
        <v>41512</v>
      </c>
      <c r="I691" t="str">
        <f t="shared" si="9"/>
        <v>51</v>
      </c>
      <c r="J691" t="s">
        <v>471</v>
      </c>
      <c r="K691" t="s">
        <v>25</v>
      </c>
      <c r="L691" t="s">
        <v>26</v>
      </c>
      <c r="M691" t="s">
        <v>27</v>
      </c>
      <c r="N691" s="1">
        <v>18629</v>
      </c>
      <c r="O691">
        <v>0</v>
      </c>
      <c r="P691">
        <v>0</v>
      </c>
      <c r="Q691" t="s">
        <v>37</v>
      </c>
      <c r="R691" t="s">
        <v>71</v>
      </c>
      <c r="S691" t="s">
        <v>1547</v>
      </c>
      <c r="T691" t="s">
        <v>1548</v>
      </c>
    </row>
    <row r="692" spans="1:20" x14ac:dyDescent="0.25">
      <c r="A692" t="s">
        <v>2362</v>
      </c>
      <c r="B692" t="str">
        <f>"0038"</f>
        <v>0038</v>
      </c>
      <c r="C692" t="str">
        <f>"393660038"</f>
        <v>393660038</v>
      </c>
      <c r="D692" t="s">
        <v>2363</v>
      </c>
      <c r="E692" t="s">
        <v>2364</v>
      </c>
      <c r="F692" t="s">
        <v>438</v>
      </c>
      <c r="G692" s="1">
        <v>23885</v>
      </c>
      <c r="H692" s="1">
        <v>41512</v>
      </c>
      <c r="I692" t="str">
        <f t="shared" si="9"/>
        <v>51</v>
      </c>
      <c r="J692" t="s">
        <v>471</v>
      </c>
      <c r="K692" t="s">
        <v>25</v>
      </c>
      <c r="L692" t="s">
        <v>26</v>
      </c>
      <c r="M692" t="s">
        <v>27</v>
      </c>
      <c r="N692" s="1">
        <v>18629</v>
      </c>
      <c r="O692">
        <v>0</v>
      </c>
      <c r="P692">
        <v>0</v>
      </c>
      <c r="Q692" t="s">
        <v>37</v>
      </c>
      <c r="R692" t="s">
        <v>29</v>
      </c>
      <c r="S692" t="s">
        <v>138</v>
      </c>
      <c r="T692" t="s">
        <v>139</v>
      </c>
    </row>
    <row r="693" spans="1:20" x14ac:dyDescent="0.25">
      <c r="A693" t="s">
        <v>2365</v>
      </c>
      <c r="B693" t="str">
        <f>"1274"</f>
        <v>1274</v>
      </c>
      <c r="C693" t="str">
        <f>"288561274"</f>
        <v>288561274</v>
      </c>
      <c r="D693" t="s">
        <v>2366</v>
      </c>
      <c r="E693" t="s">
        <v>1248</v>
      </c>
      <c r="F693" t="s">
        <v>438</v>
      </c>
      <c r="G693" s="1">
        <v>20145</v>
      </c>
      <c r="H693" s="1">
        <v>41512</v>
      </c>
      <c r="I693" t="str">
        <f>"41"</f>
        <v>41</v>
      </c>
      <c r="J693" t="s">
        <v>24</v>
      </c>
      <c r="K693" t="s">
        <v>25</v>
      </c>
      <c r="L693" t="s">
        <v>26</v>
      </c>
      <c r="M693" t="s">
        <v>27</v>
      </c>
      <c r="N693" s="1">
        <v>18629</v>
      </c>
      <c r="O693">
        <v>0</v>
      </c>
      <c r="P693">
        <v>0</v>
      </c>
      <c r="Q693" t="s">
        <v>37</v>
      </c>
      <c r="R693" t="s">
        <v>29</v>
      </c>
      <c r="S693" t="s">
        <v>1075</v>
      </c>
      <c r="T693" t="s">
        <v>1076</v>
      </c>
    </row>
    <row r="694" spans="1:20" x14ac:dyDescent="0.25">
      <c r="A694" t="s">
        <v>2367</v>
      </c>
      <c r="B694" t="str">
        <f>"1927"</f>
        <v>1927</v>
      </c>
      <c r="C694" t="str">
        <f>"285561927"</f>
        <v>285561927</v>
      </c>
      <c r="D694" t="s">
        <v>2368</v>
      </c>
      <c r="E694" t="s">
        <v>1074</v>
      </c>
      <c r="F694" t="s">
        <v>1363</v>
      </c>
      <c r="G694" s="1">
        <v>19937</v>
      </c>
      <c r="H694" s="1">
        <v>41512</v>
      </c>
      <c r="I694" t="str">
        <f t="shared" ref="I694:I709" si="10">"51"</f>
        <v>51</v>
      </c>
      <c r="J694" t="s">
        <v>471</v>
      </c>
      <c r="K694" t="s">
        <v>25</v>
      </c>
      <c r="L694" t="s">
        <v>26</v>
      </c>
      <c r="M694" t="s">
        <v>27</v>
      </c>
      <c r="N694" s="1">
        <v>18629</v>
      </c>
      <c r="O694">
        <v>0</v>
      </c>
      <c r="P694">
        <v>0</v>
      </c>
      <c r="Q694" t="s">
        <v>37</v>
      </c>
      <c r="R694" t="s">
        <v>29</v>
      </c>
      <c r="S694" t="s">
        <v>138</v>
      </c>
      <c r="T694" t="s">
        <v>139</v>
      </c>
    </row>
    <row r="695" spans="1:20" x14ac:dyDescent="0.25">
      <c r="A695" t="s">
        <v>2369</v>
      </c>
      <c r="B695" t="str">
        <f>"5131"</f>
        <v>5131</v>
      </c>
      <c r="C695" t="str">
        <f>"270585131"</f>
        <v>270585131</v>
      </c>
      <c r="D695" t="s">
        <v>2370</v>
      </c>
      <c r="E695" t="s">
        <v>448</v>
      </c>
      <c r="F695" t="s">
        <v>93</v>
      </c>
      <c r="G695" s="1">
        <v>25897</v>
      </c>
      <c r="H695" s="1">
        <v>41512</v>
      </c>
      <c r="I695" t="str">
        <f t="shared" si="10"/>
        <v>51</v>
      </c>
      <c r="J695" t="s">
        <v>471</v>
      </c>
      <c r="K695" t="s">
        <v>25</v>
      </c>
      <c r="L695" t="s">
        <v>26</v>
      </c>
      <c r="M695" t="s">
        <v>27</v>
      </c>
      <c r="N695" s="1">
        <v>18629</v>
      </c>
      <c r="O695">
        <v>0</v>
      </c>
      <c r="P695">
        <v>0</v>
      </c>
      <c r="Q695" t="s">
        <v>37</v>
      </c>
      <c r="R695" t="s">
        <v>71</v>
      </c>
      <c r="S695" t="s">
        <v>157</v>
      </c>
      <c r="T695" t="s">
        <v>158</v>
      </c>
    </row>
    <row r="696" spans="1:20" x14ac:dyDescent="0.25">
      <c r="A696" t="s">
        <v>2371</v>
      </c>
      <c r="B696" t="str">
        <f>"2834"</f>
        <v>2834</v>
      </c>
      <c r="C696" t="str">
        <f>"270642834"</f>
        <v>270642834</v>
      </c>
      <c r="D696" t="s">
        <v>2372</v>
      </c>
      <c r="E696" t="s">
        <v>2126</v>
      </c>
      <c r="F696" t="s">
        <v>93</v>
      </c>
      <c r="G696" s="1">
        <v>22333</v>
      </c>
      <c r="H696" s="1">
        <v>41512</v>
      </c>
      <c r="I696" t="str">
        <f t="shared" si="10"/>
        <v>51</v>
      </c>
      <c r="J696" t="s">
        <v>471</v>
      </c>
      <c r="K696" t="s">
        <v>25</v>
      </c>
      <c r="L696" t="s">
        <v>26</v>
      </c>
      <c r="M696" t="s">
        <v>27</v>
      </c>
      <c r="N696" s="1">
        <v>18629</v>
      </c>
      <c r="O696">
        <v>0</v>
      </c>
      <c r="P696">
        <v>0</v>
      </c>
      <c r="Q696" t="s">
        <v>37</v>
      </c>
      <c r="R696" t="s">
        <v>29</v>
      </c>
      <c r="S696" t="s">
        <v>138</v>
      </c>
      <c r="T696" t="s">
        <v>139</v>
      </c>
    </row>
    <row r="697" spans="1:20" x14ac:dyDescent="0.25">
      <c r="A697" t="s">
        <v>2373</v>
      </c>
      <c r="B697" t="str">
        <f>"1580"</f>
        <v>1580</v>
      </c>
      <c r="C697" t="str">
        <f>"276421580"</f>
        <v>276421580</v>
      </c>
      <c r="D697" t="s">
        <v>2374</v>
      </c>
      <c r="E697" t="s">
        <v>430</v>
      </c>
      <c r="F697" t="s">
        <v>26</v>
      </c>
      <c r="G697" s="1">
        <v>17665</v>
      </c>
      <c r="H697" s="1">
        <v>41512</v>
      </c>
      <c r="I697" t="str">
        <f t="shared" si="10"/>
        <v>51</v>
      </c>
      <c r="J697" t="s">
        <v>471</v>
      </c>
      <c r="K697" t="s">
        <v>25</v>
      </c>
      <c r="L697" t="s">
        <v>26</v>
      </c>
      <c r="M697" t="s">
        <v>27</v>
      </c>
      <c r="N697" s="1">
        <v>18629</v>
      </c>
      <c r="O697">
        <v>0</v>
      </c>
      <c r="P697">
        <v>0</v>
      </c>
      <c r="Q697" t="s">
        <v>28</v>
      </c>
      <c r="R697" t="s">
        <v>51</v>
      </c>
      <c r="S697" s="2" t="s">
        <v>774</v>
      </c>
      <c r="T697" t="s">
        <v>775</v>
      </c>
    </row>
    <row r="698" spans="1:20" x14ac:dyDescent="0.25">
      <c r="A698" t="s">
        <v>2375</v>
      </c>
      <c r="B698" t="str">
        <f>"5376"</f>
        <v>5376</v>
      </c>
      <c r="C698" t="str">
        <f>"279585376"</f>
        <v>279585376</v>
      </c>
      <c r="D698" t="s">
        <v>2376</v>
      </c>
      <c r="E698" t="s">
        <v>2377</v>
      </c>
      <c r="F698" t="s">
        <v>44</v>
      </c>
      <c r="G698" s="1">
        <v>20128</v>
      </c>
      <c r="H698" s="1">
        <v>41512</v>
      </c>
      <c r="I698" t="str">
        <f t="shared" si="10"/>
        <v>51</v>
      </c>
      <c r="J698" t="s">
        <v>471</v>
      </c>
      <c r="K698" t="s">
        <v>25</v>
      </c>
      <c r="L698" t="s">
        <v>26</v>
      </c>
      <c r="M698" t="s">
        <v>27</v>
      </c>
      <c r="N698" s="1">
        <v>18629</v>
      </c>
      <c r="O698">
        <v>0</v>
      </c>
      <c r="P698">
        <v>0</v>
      </c>
      <c r="Q698" t="s">
        <v>37</v>
      </c>
      <c r="R698" t="s">
        <v>29</v>
      </c>
      <c r="S698" t="s">
        <v>138</v>
      </c>
      <c r="T698" t="s">
        <v>139</v>
      </c>
    </row>
    <row r="699" spans="1:20" x14ac:dyDescent="0.25">
      <c r="A699" t="s">
        <v>2378</v>
      </c>
      <c r="B699" t="str">
        <f>"5873"</f>
        <v>5873</v>
      </c>
      <c r="C699" t="str">
        <f>"285505873"</f>
        <v>285505873</v>
      </c>
      <c r="D699" t="s">
        <v>2379</v>
      </c>
      <c r="E699" t="s">
        <v>1353</v>
      </c>
      <c r="F699" t="s">
        <v>2380</v>
      </c>
      <c r="G699" s="1">
        <v>20778</v>
      </c>
      <c r="H699" s="1">
        <v>41512</v>
      </c>
      <c r="I699" t="str">
        <f t="shared" si="10"/>
        <v>51</v>
      </c>
      <c r="J699" t="s">
        <v>471</v>
      </c>
      <c r="K699" t="s">
        <v>25</v>
      </c>
      <c r="L699" t="s">
        <v>26</v>
      </c>
      <c r="M699" t="s">
        <v>27</v>
      </c>
      <c r="N699" s="1">
        <v>18629</v>
      </c>
      <c r="O699">
        <v>0</v>
      </c>
      <c r="P699">
        <v>0</v>
      </c>
      <c r="Q699" t="s">
        <v>37</v>
      </c>
      <c r="R699" t="s">
        <v>51</v>
      </c>
      <c r="S699" s="2" t="s">
        <v>2381</v>
      </c>
      <c r="T699" t="s">
        <v>2382</v>
      </c>
    </row>
    <row r="700" spans="1:20" x14ac:dyDescent="0.25">
      <c r="A700" t="s">
        <v>2383</v>
      </c>
      <c r="B700" t="str">
        <f>"4408"</f>
        <v>4408</v>
      </c>
      <c r="C700" t="str">
        <f>"375644408"</f>
        <v>375644408</v>
      </c>
      <c r="D700" t="s">
        <v>2384</v>
      </c>
      <c r="E700" t="s">
        <v>2385</v>
      </c>
      <c r="F700" t="s">
        <v>239</v>
      </c>
      <c r="G700" s="1">
        <v>20520</v>
      </c>
      <c r="H700" s="1">
        <v>41512</v>
      </c>
      <c r="I700" t="str">
        <f t="shared" si="10"/>
        <v>51</v>
      </c>
      <c r="J700" t="s">
        <v>471</v>
      </c>
      <c r="K700" t="s">
        <v>25</v>
      </c>
      <c r="L700" t="s">
        <v>26</v>
      </c>
      <c r="M700" t="s">
        <v>27</v>
      </c>
      <c r="N700" s="1">
        <v>18629</v>
      </c>
      <c r="O700">
        <v>0</v>
      </c>
      <c r="P700">
        <v>0</v>
      </c>
      <c r="Q700" t="s">
        <v>37</v>
      </c>
      <c r="R700" t="s">
        <v>29</v>
      </c>
      <c r="S700" t="s">
        <v>1828</v>
      </c>
      <c r="T700" t="s">
        <v>1829</v>
      </c>
    </row>
    <row r="701" spans="1:20" x14ac:dyDescent="0.25">
      <c r="A701" t="s">
        <v>2386</v>
      </c>
      <c r="B701" t="str">
        <f>"5726"</f>
        <v>5726</v>
      </c>
      <c r="C701" t="str">
        <f>"293605726"</f>
        <v>293605726</v>
      </c>
      <c r="D701" t="s">
        <v>2387</v>
      </c>
      <c r="E701" t="s">
        <v>1589</v>
      </c>
      <c r="F701" t="s">
        <v>28</v>
      </c>
      <c r="G701" s="1">
        <v>28324</v>
      </c>
      <c r="H701" s="1">
        <v>41512</v>
      </c>
      <c r="I701" t="str">
        <f t="shared" si="10"/>
        <v>51</v>
      </c>
      <c r="J701" t="s">
        <v>471</v>
      </c>
      <c r="K701" t="s">
        <v>25</v>
      </c>
      <c r="L701" t="s">
        <v>26</v>
      </c>
      <c r="M701" t="s">
        <v>27</v>
      </c>
      <c r="N701" s="1">
        <v>18629</v>
      </c>
      <c r="O701">
        <v>0</v>
      </c>
      <c r="P701">
        <v>0</v>
      </c>
      <c r="Q701" t="s">
        <v>37</v>
      </c>
      <c r="R701" t="s">
        <v>29</v>
      </c>
      <c r="S701" t="s">
        <v>138</v>
      </c>
      <c r="T701" t="s">
        <v>139</v>
      </c>
    </row>
    <row r="702" spans="1:20" x14ac:dyDescent="0.25">
      <c r="A702" t="s">
        <v>2388</v>
      </c>
      <c r="B702" t="str">
        <f>"9926"</f>
        <v>9926</v>
      </c>
      <c r="C702" t="str">
        <f>"282789926"</f>
        <v>282789926</v>
      </c>
      <c r="D702" t="s">
        <v>2389</v>
      </c>
      <c r="E702" t="s">
        <v>2390</v>
      </c>
      <c r="F702" t="s">
        <v>256</v>
      </c>
      <c r="G702" s="1">
        <v>29953</v>
      </c>
      <c r="H702" s="1">
        <v>41512</v>
      </c>
      <c r="I702" t="str">
        <f t="shared" si="10"/>
        <v>51</v>
      </c>
      <c r="J702" t="s">
        <v>471</v>
      </c>
      <c r="K702" t="s">
        <v>25</v>
      </c>
      <c r="L702" t="s">
        <v>26</v>
      </c>
      <c r="M702" t="s">
        <v>27</v>
      </c>
      <c r="N702" s="1">
        <v>18629</v>
      </c>
      <c r="O702">
        <v>0</v>
      </c>
      <c r="P702">
        <v>0</v>
      </c>
      <c r="Q702" t="s">
        <v>37</v>
      </c>
      <c r="R702" t="s">
        <v>29</v>
      </c>
      <c r="S702" t="s">
        <v>138</v>
      </c>
      <c r="T702" t="s">
        <v>139</v>
      </c>
    </row>
    <row r="703" spans="1:20" x14ac:dyDescent="0.25">
      <c r="A703" t="s">
        <v>2391</v>
      </c>
      <c r="B703" t="str">
        <f>"2555"</f>
        <v>2555</v>
      </c>
      <c r="C703" t="str">
        <f>"194602555"</f>
        <v>194602555</v>
      </c>
      <c r="D703" t="s">
        <v>2392</v>
      </c>
      <c r="E703" t="s">
        <v>544</v>
      </c>
      <c r="F703" t="s">
        <v>470</v>
      </c>
      <c r="G703" s="1">
        <v>26657</v>
      </c>
      <c r="H703" s="1">
        <v>41512</v>
      </c>
      <c r="I703" t="str">
        <f t="shared" si="10"/>
        <v>51</v>
      </c>
      <c r="J703" t="s">
        <v>471</v>
      </c>
      <c r="K703" t="s">
        <v>25</v>
      </c>
      <c r="L703" t="s">
        <v>26</v>
      </c>
      <c r="M703" t="s">
        <v>27</v>
      </c>
      <c r="N703" s="1">
        <v>18629</v>
      </c>
      <c r="O703">
        <v>0</v>
      </c>
      <c r="P703">
        <v>0</v>
      </c>
      <c r="Q703" t="s">
        <v>37</v>
      </c>
      <c r="R703" t="s">
        <v>51</v>
      </c>
      <c r="S703" s="2" t="s">
        <v>2393</v>
      </c>
      <c r="T703" t="s">
        <v>2394</v>
      </c>
    </row>
    <row r="704" spans="1:20" x14ac:dyDescent="0.25">
      <c r="A704" t="s">
        <v>2395</v>
      </c>
      <c r="B704" t="str">
        <f>"0633"</f>
        <v>0633</v>
      </c>
      <c r="C704" t="str">
        <f>"268920633"</f>
        <v>268920633</v>
      </c>
      <c r="D704" t="s">
        <v>2396</v>
      </c>
      <c r="E704" t="s">
        <v>304</v>
      </c>
      <c r="F704" t="s">
        <v>190</v>
      </c>
      <c r="G704" s="1">
        <v>31558</v>
      </c>
      <c r="H704" s="1">
        <v>41512</v>
      </c>
      <c r="I704" t="str">
        <f t="shared" si="10"/>
        <v>51</v>
      </c>
      <c r="J704" t="s">
        <v>471</v>
      </c>
      <c r="K704" t="s">
        <v>25</v>
      </c>
      <c r="L704" t="s">
        <v>26</v>
      </c>
      <c r="M704" t="s">
        <v>27</v>
      </c>
      <c r="N704" s="1">
        <v>18629</v>
      </c>
      <c r="O704">
        <v>0</v>
      </c>
      <c r="P704">
        <v>0</v>
      </c>
      <c r="Q704" t="s">
        <v>28</v>
      </c>
      <c r="R704" t="s">
        <v>71</v>
      </c>
      <c r="S704" t="s">
        <v>157</v>
      </c>
      <c r="T704" t="s">
        <v>158</v>
      </c>
    </row>
    <row r="705" spans="1:20" x14ac:dyDescent="0.25">
      <c r="A705" t="s">
        <v>2397</v>
      </c>
      <c r="B705" t="str">
        <f>"5420"</f>
        <v>5420</v>
      </c>
      <c r="C705" t="str">
        <f>"272545420"</f>
        <v>272545420</v>
      </c>
      <c r="D705" t="s">
        <v>2398</v>
      </c>
      <c r="E705" t="s">
        <v>1287</v>
      </c>
      <c r="F705" t="s">
        <v>438</v>
      </c>
      <c r="G705" s="1">
        <v>19395</v>
      </c>
      <c r="H705" s="1">
        <v>41512</v>
      </c>
      <c r="I705" t="str">
        <f t="shared" si="10"/>
        <v>51</v>
      </c>
      <c r="J705" t="s">
        <v>471</v>
      </c>
      <c r="K705" t="s">
        <v>25</v>
      </c>
      <c r="L705" t="s">
        <v>26</v>
      </c>
      <c r="M705" t="s">
        <v>27</v>
      </c>
      <c r="N705" s="1">
        <v>18629</v>
      </c>
      <c r="O705">
        <v>0</v>
      </c>
      <c r="P705">
        <v>0</v>
      </c>
      <c r="Q705" t="s">
        <v>37</v>
      </c>
      <c r="R705" t="s">
        <v>71</v>
      </c>
      <c r="S705" t="s">
        <v>1513</v>
      </c>
      <c r="T705" t="s">
        <v>1514</v>
      </c>
    </row>
    <row r="706" spans="1:20" x14ac:dyDescent="0.25">
      <c r="A706" t="s">
        <v>2399</v>
      </c>
      <c r="B706" t="str">
        <f>"4965"</f>
        <v>4965</v>
      </c>
      <c r="C706" t="str">
        <f>"269544965"</f>
        <v>269544965</v>
      </c>
      <c r="D706" t="s">
        <v>2400</v>
      </c>
      <c r="E706" t="s">
        <v>82</v>
      </c>
      <c r="F706" t="s">
        <v>69</v>
      </c>
      <c r="G706" s="1">
        <v>19224</v>
      </c>
      <c r="H706" s="1">
        <v>41512</v>
      </c>
      <c r="I706" t="str">
        <f t="shared" si="10"/>
        <v>51</v>
      </c>
      <c r="J706" t="s">
        <v>471</v>
      </c>
      <c r="K706" t="s">
        <v>25</v>
      </c>
      <c r="L706" t="s">
        <v>26</v>
      </c>
      <c r="M706" t="s">
        <v>27</v>
      </c>
      <c r="N706" s="1">
        <v>18629</v>
      </c>
      <c r="O706">
        <v>0</v>
      </c>
      <c r="P706">
        <v>0</v>
      </c>
      <c r="Q706" t="s">
        <v>37</v>
      </c>
      <c r="R706" t="s">
        <v>71</v>
      </c>
      <c r="S706" t="s">
        <v>871</v>
      </c>
      <c r="T706" t="s">
        <v>872</v>
      </c>
    </row>
    <row r="707" spans="1:20" x14ac:dyDescent="0.25">
      <c r="A707" t="s">
        <v>2401</v>
      </c>
      <c r="B707" t="str">
        <f>"0524"</f>
        <v>0524</v>
      </c>
      <c r="C707" t="str">
        <f>"270660524"</f>
        <v>270660524</v>
      </c>
      <c r="D707" t="s">
        <v>2402</v>
      </c>
      <c r="E707" t="s">
        <v>1666</v>
      </c>
      <c r="F707" t="s">
        <v>165</v>
      </c>
      <c r="G707" s="1">
        <v>26502</v>
      </c>
      <c r="H707" s="1">
        <v>41512</v>
      </c>
      <c r="I707" t="str">
        <f t="shared" si="10"/>
        <v>51</v>
      </c>
      <c r="J707" t="s">
        <v>471</v>
      </c>
      <c r="K707" t="s">
        <v>25</v>
      </c>
      <c r="L707" t="s">
        <v>26</v>
      </c>
      <c r="M707" t="s">
        <v>27</v>
      </c>
      <c r="N707" s="1">
        <v>18629</v>
      </c>
      <c r="O707">
        <v>0</v>
      </c>
      <c r="P707">
        <v>0</v>
      </c>
      <c r="Q707" t="s">
        <v>37</v>
      </c>
      <c r="R707" t="s">
        <v>29</v>
      </c>
      <c r="S707" t="s">
        <v>138</v>
      </c>
      <c r="T707" t="s">
        <v>139</v>
      </c>
    </row>
    <row r="708" spans="1:20" x14ac:dyDescent="0.25">
      <c r="A708" t="s">
        <v>2403</v>
      </c>
      <c r="B708" t="str">
        <f>"7090"</f>
        <v>7090</v>
      </c>
      <c r="C708" t="str">
        <f>"278787090"</f>
        <v>278787090</v>
      </c>
      <c r="D708" t="s">
        <v>2404</v>
      </c>
      <c r="E708" t="s">
        <v>2405</v>
      </c>
      <c r="F708" t="s">
        <v>97</v>
      </c>
      <c r="G708" s="1">
        <v>29790</v>
      </c>
      <c r="H708" s="1">
        <v>41512</v>
      </c>
      <c r="I708" t="str">
        <f t="shared" si="10"/>
        <v>51</v>
      </c>
      <c r="J708" t="s">
        <v>471</v>
      </c>
      <c r="K708" t="s">
        <v>25</v>
      </c>
      <c r="L708" t="s">
        <v>26</v>
      </c>
      <c r="M708" t="s">
        <v>27</v>
      </c>
      <c r="N708" s="1">
        <v>18629</v>
      </c>
      <c r="O708">
        <v>0</v>
      </c>
      <c r="P708">
        <v>0</v>
      </c>
      <c r="Q708" t="s">
        <v>37</v>
      </c>
      <c r="R708" t="s">
        <v>71</v>
      </c>
      <c r="S708" t="s">
        <v>2406</v>
      </c>
      <c r="T708" t="s">
        <v>2407</v>
      </c>
    </row>
    <row r="709" spans="1:20" x14ac:dyDescent="0.25">
      <c r="A709" t="s">
        <v>2408</v>
      </c>
      <c r="B709" t="str">
        <f>"8290"</f>
        <v>8290</v>
      </c>
      <c r="C709" t="str">
        <f>"230258290"</f>
        <v>230258290</v>
      </c>
      <c r="D709" t="s">
        <v>2409</v>
      </c>
      <c r="E709" t="s">
        <v>1026</v>
      </c>
      <c r="F709" t="s">
        <v>264</v>
      </c>
      <c r="G709" s="1">
        <v>27152</v>
      </c>
      <c r="H709" s="1">
        <v>41512</v>
      </c>
      <c r="I709" t="str">
        <f t="shared" si="10"/>
        <v>51</v>
      </c>
      <c r="J709" t="s">
        <v>471</v>
      </c>
      <c r="K709" t="s">
        <v>25</v>
      </c>
      <c r="L709" t="s">
        <v>26</v>
      </c>
      <c r="M709" t="s">
        <v>27</v>
      </c>
      <c r="N709" s="1">
        <v>18629</v>
      </c>
      <c r="O709">
        <v>0</v>
      </c>
      <c r="P709">
        <v>0</v>
      </c>
      <c r="Q709" t="s">
        <v>37</v>
      </c>
      <c r="R709" t="s">
        <v>100</v>
      </c>
      <c r="S709" t="s">
        <v>1526</v>
      </c>
      <c r="T709" t="s">
        <v>1527</v>
      </c>
    </row>
    <row r="710" spans="1:20" x14ac:dyDescent="0.25">
      <c r="A710" t="s">
        <v>2410</v>
      </c>
      <c r="B710" t="str">
        <f>"8797"</f>
        <v>8797</v>
      </c>
      <c r="C710" t="str">
        <f>"273528797"</f>
        <v>273528797</v>
      </c>
      <c r="D710" t="s">
        <v>2411</v>
      </c>
      <c r="E710" t="s">
        <v>1981</v>
      </c>
      <c r="F710" t="s">
        <v>93</v>
      </c>
      <c r="G710" s="1">
        <v>20668</v>
      </c>
      <c r="H710" s="1">
        <v>41512</v>
      </c>
      <c r="I710" t="str">
        <f>"33"</f>
        <v>33</v>
      </c>
      <c r="J710" t="s">
        <v>45</v>
      </c>
      <c r="K710" t="s">
        <v>25</v>
      </c>
      <c r="L710" t="s">
        <v>26</v>
      </c>
      <c r="M710" t="s">
        <v>27</v>
      </c>
      <c r="N710" s="1">
        <v>18629</v>
      </c>
      <c r="O710">
        <v>0</v>
      </c>
      <c r="P710">
        <v>0</v>
      </c>
      <c r="Q710" t="s">
        <v>37</v>
      </c>
      <c r="R710" t="s">
        <v>100</v>
      </c>
      <c r="S710" t="s">
        <v>757</v>
      </c>
      <c r="T710" t="s">
        <v>758</v>
      </c>
    </row>
    <row r="711" spans="1:20" x14ac:dyDescent="0.25">
      <c r="A711" t="s">
        <v>2412</v>
      </c>
      <c r="B711" t="str">
        <f>"0214"</f>
        <v>0214</v>
      </c>
      <c r="C711" t="str">
        <f>"287400214"</f>
        <v>287400214</v>
      </c>
      <c r="D711" t="s">
        <v>2413</v>
      </c>
      <c r="E711" t="s">
        <v>1546</v>
      </c>
      <c r="F711" t="s">
        <v>358</v>
      </c>
      <c r="G711" s="1">
        <v>16712</v>
      </c>
      <c r="H711" s="1">
        <v>41512</v>
      </c>
      <c r="I711" t="str">
        <f t="shared" ref="I711:I745" si="11">"51"</f>
        <v>51</v>
      </c>
      <c r="J711" t="s">
        <v>471</v>
      </c>
      <c r="K711" t="s">
        <v>25</v>
      </c>
      <c r="L711" t="s">
        <v>26</v>
      </c>
      <c r="M711" t="s">
        <v>27</v>
      </c>
      <c r="N711" s="1">
        <v>18629</v>
      </c>
      <c r="O711">
        <v>0</v>
      </c>
      <c r="P711">
        <v>0</v>
      </c>
      <c r="Q711" t="s">
        <v>37</v>
      </c>
      <c r="R711" t="s">
        <v>29</v>
      </c>
      <c r="S711" t="s">
        <v>138</v>
      </c>
      <c r="T711" t="s">
        <v>139</v>
      </c>
    </row>
    <row r="712" spans="1:20" x14ac:dyDescent="0.25">
      <c r="A712" t="s">
        <v>2414</v>
      </c>
      <c r="B712" t="str">
        <f>"6754"</f>
        <v>6754</v>
      </c>
      <c r="C712" t="str">
        <f>"276786754"</f>
        <v>276786754</v>
      </c>
      <c r="D712" t="s">
        <v>2415</v>
      </c>
      <c r="E712" t="s">
        <v>1248</v>
      </c>
      <c r="F712" t="s">
        <v>165</v>
      </c>
      <c r="G712" s="1">
        <v>29660</v>
      </c>
      <c r="H712" s="1">
        <v>41512</v>
      </c>
      <c r="I712" t="str">
        <f t="shared" si="11"/>
        <v>51</v>
      </c>
      <c r="J712" t="s">
        <v>471</v>
      </c>
      <c r="K712" t="s">
        <v>25</v>
      </c>
      <c r="L712" t="s">
        <v>26</v>
      </c>
      <c r="M712" t="s">
        <v>27</v>
      </c>
      <c r="N712" s="1">
        <v>18629</v>
      </c>
      <c r="O712">
        <v>0</v>
      </c>
      <c r="P712">
        <v>0</v>
      </c>
      <c r="Q712" t="s">
        <v>37</v>
      </c>
      <c r="R712" t="s">
        <v>71</v>
      </c>
      <c r="S712" t="s">
        <v>790</v>
      </c>
      <c r="T712" t="s">
        <v>791</v>
      </c>
    </row>
    <row r="713" spans="1:20" x14ac:dyDescent="0.25">
      <c r="A713" t="s">
        <v>2416</v>
      </c>
      <c r="B713" t="str">
        <f>"4265"</f>
        <v>4265</v>
      </c>
      <c r="C713" t="str">
        <f>"299424265"</f>
        <v>299424265</v>
      </c>
      <c r="D713" t="s">
        <v>1535</v>
      </c>
      <c r="E713" t="s">
        <v>1067</v>
      </c>
      <c r="F713" t="s">
        <v>219</v>
      </c>
      <c r="G713" s="1">
        <v>21235</v>
      </c>
      <c r="H713" s="1">
        <v>41512</v>
      </c>
      <c r="I713" t="str">
        <f t="shared" si="11"/>
        <v>51</v>
      </c>
      <c r="J713" t="s">
        <v>471</v>
      </c>
      <c r="K713" t="s">
        <v>25</v>
      </c>
      <c r="L713" t="s">
        <v>26</v>
      </c>
      <c r="M713" t="s">
        <v>27</v>
      </c>
      <c r="N713" s="1">
        <v>18629</v>
      </c>
      <c r="O713">
        <v>0</v>
      </c>
      <c r="P713">
        <v>0</v>
      </c>
      <c r="Q713" t="s">
        <v>28</v>
      </c>
      <c r="R713" t="s">
        <v>29</v>
      </c>
      <c r="S713" t="s">
        <v>124</v>
      </c>
      <c r="T713" t="s">
        <v>125</v>
      </c>
    </row>
    <row r="714" spans="1:20" x14ac:dyDescent="0.25">
      <c r="A714" t="s">
        <v>2417</v>
      </c>
      <c r="B714" t="str">
        <f>"8491"</f>
        <v>8491</v>
      </c>
      <c r="C714" t="str">
        <f>"279138491"</f>
        <v>279138491</v>
      </c>
      <c r="D714" t="s">
        <v>1449</v>
      </c>
      <c r="E714" t="s">
        <v>2418</v>
      </c>
      <c r="F714" t="s">
        <v>414</v>
      </c>
      <c r="G714" s="1">
        <v>19002</v>
      </c>
      <c r="H714" s="1">
        <v>41512</v>
      </c>
      <c r="I714" t="str">
        <f t="shared" si="11"/>
        <v>51</v>
      </c>
      <c r="J714" t="s">
        <v>471</v>
      </c>
      <c r="K714" t="s">
        <v>25</v>
      </c>
      <c r="L714" t="s">
        <v>26</v>
      </c>
      <c r="M714" t="s">
        <v>27</v>
      </c>
      <c r="N714" s="1">
        <v>18629</v>
      </c>
      <c r="O714">
        <v>0</v>
      </c>
      <c r="P714">
        <v>0</v>
      </c>
      <c r="Q714" t="s">
        <v>37</v>
      </c>
      <c r="R714" t="s">
        <v>29</v>
      </c>
      <c r="S714" t="s">
        <v>1427</v>
      </c>
      <c r="T714" t="s">
        <v>1428</v>
      </c>
    </row>
    <row r="715" spans="1:20" x14ac:dyDescent="0.25">
      <c r="A715" t="s">
        <v>2419</v>
      </c>
      <c r="B715" t="str">
        <f>"2073"</f>
        <v>2073</v>
      </c>
      <c r="C715" t="str">
        <f>"286642073"</f>
        <v>286642073</v>
      </c>
      <c r="D715" t="s">
        <v>1449</v>
      </c>
      <c r="E715" t="s">
        <v>832</v>
      </c>
      <c r="F715" t="s">
        <v>97</v>
      </c>
      <c r="G715" s="1">
        <v>22314</v>
      </c>
      <c r="H715" s="1">
        <v>41512</v>
      </c>
      <c r="I715" t="str">
        <f t="shared" si="11"/>
        <v>51</v>
      </c>
      <c r="J715" t="s">
        <v>471</v>
      </c>
      <c r="K715" t="s">
        <v>25</v>
      </c>
      <c r="L715" t="s">
        <v>26</v>
      </c>
      <c r="M715" t="s">
        <v>27</v>
      </c>
      <c r="N715" s="1">
        <v>18629</v>
      </c>
      <c r="O715">
        <v>0</v>
      </c>
      <c r="P715">
        <v>0</v>
      </c>
      <c r="Q715" t="s">
        <v>28</v>
      </c>
      <c r="R715" t="s">
        <v>71</v>
      </c>
      <c r="S715" t="s">
        <v>1474</v>
      </c>
      <c r="T715" t="s">
        <v>1475</v>
      </c>
    </row>
    <row r="716" spans="1:20" x14ac:dyDescent="0.25">
      <c r="A716" t="s">
        <v>2420</v>
      </c>
      <c r="B716" t="str">
        <f>"7054"</f>
        <v>7054</v>
      </c>
      <c r="C716" t="str">
        <f>"271747054"</f>
        <v>271747054</v>
      </c>
      <c r="D716" t="s">
        <v>2421</v>
      </c>
      <c r="E716" t="s">
        <v>2422</v>
      </c>
      <c r="F716" t="s">
        <v>93</v>
      </c>
      <c r="G716" s="1">
        <v>23739</v>
      </c>
      <c r="H716" s="1">
        <v>41512</v>
      </c>
      <c r="I716" t="str">
        <f t="shared" si="11"/>
        <v>51</v>
      </c>
      <c r="J716" t="s">
        <v>471</v>
      </c>
      <c r="K716" t="s">
        <v>25</v>
      </c>
      <c r="L716" t="s">
        <v>26</v>
      </c>
      <c r="M716" t="s">
        <v>27</v>
      </c>
      <c r="N716" s="1">
        <v>18629</v>
      </c>
      <c r="O716">
        <v>0</v>
      </c>
      <c r="P716">
        <v>0</v>
      </c>
      <c r="Q716" t="s">
        <v>37</v>
      </c>
      <c r="R716" t="s">
        <v>29</v>
      </c>
      <c r="S716" t="s">
        <v>138</v>
      </c>
      <c r="T716" t="s">
        <v>139</v>
      </c>
    </row>
    <row r="717" spans="1:20" x14ac:dyDescent="0.25">
      <c r="A717" t="s">
        <v>2423</v>
      </c>
      <c r="B717" t="str">
        <f>"4732"</f>
        <v>4732</v>
      </c>
      <c r="C717" t="str">
        <f>"302864732"</f>
        <v>302864732</v>
      </c>
      <c r="D717" t="s">
        <v>2424</v>
      </c>
      <c r="E717" t="s">
        <v>991</v>
      </c>
      <c r="F717" t="s">
        <v>49</v>
      </c>
      <c r="G717" s="1">
        <v>30537</v>
      </c>
      <c r="H717" s="1">
        <v>41512</v>
      </c>
      <c r="I717" t="str">
        <f t="shared" si="11"/>
        <v>51</v>
      </c>
      <c r="J717" t="s">
        <v>471</v>
      </c>
      <c r="K717" t="s">
        <v>25</v>
      </c>
      <c r="L717" t="s">
        <v>26</v>
      </c>
      <c r="M717" t="s">
        <v>27</v>
      </c>
      <c r="N717" s="1">
        <v>18629</v>
      </c>
      <c r="O717">
        <v>0</v>
      </c>
      <c r="P717">
        <v>0</v>
      </c>
      <c r="Q717" t="s">
        <v>37</v>
      </c>
      <c r="R717" t="s">
        <v>29</v>
      </c>
      <c r="S717" t="s">
        <v>138</v>
      </c>
      <c r="T717" t="s">
        <v>139</v>
      </c>
    </row>
    <row r="718" spans="1:20" x14ac:dyDescent="0.25">
      <c r="A718" t="s">
        <v>2425</v>
      </c>
      <c r="B718" t="str">
        <f>"3416"</f>
        <v>3416</v>
      </c>
      <c r="C718" t="str">
        <f>"290643416"</f>
        <v>290643416</v>
      </c>
      <c r="D718" t="s">
        <v>2424</v>
      </c>
      <c r="E718" t="s">
        <v>1722</v>
      </c>
      <c r="F718" t="s">
        <v>93</v>
      </c>
      <c r="G718" s="1">
        <v>21328</v>
      </c>
      <c r="H718" s="1">
        <v>41512</v>
      </c>
      <c r="I718" t="str">
        <f t="shared" si="11"/>
        <v>51</v>
      </c>
      <c r="J718" t="s">
        <v>471</v>
      </c>
      <c r="K718" t="s">
        <v>25</v>
      </c>
      <c r="L718" t="s">
        <v>26</v>
      </c>
      <c r="M718" t="s">
        <v>27</v>
      </c>
      <c r="N718" s="1">
        <v>18629</v>
      </c>
      <c r="O718">
        <v>0</v>
      </c>
      <c r="P718">
        <v>0</v>
      </c>
      <c r="Q718" t="s">
        <v>37</v>
      </c>
      <c r="R718" t="s">
        <v>29</v>
      </c>
      <c r="S718" t="s">
        <v>138</v>
      </c>
      <c r="T718" t="s">
        <v>139</v>
      </c>
    </row>
    <row r="719" spans="1:20" x14ac:dyDescent="0.25">
      <c r="A719" t="s">
        <v>2426</v>
      </c>
      <c r="B719" t="str">
        <f>"2221"</f>
        <v>2221</v>
      </c>
      <c r="C719" t="str">
        <f>"273722221"</f>
        <v>273722221</v>
      </c>
      <c r="D719" t="s">
        <v>2427</v>
      </c>
      <c r="E719" t="s">
        <v>48</v>
      </c>
      <c r="F719" t="s">
        <v>28</v>
      </c>
      <c r="G719" s="1">
        <v>25278</v>
      </c>
      <c r="H719" s="1">
        <v>41512</v>
      </c>
      <c r="I719" t="str">
        <f t="shared" si="11"/>
        <v>51</v>
      </c>
      <c r="J719" t="s">
        <v>471</v>
      </c>
      <c r="K719" t="s">
        <v>25</v>
      </c>
      <c r="L719" t="s">
        <v>26</v>
      </c>
      <c r="M719" t="s">
        <v>27</v>
      </c>
      <c r="N719" s="1">
        <v>18629</v>
      </c>
      <c r="O719">
        <v>0</v>
      </c>
      <c r="P719">
        <v>0</v>
      </c>
      <c r="Q719" t="s">
        <v>37</v>
      </c>
      <c r="R719" t="s">
        <v>258</v>
      </c>
      <c r="S719" t="s">
        <v>678</v>
      </c>
      <c r="T719" t="s">
        <v>679</v>
      </c>
    </row>
    <row r="720" spans="1:20" x14ac:dyDescent="0.25">
      <c r="A720" t="s">
        <v>2428</v>
      </c>
      <c r="B720" t="str">
        <f>"8890"</f>
        <v>8890</v>
      </c>
      <c r="C720" t="str">
        <f>"285588890"</f>
        <v>285588890</v>
      </c>
      <c r="D720" t="s">
        <v>2429</v>
      </c>
      <c r="E720" t="s">
        <v>2339</v>
      </c>
      <c r="G720" s="1">
        <v>21072</v>
      </c>
      <c r="H720" s="1">
        <v>41512</v>
      </c>
      <c r="I720" t="str">
        <f t="shared" si="11"/>
        <v>51</v>
      </c>
      <c r="J720" t="s">
        <v>471</v>
      </c>
      <c r="K720" t="s">
        <v>25</v>
      </c>
      <c r="L720" t="s">
        <v>26</v>
      </c>
      <c r="M720" t="s">
        <v>27</v>
      </c>
      <c r="N720" s="1">
        <v>18629</v>
      </c>
      <c r="O720">
        <v>0</v>
      </c>
      <c r="P720">
        <v>0</v>
      </c>
      <c r="Q720" t="s">
        <v>37</v>
      </c>
      <c r="R720" t="s">
        <v>29</v>
      </c>
      <c r="S720" t="s">
        <v>138</v>
      </c>
      <c r="T720" t="s">
        <v>139</v>
      </c>
    </row>
    <row r="721" spans="1:20" x14ac:dyDescent="0.25">
      <c r="A721" t="s">
        <v>2430</v>
      </c>
      <c r="B721" t="str">
        <f>"4966"</f>
        <v>4966</v>
      </c>
      <c r="C721" t="str">
        <f>"280844966"</f>
        <v>280844966</v>
      </c>
      <c r="D721" t="s">
        <v>2431</v>
      </c>
      <c r="E721" t="s">
        <v>2177</v>
      </c>
      <c r="F721" t="s">
        <v>28</v>
      </c>
      <c r="G721" s="1">
        <v>31447</v>
      </c>
      <c r="H721" s="1">
        <v>41512</v>
      </c>
      <c r="I721" t="str">
        <f t="shared" si="11"/>
        <v>51</v>
      </c>
      <c r="J721" t="s">
        <v>471</v>
      </c>
      <c r="K721" t="s">
        <v>25</v>
      </c>
      <c r="L721" t="s">
        <v>26</v>
      </c>
      <c r="M721" t="s">
        <v>27</v>
      </c>
      <c r="N721" s="1">
        <v>18629</v>
      </c>
      <c r="O721">
        <v>0</v>
      </c>
      <c r="P721">
        <v>0</v>
      </c>
      <c r="Q721" t="s">
        <v>37</v>
      </c>
      <c r="R721" t="s">
        <v>71</v>
      </c>
      <c r="S721" t="s">
        <v>305</v>
      </c>
      <c r="T721" t="s">
        <v>306</v>
      </c>
    </row>
    <row r="722" spans="1:20" x14ac:dyDescent="0.25">
      <c r="A722" t="s">
        <v>2432</v>
      </c>
      <c r="B722" t="str">
        <f>"9560"</f>
        <v>9560</v>
      </c>
      <c r="C722" t="str">
        <f>"268649560"</f>
        <v>268649560</v>
      </c>
      <c r="D722" t="s">
        <v>2433</v>
      </c>
      <c r="E722" t="s">
        <v>2434</v>
      </c>
      <c r="F722" t="s">
        <v>44</v>
      </c>
      <c r="G722" s="1">
        <v>26693</v>
      </c>
      <c r="H722" s="1">
        <v>41512</v>
      </c>
      <c r="I722" t="str">
        <f t="shared" si="11"/>
        <v>51</v>
      </c>
      <c r="J722" t="s">
        <v>471</v>
      </c>
      <c r="K722" t="s">
        <v>25</v>
      </c>
      <c r="L722" t="s">
        <v>26</v>
      </c>
      <c r="M722" t="s">
        <v>27</v>
      </c>
      <c r="N722" s="1">
        <v>18629</v>
      </c>
      <c r="O722">
        <v>0</v>
      </c>
      <c r="P722">
        <v>0</v>
      </c>
      <c r="Q722" t="s">
        <v>37</v>
      </c>
      <c r="R722" t="s">
        <v>29</v>
      </c>
      <c r="S722" t="s">
        <v>138</v>
      </c>
      <c r="T722" t="s">
        <v>139</v>
      </c>
    </row>
    <row r="723" spans="1:20" x14ac:dyDescent="0.25">
      <c r="A723" t="s">
        <v>2435</v>
      </c>
      <c r="B723" t="str">
        <f>"3220"</f>
        <v>3220</v>
      </c>
      <c r="C723" t="str">
        <f>"272543220"</f>
        <v>272543220</v>
      </c>
      <c r="D723" t="s">
        <v>2436</v>
      </c>
      <c r="E723" t="s">
        <v>381</v>
      </c>
      <c r="F723" t="s">
        <v>28</v>
      </c>
      <c r="G723" s="1">
        <v>19855</v>
      </c>
      <c r="H723" s="1">
        <v>41512</v>
      </c>
      <c r="I723" t="str">
        <f t="shared" si="11"/>
        <v>51</v>
      </c>
      <c r="J723" t="s">
        <v>471</v>
      </c>
      <c r="K723" t="s">
        <v>25</v>
      </c>
      <c r="L723" t="s">
        <v>26</v>
      </c>
      <c r="M723" t="s">
        <v>27</v>
      </c>
      <c r="N723" s="1">
        <v>18629</v>
      </c>
      <c r="O723">
        <v>0</v>
      </c>
      <c r="P723">
        <v>0</v>
      </c>
      <c r="Q723" t="s">
        <v>37</v>
      </c>
      <c r="R723" t="s">
        <v>29</v>
      </c>
      <c r="S723" t="s">
        <v>138</v>
      </c>
      <c r="T723" t="s">
        <v>139</v>
      </c>
    </row>
    <row r="724" spans="1:20" x14ac:dyDescent="0.25">
      <c r="A724" t="s">
        <v>2437</v>
      </c>
      <c r="B724" t="str">
        <f>"4797"</f>
        <v>4797</v>
      </c>
      <c r="C724" t="str">
        <f>"284804797"</f>
        <v>284804797</v>
      </c>
      <c r="D724" t="s">
        <v>2438</v>
      </c>
      <c r="E724" t="s">
        <v>48</v>
      </c>
      <c r="F724" t="s">
        <v>44</v>
      </c>
      <c r="G724" s="1">
        <v>27401</v>
      </c>
      <c r="H724" s="1">
        <v>41512</v>
      </c>
      <c r="I724" t="str">
        <f t="shared" si="11"/>
        <v>51</v>
      </c>
      <c r="J724" t="s">
        <v>471</v>
      </c>
      <c r="K724" t="s">
        <v>25</v>
      </c>
      <c r="L724" t="s">
        <v>26</v>
      </c>
      <c r="M724" t="s">
        <v>27</v>
      </c>
      <c r="N724" s="1">
        <v>18629</v>
      </c>
      <c r="O724">
        <v>0</v>
      </c>
      <c r="P724">
        <v>0</v>
      </c>
      <c r="Q724" t="s">
        <v>37</v>
      </c>
      <c r="R724" t="s">
        <v>29</v>
      </c>
      <c r="S724" t="s">
        <v>818</v>
      </c>
      <c r="T724" t="s">
        <v>819</v>
      </c>
    </row>
    <row r="725" spans="1:20" x14ac:dyDescent="0.25">
      <c r="A725" t="s">
        <v>2439</v>
      </c>
      <c r="B725" t="str">
        <f>"4784"</f>
        <v>4784</v>
      </c>
      <c r="C725" t="str">
        <f>"295584784"</f>
        <v>295584784</v>
      </c>
      <c r="D725" t="s">
        <v>2440</v>
      </c>
      <c r="E725" t="s">
        <v>944</v>
      </c>
      <c r="F725" t="s">
        <v>2441</v>
      </c>
      <c r="G725" s="1">
        <v>26334</v>
      </c>
      <c r="H725" s="1">
        <v>41512</v>
      </c>
      <c r="I725" t="str">
        <f t="shared" si="11"/>
        <v>51</v>
      </c>
      <c r="J725" t="s">
        <v>471</v>
      </c>
      <c r="K725" t="s">
        <v>25</v>
      </c>
      <c r="L725" t="s">
        <v>26</v>
      </c>
      <c r="M725" t="s">
        <v>27</v>
      </c>
      <c r="N725" s="1">
        <v>18629</v>
      </c>
      <c r="O725">
        <v>0</v>
      </c>
      <c r="P725">
        <v>0</v>
      </c>
      <c r="Q725" t="s">
        <v>28</v>
      </c>
      <c r="R725" t="s">
        <v>71</v>
      </c>
      <c r="S725" t="s">
        <v>2406</v>
      </c>
      <c r="T725" t="s">
        <v>2407</v>
      </c>
    </row>
    <row r="726" spans="1:20" x14ac:dyDescent="0.25">
      <c r="A726" t="s">
        <v>2442</v>
      </c>
      <c r="B726" t="str">
        <f>"9012"</f>
        <v>9012</v>
      </c>
      <c r="C726" t="str">
        <f>"658229012"</f>
        <v>658229012</v>
      </c>
      <c r="D726" t="s">
        <v>2443</v>
      </c>
      <c r="E726" t="s">
        <v>1026</v>
      </c>
      <c r="F726" t="s">
        <v>93</v>
      </c>
      <c r="G726" s="1">
        <v>31205</v>
      </c>
      <c r="H726" s="1">
        <v>41512</v>
      </c>
      <c r="I726" t="str">
        <f t="shared" si="11"/>
        <v>51</v>
      </c>
      <c r="J726" t="s">
        <v>471</v>
      </c>
      <c r="K726" t="s">
        <v>25</v>
      </c>
      <c r="L726" t="s">
        <v>26</v>
      </c>
      <c r="M726" t="s">
        <v>27</v>
      </c>
      <c r="N726" s="1">
        <v>18629</v>
      </c>
      <c r="O726">
        <v>0</v>
      </c>
      <c r="P726">
        <v>0</v>
      </c>
      <c r="Q726" t="s">
        <v>37</v>
      </c>
      <c r="R726" t="s">
        <v>100</v>
      </c>
      <c r="S726" t="s">
        <v>1526</v>
      </c>
      <c r="T726" t="s">
        <v>1527</v>
      </c>
    </row>
    <row r="727" spans="1:20" x14ac:dyDescent="0.25">
      <c r="A727" t="s">
        <v>2444</v>
      </c>
      <c r="B727" t="str">
        <f>"3826"</f>
        <v>3826</v>
      </c>
      <c r="C727" t="str">
        <f>"297823826"</f>
        <v>297823826</v>
      </c>
      <c r="D727" t="s">
        <v>2445</v>
      </c>
      <c r="E727" t="s">
        <v>1094</v>
      </c>
      <c r="F727" t="s">
        <v>28</v>
      </c>
      <c r="G727" s="1">
        <v>31028</v>
      </c>
      <c r="H727" s="1">
        <v>41512</v>
      </c>
      <c r="I727" t="str">
        <f t="shared" si="11"/>
        <v>51</v>
      </c>
      <c r="J727" t="s">
        <v>471</v>
      </c>
      <c r="K727" t="s">
        <v>25</v>
      </c>
      <c r="L727" t="s">
        <v>26</v>
      </c>
      <c r="M727" t="s">
        <v>27</v>
      </c>
      <c r="N727" s="1">
        <v>18629</v>
      </c>
      <c r="O727">
        <v>0</v>
      </c>
      <c r="P727">
        <v>0</v>
      </c>
      <c r="Q727" t="s">
        <v>37</v>
      </c>
      <c r="R727" t="s">
        <v>29</v>
      </c>
      <c r="S727" t="s">
        <v>138</v>
      </c>
      <c r="T727" t="s">
        <v>139</v>
      </c>
    </row>
    <row r="728" spans="1:20" x14ac:dyDescent="0.25">
      <c r="A728" t="s">
        <v>2446</v>
      </c>
      <c r="B728" t="str">
        <f>"8348"</f>
        <v>8348</v>
      </c>
      <c r="C728" t="str">
        <f>"021528348"</f>
        <v>021528348</v>
      </c>
      <c r="D728" t="s">
        <v>2447</v>
      </c>
      <c r="E728" t="s">
        <v>526</v>
      </c>
      <c r="F728" t="s">
        <v>438</v>
      </c>
      <c r="G728" s="1">
        <v>25232</v>
      </c>
      <c r="H728" s="1">
        <v>41512</v>
      </c>
      <c r="I728" t="str">
        <f t="shared" si="11"/>
        <v>51</v>
      </c>
      <c r="J728" t="s">
        <v>471</v>
      </c>
      <c r="K728" t="s">
        <v>25</v>
      </c>
      <c r="L728" t="s">
        <v>26</v>
      </c>
      <c r="M728" t="s">
        <v>27</v>
      </c>
      <c r="N728" s="1">
        <v>18629</v>
      </c>
      <c r="O728">
        <v>0</v>
      </c>
      <c r="P728">
        <v>0</v>
      </c>
      <c r="Q728" t="s">
        <v>37</v>
      </c>
      <c r="R728" t="s">
        <v>51</v>
      </c>
      <c r="S728" s="2" t="s">
        <v>1568</v>
      </c>
      <c r="T728" t="s">
        <v>1569</v>
      </c>
    </row>
    <row r="729" spans="1:20" x14ac:dyDescent="0.25">
      <c r="A729" t="s">
        <v>2448</v>
      </c>
      <c r="B729" t="str">
        <f>"0668"</f>
        <v>0668</v>
      </c>
      <c r="C729" t="str">
        <f>"137280668"</f>
        <v>137280668</v>
      </c>
      <c r="D729" t="s">
        <v>2449</v>
      </c>
      <c r="E729" t="s">
        <v>2450</v>
      </c>
      <c r="F729" t="s">
        <v>219</v>
      </c>
      <c r="G729" s="1">
        <v>13134</v>
      </c>
      <c r="H729" s="1">
        <v>41512</v>
      </c>
      <c r="I729" t="str">
        <f t="shared" si="11"/>
        <v>51</v>
      </c>
      <c r="J729" t="s">
        <v>471</v>
      </c>
      <c r="K729" t="s">
        <v>25</v>
      </c>
      <c r="L729" t="s">
        <v>26</v>
      </c>
      <c r="M729" t="s">
        <v>27</v>
      </c>
      <c r="N729" s="1">
        <v>18629</v>
      </c>
      <c r="O729">
        <v>0</v>
      </c>
      <c r="P729">
        <v>0</v>
      </c>
      <c r="Q729" t="s">
        <v>37</v>
      </c>
      <c r="R729" t="s">
        <v>51</v>
      </c>
      <c r="S729" s="2" t="s">
        <v>2451</v>
      </c>
      <c r="T729" t="s">
        <v>2452</v>
      </c>
    </row>
    <row r="730" spans="1:20" x14ac:dyDescent="0.25">
      <c r="A730" t="s">
        <v>2453</v>
      </c>
      <c r="B730" t="str">
        <f>"1308"</f>
        <v>1308</v>
      </c>
      <c r="C730" t="str">
        <f>"298111308"</f>
        <v>298111308</v>
      </c>
      <c r="D730" t="s">
        <v>2454</v>
      </c>
      <c r="E730" t="s">
        <v>2455</v>
      </c>
      <c r="G730" s="1">
        <v>25574</v>
      </c>
      <c r="H730" s="1">
        <v>41512</v>
      </c>
      <c r="I730" t="str">
        <f t="shared" si="11"/>
        <v>51</v>
      </c>
      <c r="J730" t="s">
        <v>471</v>
      </c>
      <c r="K730" t="s">
        <v>25</v>
      </c>
      <c r="L730" t="s">
        <v>26</v>
      </c>
      <c r="M730" t="s">
        <v>27</v>
      </c>
      <c r="N730" s="1">
        <v>18629</v>
      </c>
      <c r="O730">
        <v>0</v>
      </c>
      <c r="P730">
        <v>0</v>
      </c>
      <c r="Q730" t="s">
        <v>37</v>
      </c>
      <c r="R730" t="s">
        <v>71</v>
      </c>
      <c r="S730" t="s">
        <v>1499</v>
      </c>
      <c r="T730" t="s">
        <v>1500</v>
      </c>
    </row>
    <row r="731" spans="1:20" x14ac:dyDescent="0.25">
      <c r="A731" t="s">
        <v>2456</v>
      </c>
      <c r="B731" t="str">
        <f>"7836"</f>
        <v>7836</v>
      </c>
      <c r="C731" t="str">
        <f>"327767836"</f>
        <v>327767836</v>
      </c>
      <c r="D731" t="s">
        <v>2457</v>
      </c>
      <c r="E731" t="s">
        <v>57</v>
      </c>
      <c r="F731" t="s">
        <v>264</v>
      </c>
      <c r="G731" s="1">
        <v>29265</v>
      </c>
      <c r="H731" s="1">
        <v>41512</v>
      </c>
      <c r="I731" t="str">
        <f t="shared" si="11"/>
        <v>51</v>
      </c>
      <c r="J731" t="s">
        <v>471</v>
      </c>
      <c r="K731" t="s">
        <v>25</v>
      </c>
      <c r="L731" t="s">
        <v>26</v>
      </c>
      <c r="M731" t="s">
        <v>27</v>
      </c>
      <c r="N731" s="1">
        <v>18629</v>
      </c>
      <c r="O731">
        <v>0</v>
      </c>
      <c r="P731">
        <v>0</v>
      </c>
      <c r="Q731" t="s">
        <v>28</v>
      </c>
      <c r="R731" t="s">
        <v>71</v>
      </c>
      <c r="S731" t="s">
        <v>2458</v>
      </c>
      <c r="T731" t="s">
        <v>2459</v>
      </c>
    </row>
    <row r="732" spans="1:20" x14ac:dyDescent="0.25">
      <c r="A732" t="s">
        <v>2460</v>
      </c>
      <c r="B732" t="str">
        <f>"8398"</f>
        <v>8398</v>
      </c>
      <c r="C732" t="str">
        <f>"270868398"</f>
        <v>270868398</v>
      </c>
      <c r="D732" t="s">
        <v>1798</v>
      </c>
      <c r="E732" t="s">
        <v>2461</v>
      </c>
      <c r="F732" t="s">
        <v>97</v>
      </c>
      <c r="G732" s="1">
        <v>31276</v>
      </c>
      <c r="H732" s="1">
        <v>41512</v>
      </c>
      <c r="I732" t="str">
        <f t="shared" si="11"/>
        <v>51</v>
      </c>
      <c r="J732" t="s">
        <v>471</v>
      </c>
      <c r="K732" t="s">
        <v>25</v>
      </c>
      <c r="L732" t="s">
        <v>26</v>
      </c>
      <c r="M732" t="s">
        <v>27</v>
      </c>
      <c r="N732" s="1">
        <v>18629</v>
      </c>
      <c r="O732">
        <v>0</v>
      </c>
      <c r="P732">
        <v>0</v>
      </c>
      <c r="Q732" t="s">
        <v>37</v>
      </c>
      <c r="R732" t="s">
        <v>29</v>
      </c>
      <c r="S732" t="s">
        <v>138</v>
      </c>
      <c r="T732" t="s">
        <v>139</v>
      </c>
    </row>
    <row r="733" spans="1:20" x14ac:dyDescent="0.25">
      <c r="A733" t="s">
        <v>2462</v>
      </c>
      <c r="B733" t="str">
        <f>"1401"</f>
        <v>1401</v>
      </c>
      <c r="C733" t="str">
        <f>"532941401"</f>
        <v>532941401</v>
      </c>
      <c r="D733" t="s">
        <v>1798</v>
      </c>
      <c r="E733" t="s">
        <v>2463</v>
      </c>
      <c r="F733" t="s">
        <v>28</v>
      </c>
      <c r="G733" s="1">
        <v>27007</v>
      </c>
      <c r="H733" s="1">
        <v>41512</v>
      </c>
      <c r="I733" t="str">
        <f t="shared" si="11"/>
        <v>51</v>
      </c>
      <c r="J733" t="s">
        <v>471</v>
      </c>
      <c r="K733" t="s">
        <v>25</v>
      </c>
      <c r="L733" t="s">
        <v>26</v>
      </c>
      <c r="M733" t="s">
        <v>27</v>
      </c>
      <c r="N733" s="1">
        <v>18629</v>
      </c>
      <c r="O733">
        <v>0</v>
      </c>
      <c r="P733">
        <v>0</v>
      </c>
      <c r="Q733" t="s">
        <v>37</v>
      </c>
      <c r="R733" t="s">
        <v>29</v>
      </c>
      <c r="S733" t="s">
        <v>138</v>
      </c>
      <c r="T733" t="s">
        <v>139</v>
      </c>
    </row>
    <row r="734" spans="1:20" x14ac:dyDescent="0.25">
      <c r="A734" t="s">
        <v>2464</v>
      </c>
      <c r="B734" t="str">
        <f>"3679"</f>
        <v>3679</v>
      </c>
      <c r="C734" t="str">
        <f>"298823679"</f>
        <v>298823679</v>
      </c>
      <c r="D734" t="s">
        <v>2465</v>
      </c>
      <c r="E734" t="s">
        <v>448</v>
      </c>
      <c r="F734" t="s">
        <v>44</v>
      </c>
      <c r="G734" s="1">
        <v>26281</v>
      </c>
      <c r="H734" s="1">
        <v>41512</v>
      </c>
      <c r="I734" t="str">
        <f t="shared" si="11"/>
        <v>51</v>
      </c>
      <c r="J734" t="s">
        <v>471</v>
      </c>
      <c r="K734" t="s">
        <v>25</v>
      </c>
      <c r="L734" t="s">
        <v>26</v>
      </c>
      <c r="M734" t="s">
        <v>27</v>
      </c>
      <c r="N734" s="1">
        <v>18629</v>
      </c>
      <c r="O734">
        <v>0</v>
      </c>
      <c r="P734">
        <v>0</v>
      </c>
      <c r="Q734" t="s">
        <v>37</v>
      </c>
      <c r="R734" t="s">
        <v>29</v>
      </c>
      <c r="S734" t="s">
        <v>138</v>
      </c>
      <c r="T734" t="s">
        <v>139</v>
      </c>
    </row>
    <row r="735" spans="1:20" x14ac:dyDescent="0.25">
      <c r="A735" t="s">
        <v>2466</v>
      </c>
      <c r="B735" t="str">
        <f>"5689"</f>
        <v>5689</v>
      </c>
      <c r="C735" t="str">
        <f>"293865689"</f>
        <v>293865689</v>
      </c>
      <c r="D735" t="s">
        <v>2467</v>
      </c>
      <c r="E735" t="s">
        <v>619</v>
      </c>
      <c r="F735" t="s">
        <v>93</v>
      </c>
      <c r="G735" s="1">
        <v>24975</v>
      </c>
      <c r="H735" s="1">
        <v>41512</v>
      </c>
      <c r="I735" t="str">
        <f t="shared" si="11"/>
        <v>51</v>
      </c>
      <c r="J735" t="s">
        <v>471</v>
      </c>
      <c r="K735" t="s">
        <v>25</v>
      </c>
      <c r="L735" t="s">
        <v>26</v>
      </c>
      <c r="M735" t="s">
        <v>27</v>
      </c>
      <c r="N735" s="1">
        <v>18629</v>
      </c>
      <c r="O735">
        <v>0</v>
      </c>
      <c r="P735">
        <v>0</v>
      </c>
      <c r="Q735" t="s">
        <v>37</v>
      </c>
      <c r="R735" t="s">
        <v>29</v>
      </c>
      <c r="S735" t="s">
        <v>138</v>
      </c>
      <c r="T735" t="s">
        <v>139</v>
      </c>
    </row>
    <row r="736" spans="1:20" x14ac:dyDescent="0.25">
      <c r="A736" t="s">
        <v>2468</v>
      </c>
      <c r="B736" t="str">
        <f>"2498"</f>
        <v>2498</v>
      </c>
      <c r="C736" t="str">
        <f>"270522498"</f>
        <v>270522498</v>
      </c>
      <c r="D736" t="s">
        <v>2469</v>
      </c>
      <c r="E736" t="s">
        <v>2470</v>
      </c>
      <c r="F736" t="s">
        <v>93</v>
      </c>
      <c r="G736" s="1">
        <v>18846</v>
      </c>
      <c r="H736" s="1">
        <v>41512</v>
      </c>
      <c r="I736" t="str">
        <f t="shared" si="11"/>
        <v>51</v>
      </c>
      <c r="J736" t="s">
        <v>471</v>
      </c>
      <c r="K736" t="s">
        <v>25</v>
      </c>
      <c r="L736" t="s">
        <v>26</v>
      </c>
      <c r="M736" t="s">
        <v>27</v>
      </c>
      <c r="N736" s="1">
        <v>18629</v>
      </c>
      <c r="O736">
        <v>0</v>
      </c>
      <c r="P736">
        <v>0</v>
      </c>
      <c r="Q736" t="s">
        <v>28</v>
      </c>
      <c r="R736" t="s">
        <v>71</v>
      </c>
      <c r="S736" t="s">
        <v>180</v>
      </c>
      <c r="T736" t="s">
        <v>181</v>
      </c>
    </row>
    <row r="737" spans="1:20" x14ac:dyDescent="0.25">
      <c r="A737" t="s">
        <v>2471</v>
      </c>
      <c r="B737" t="str">
        <f>"8067"</f>
        <v>8067</v>
      </c>
      <c r="C737" t="str">
        <f>"285748067"</f>
        <v>285748067</v>
      </c>
      <c r="D737" t="s">
        <v>2472</v>
      </c>
      <c r="E737" t="s">
        <v>1363</v>
      </c>
      <c r="F737" t="s">
        <v>2473</v>
      </c>
      <c r="G737" s="1">
        <v>24446</v>
      </c>
      <c r="H737" s="1">
        <v>41512</v>
      </c>
      <c r="I737" t="str">
        <f t="shared" si="11"/>
        <v>51</v>
      </c>
      <c r="J737" t="s">
        <v>471</v>
      </c>
      <c r="K737" t="s">
        <v>25</v>
      </c>
      <c r="L737" t="s">
        <v>26</v>
      </c>
      <c r="M737" t="s">
        <v>27</v>
      </c>
      <c r="N737" s="1">
        <v>18629</v>
      </c>
      <c r="O737">
        <v>0</v>
      </c>
      <c r="P737">
        <v>0</v>
      </c>
      <c r="Q737" t="s">
        <v>37</v>
      </c>
      <c r="R737" t="s">
        <v>29</v>
      </c>
      <c r="S737" t="s">
        <v>138</v>
      </c>
      <c r="T737" t="s">
        <v>139</v>
      </c>
    </row>
    <row r="738" spans="1:20" x14ac:dyDescent="0.25">
      <c r="A738" t="s">
        <v>2474</v>
      </c>
      <c r="B738" t="str">
        <f>"1964"</f>
        <v>1964</v>
      </c>
      <c r="C738" t="str">
        <f>"276721964"</f>
        <v>276721964</v>
      </c>
      <c r="D738" t="s">
        <v>2475</v>
      </c>
      <c r="E738" t="s">
        <v>2476</v>
      </c>
      <c r="G738" s="1">
        <v>23498</v>
      </c>
      <c r="H738" s="1">
        <v>41512</v>
      </c>
      <c r="I738" t="str">
        <f t="shared" si="11"/>
        <v>51</v>
      </c>
      <c r="J738" t="s">
        <v>471</v>
      </c>
      <c r="K738" t="s">
        <v>25</v>
      </c>
      <c r="L738" t="s">
        <v>26</v>
      </c>
      <c r="M738" t="s">
        <v>27</v>
      </c>
      <c r="N738" s="1">
        <v>18629</v>
      </c>
      <c r="O738">
        <v>0</v>
      </c>
      <c r="P738">
        <v>0</v>
      </c>
      <c r="Q738" t="s">
        <v>37</v>
      </c>
      <c r="R738" t="s">
        <v>51</v>
      </c>
      <c r="S738" s="2" t="s">
        <v>1508</v>
      </c>
      <c r="T738" t="s">
        <v>1509</v>
      </c>
    </row>
    <row r="739" spans="1:20" x14ac:dyDescent="0.25">
      <c r="A739" t="s">
        <v>2477</v>
      </c>
      <c r="B739" t="str">
        <f>"2966"</f>
        <v>2966</v>
      </c>
      <c r="C739" t="str">
        <f>"275502966"</f>
        <v>275502966</v>
      </c>
      <c r="D739" t="s">
        <v>2478</v>
      </c>
      <c r="E739" t="s">
        <v>900</v>
      </c>
      <c r="F739" t="s">
        <v>93</v>
      </c>
      <c r="G739" s="1">
        <v>24377</v>
      </c>
      <c r="H739" s="1">
        <v>41512</v>
      </c>
      <c r="I739" t="str">
        <f t="shared" si="11"/>
        <v>51</v>
      </c>
      <c r="J739" t="s">
        <v>471</v>
      </c>
      <c r="K739" t="s">
        <v>25</v>
      </c>
      <c r="L739" t="s">
        <v>26</v>
      </c>
      <c r="M739" t="s">
        <v>27</v>
      </c>
      <c r="N739" s="1">
        <v>18629</v>
      </c>
      <c r="O739">
        <v>0</v>
      </c>
      <c r="P739">
        <v>0</v>
      </c>
      <c r="Q739" t="s">
        <v>37</v>
      </c>
      <c r="R739" t="s">
        <v>51</v>
      </c>
      <c r="S739" s="2" t="s">
        <v>2202</v>
      </c>
      <c r="T739" t="s">
        <v>2203</v>
      </c>
    </row>
    <row r="740" spans="1:20" x14ac:dyDescent="0.25">
      <c r="A740" t="s">
        <v>2479</v>
      </c>
      <c r="B740" t="str">
        <f>"5970"</f>
        <v>5970</v>
      </c>
      <c r="C740" t="str">
        <f>"291445970"</f>
        <v>291445970</v>
      </c>
      <c r="D740" t="s">
        <v>2480</v>
      </c>
      <c r="E740" t="s">
        <v>122</v>
      </c>
      <c r="F740" t="s">
        <v>37</v>
      </c>
      <c r="G740" s="1">
        <v>18354</v>
      </c>
      <c r="H740" s="1">
        <v>41512</v>
      </c>
      <c r="I740" t="str">
        <f t="shared" si="11"/>
        <v>51</v>
      </c>
      <c r="J740" t="s">
        <v>471</v>
      </c>
      <c r="K740" t="s">
        <v>25</v>
      </c>
      <c r="L740" t="s">
        <v>26</v>
      </c>
      <c r="M740" t="s">
        <v>27</v>
      </c>
      <c r="N740" s="1">
        <v>18629</v>
      </c>
      <c r="O740">
        <v>0</v>
      </c>
      <c r="P740">
        <v>0</v>
      </c>
      <c r="Q740" t="s">
        <v>28</v>
      </c>
      <c r="R740" t="s">
        <v>100</v>
      </c>
      <c r="S740" t="s">
        <v>1462</v>
      </c>
      <c r="T740" t="s">
        <v>1463</v>
      </c>
    </row>
    <row r="741" spans="1:20" x14ac:dyDescent="0.25">
      <c r="A741" t="s">
        <v>2481</v>
      </c>
      <c r="B741" t="str">
        <f>"5420"</f>
        <v>5420</v>
      </c>
      <c r="C741" t="str">
        <f>"268845420"</f>
        <v>268845420</v>
      </c>
      <c r="D741" t="s">
        <v>2482</v>
      </c>
      <c r="E741" t="s">
        <v>2483</v>
      </c>
      <c r="F741" t="s">
        <v>44</v>
      </c>
      <c r="G741" s="1">
        <v>28433</v>
      </c>
      <c r="H741" s="1">
        <v>41512</v>
      </c>
      <c r="I741" t="str">
        <f t="shared" si="11"/>
        <v>51</v>
      </c>
      <c r="J741" t="s">
        <v>471</v>
      </c>
      <c r="K741" t="s">
        <v>25</v>
      </c>
      <c r="L741" t="s">
        <v>26</v>
      </c>
      <c r="M741" t="s">
        <v>27</v>
      </c>
      <c r="N741" s="1">
        <v>18629</v>
      </c>
      <c r="O741">
        <v>0</v>
      </c>
      <c r="P741">
        <v>0</v>
      </c>
      <c r="Q741" t="s">
        <v>37</v>
      </c>
      <c r="R741" t="s">
        <v>29</v>
      </c>
      <c r="S741" t="s">
        <v>138</v>
      </c>
      <c r="T741" t="s">
        <v>139</v>
      </c>
    </row>
    <row r="742" spans="1:20" x14ac:dyDescent="0.25">
      <c r="A742" t="s">
        <v>2484</v>
      </c>
      <c r="B742" t="str">
        <f>"8444"</f>
        <v>8444</v>
      </c>
      <c r="C742" t="str">
        <f>"288788444"</f>
        <v>288788444</v>
      </c>
      <c r="D742" t="s">
        <v>2485</v>
      </c>
      <c r="E742" t="s">
        <v>2486</v>
      </c>
      <c r="G742" s="1">
        <v>24426</v>
      </c>
      <c r="H742" s="1">
        <v>41512</v>
      </c>
      <c r="I742" t="str">
        <f t="shared" si="11"/>
        <v>51</v>
      </c>
      <c r="J742" t="s">
        <v>471</v>
      </c>
      <c r="K742" t="s">
        <v>25</v>
      </c>
      <c r="L742" t="s">
        <v>26</v>
      </c>
      <c r="M742" t="s">
        <v>27</v>
      </c>
      <c r="N742" s="1">
        <v>18629</v>
      </c>
      <c r="O742">
        <v>0</v>
      </c>
      <c r="P742">
        <v>0</v>
      </c>
      <c r="Q742" t="s">
        <v>37</v>
      </c>
      <c r="R742" t="s">
        <v>29</v>
      </c>
      <c r="S742" t="s">
        <v>138</v>
      </c>
      <c r="T742" t="s">
        <v>139</v>
      </c>
    </row>
    <row r="743" spans="1:20" x14ac:dyDescent="0.25">
      <c r="A743" t="s">
        <v>2487</v>
      </c>
      <c r="B743" t="str">
        <f>"0926"</f>
        <v>0926</v>
      </c>
      <c r="C743" t="str">
        <f>"274820926"</f>
        <v>274820926</v>
      </c>
      <c r="D743" t="s">
        <v>2488</v>
      </c>
      <c r="E743" t="s">
        <v>146</v>
      </c>
      <c r="F743" t="s">
        <v>2489</v>
      </c>
      <c r="G743" s="1">
        <v>30388</v>
      </c>
      <c r="H743" s="1">
        <v>41512</v>
      </c>
      <c r="I743" t="str">
        <f t="shared" si="11"/>
        <v>51</v>
      </c>
      <c r="J743" t="s">
        <v>471</v>
      </c>
      <c r="K743" t="s">
        <v>25</v>
      </c>
      <c r="L743" t="s">
        <v>26</v>
      </c>
      <c r="M743" t="s">
        <v>27</v>
      </c>
      <c r="N743" s="1">
        <v>18629</v>
      </c>
      <c r="O743">
        <v>0</v>
      </c>
      <c r="P743">
        <v>0</v>
      </c>
      <c r="Q743" t="s">
        <v>37</v>
      </c>
      <c r="R743" t="s">
        <v>100</v>
      </c>
      <c r="S743" t="s">
        <v>1526</v>
      </c>
      <c r="T743" t="s">
        <v>1527</v>
      </c>
    </row>
    <row r="744" spans="1:20" x14ac:dyDescent="0.25">
      <c r="A744" t="s">
        <v>2490</v>
      </c>
      <c r="B744" t="str">
        <f>"6513"</f>
        <v>6513</v>
      </c>
      <c r="C744" t="str">
        <f>"559696513"</f>
        <v>559696513</v>
      </c>
      <c r="D744" t="s">
        <v>2491</v>
      </c>
      <c r="E744" t="s">
        <v>2060</v>
      </c>
      <c r="F744" t="s">
        <v>239</v>
      </c>
      <c r="G744" s="1">
        <v>29462</v>
      </c>
      <c r="H744" s="1">
        <v>41512</v>
      </c>
      <c r="I744" t="str">
        <f t="shared" si="11"/>
        <v>51</v>
      </c>
      <c r="J744" t="s">
        <v>471</v>
      </c>
      <c r="K744" t="s">
        <v>25</v>
      </c>
      <c r="L744" t="s">
        <v>26</v>
      </c>
      <c r="M744" t="s">
        <v>27</v>
      </c>
      <c r="N744" s="1">
        <v>18629</v>
      </c>
      <c r="O744">
        <v>0</v>
      </c>
      <c r="P744">
        <v>0</v>
      </c>
      <c r="Q744" t="s">
        <v>28</v>
      </c>
      <c r="R744" t="s">
        <v>29</v>
      </c>
      <c r="S744" t="s">
        <v>138</v>
      </c>
      <c r="T744" t="s">
        <v>139</v>
      </c>
    </row>
    <row r="745" spans="1:20" x14ac:dyDescent="0.25">
      <c r="A745" t="s">
        <v>2492</v>
      </c>
      <c r="B745" t="str">
        <f>"4250"</f>
        <v>4250</v>
      </c>
      <c r="C745" t="str">
        <f>"296844250"</f>
        <v>296844250</v>
      </c>
      <c r="D745" t="s">
        <v>2493</v>
      </c>
      <c r="E745" t="s">
        <v>1546</v>
      </c>
      <c r="F745" t="s">
        <v>97</v>
      </c>
      <c r="G745" s="1">
        <v>31187</v>
      </c>
      <c r="H745" s="1">
        <v>41512</v>
      </c>
      <c r="I745" t="str">
        <f t="shared" si="11"/>
        <v>51</v>
      </c>
      <c r="J745" t="s">
        <v>471</v>
      </c>
      <c r="K745" t="s">
        <v>25</v>
      </c>
      <c r="L745" t="s">
        <v>26</v>
      </c>
      <c r="M745" t="s">
        <v>27</v>
      </c>
      <c r="N745" s="1">
        <v>18629</v>
      </c>
      <c r="O745">
        <v>0</v>
      </c>
      <c r="P745">
        <v>0</v>
      </c>
      <c r="Q745" t="s">
        <v>37</v>
      </c>
      <c r="R745" t="s">
        <v>71</v>
      </c>
      <c r="S745" t="s">
        <v>157</v>
      </c>
      <c r="T745" t="s">
        <v>158</v>
      </c>
    </row>
    <row r="746" spans="1:20" x14ac:dyDescent="0.25">
      <c r="A746" t="s">
        <v>2494</v>
      </c>
      <c r="B746" t="str">
        <f>"7959"</f>
        <v>7959</v>
      </c>
      <c r="C746" t="str">
        <f>"281807959"</f>
        <v>281807959</v>
      </c>
      <c r="D746" t="s">
        <v>2495</v>
      </c>
      <c r="E746" t="s">
        <v>178</v>
      </c>
      <c r="F746" t="s">
        <v>97</v>
      </c>
      <c r="G746" s="1">
        <v>30327</v>
      </c>
      <c r="H746" s="1">
        <v>41512</v>
      </c>
      <c r="I746" t="str">
        <f>"41"</f>
        <v>41</v>
      </c>
      <c r="J746" t="s">
        <v>24</v>
      </c>
      <c r="K746" t="s">
        <v>25</v>
      </c>
      <c r="L746" t="s">
        <v>26</v>
      </c>
      <c r="M746" t="s">
        <v>27</v>
      </c>
      <c r="N746" s="1">
        <v>18629</v>
      </c>
      <c r="O746">
        <v>0</v>
      </c>
      <c r="P746">
        <v>0</v>
      </c>
      <c r="Q746" t="s">
        <v>28</v>
      </c>
      <c r="R746" t="s">
        <v>51</v>
      </c>
      <c r="S746" s="2" t="s">
        <v>2496</v>
      </c>
      <c r="T746" t="s">
        <v>2497</v>
      </c>
    </row>
    <row r="747" spans="1:20" x14ac:dyDescent="0.25">
      <c r="A747" t="s">
        <v>2498</v>
      </c>
      <c r="B747" t="str">
        <f>"6735"</f>
        <v>6735</v>
      </c>
      <c r="C747" t="str">
        <f>"283846735"</f>
        <v>283846735</v>
      </c>
      <c r="D747" t="s">
        <v>2499</v>
      </c>
      <c r="E747" t="s">
        <v>2500</v>
      </c>
      <c r="F747" t="s">
        <v>44</v>
      </c>
      <c r="G747" s="1">
        <v>28697</v>
      </c>
      <c r="H747" s="1">
        <v>41512</v>
      </c>
      <c r="I747" t="str">
        <f t="shared" ref="I747:I764" si="12">"51"</f>
        <v>51</v>
      </c>
      <c r="J747" t="s">
        <v>471</v>
      </c>
      <c r="K747" t="s">
        <v>25</v>
      </c>
      <c r="L747" t="s">
        <v>26</v>
      </c>
      <c r="M747" t="s">
        <v>27</v>
      </c>
      <c r="N747" s="1">
        <v>18629</v>
      </c>
      <c r="O747">
        <v>0</v>
      </c>
      <c r="P747">
        <v>0</v>
      </c>
      <c r="Q747" t="s">
        <v>37</v>
      </c>
      <c r="R747" t="s">
        <v>29</v>
      </c>
      <c r="S747" t="s">
        <v>138</v>
      </c>
      <c r="T747" t="s">
        <v>139</v>
      </c>
    </row>
    <row r="748" spans="1:20" x14ac:dyDescent="0.25">
      <c r="A748" t="s">
        <v>2501</v>
      </c>
      <c r="B748" t="str">
        <f>"2466"</f>
        <v>2466</v>
      </c>
      <c r="C748" t="str">
        <f>"380922466"</f>
        <v>380922466</v>
      </c>
      <c r="D748" t="s">
        <v>2502</v>
      </c>
      <c r="E748" t="s">
        <v>2503</v>
      </c>
      <c r="F748" t="s">
        <v>329</v>
      </c>
      <c r="G748" s="1">
        <v>30483</v>
      </c>
      <c r="H748" s="1">
        <v>41512</v>
      </c>
      <c r="I748" t="str">
        <f t="shared" si="12"/>
        <v>51</v>
      </c>
      <c r="J748" t="s">
        <v>471</v>
      </c>
      <c r="K748" t="s">
        <v>25</v>
      </c>
      <c r="L748" t="s">
        <v>26</v>
      </c>
      <c r="M748" t="s">
        <v>27</v>
      </c>
      <c r="N748" s="1">
        <v>18629</v>
      </c>
      <c r="O748">
        <v>0</v>
      </c>
      <c r="P748">
        <v>0</v>
      </c>
      <c r="Q748" t="s">
        <v>37</v>
      </c>
      <c r="R748" t="s">
        <v>51</v>
      </c>
      <c r="S748" t="s">
        <v>2355</v>
      </c>
      <c r="T748" t="s">
        <v>2356</v>
      </c>
    </row>
    <row r="749" spans="1:20" x14ac:dyDescent="0.25">
      <c r="A749" t="s">
        <v>2504</v>
      </c>
      <c r="B749" t="str">
        <f>"7317"</f>
        <v>7317</v>
      </c>
      <c r="C749" t="str">
        <f>"166707317"</f>
        <v>166707317</v>
      </c>
      <c r="D749" t="s">
        <v>2505</v>
      </c>
      <c r="E749" t="s">
        <v>1007</v>
      </c>
      <c r="F749" t="s">
        <v>1666</v>
      </c>
      <c r="G749" s="1">
        <v>30403</v>
      </c>
      <c r="H749" s="1">
        <v>41512</v>
      </c>
      <c r="I749" t="str">
        <f t="shared" si="12"/>
        <v>51</v>
      </c>
      <c r="J749" t="s">
        <v>471</v>
      </c>
      <c r="K749" t="s">
        <v>25</v>
      </c>
      <c r="L749" t="s">
        <v>26</v>
      </c>
      <c r="M749" t="s">
        <v>27</v>
      </c>
      <c r="N749" s="1">
        <v>18629</v>
      </c>
      <c r="O749">
        <v>0</v>
      </c>
      <c r="P749">
        <v>0</v>
      </c>
      <c r="Q749" t="s">
        <v>37</v>
      </c>
      <c r="R749" t="s">
        <v>29</v>
      </c>
      <c r="S749" t="s">
        <v>138</v>
      </c>
      <c r="T749" t="s">
        <v>139</v>
      </c>
    </row>
    <row r="750" spans="1:20" x14ac:dyDescent="0.25">
      <c r="A750" t="s">
        <v>2506</v>
      </c>
      <c r="B750" t="str">
        <f>"0887"</f>
        <v>0887</v>
      </c>
      <c r="C750" t="str">
        <f>"275800887"</f>
        <v>275800887</v>
      </c>
      <c r="D750" t="s">
        <v>2507</v>
      </c>
      <c r="E750" t="s">
        <v>877</v>
      </c>
      <c r="F750" t="s">
        <v>28</v>
      </c>
      <c r="G750" s="1">
        <v>26638</v>
      </c>
      <c r="H750" s="1">
        <v>41512</v>
      </c>
      <c r="I750" t="str">
        <f t="shared" si="12"/>
        <v>51</v>
      </c>
      <c r="J750" t="s">
        <v>471</v>
      </c>
      <c r="K750" t="s">
        <v>25</v>
      </c>
      <c r="L750" t="s">
        <v>26</v>
      </c>
      <c r="M750" t="s">
        <v>27</v>
      </c>
      <c r="N750" s="1">
        <v>18629</v>
      </c>
      <c r="O750">
        <v>0</v>
      </c>
      <c r="P750">
        <v>0</v>
      </c>
      <c r="Q750" t="s">
        <v>37</v>
      </c>
      <c r="R750" t="s">
        <v>29</v>
      </c>
      <c r="S750" t="s">
        <v>138</v>
      </c>
      <c r="T750" t="s">
        <v>139</v>
      </c>
    </row>
    <row r="751" spans="1:20" x14ac:dyDescent="0.25">
      <c r="A751" t="s">
        <v>2508</v>
      </c>
      <c r="B751" t="str">
        <f>"2538"</f>
        <v>2538</v>
      </c>
      <c r="C751" t="str">
        <f>"297922538"</f>
        <v>297922538</v>
      </c>
      <c r="D751" t="s">
        <v>2509</v>
      </c>
      <c r="E751" t="s">
        <v>1530</v>
      </c>
      <c r="F751" t="s">
        <v>93</v>
      </c>
      <c r="G751" s="1">
        <v>27740</v>
      </c>
      <c r="H751" s="1">
        <v>41512</v>
      </c>
      <c r="I751" t="str">
        <f t="shared" si="12"/>
        <v>51</v>
      </c>
      <c r="J751" t="s">
        <v>471</v>
      </c>
      <c r="K751" t="s">
        <v>25</v>
      </c>
      <c r="L751" t="s">
        <v>26</v>
      </c>
      <c r="M751" t="s">
        <v>27</v>
      </c>
      <c r="N751" s="1">
        <v>18629</v>
      </c>
      <c r="O751">
        <v>0</v>
      </c>
      <c r="P751">
        <v>0</v>
      </c>
      <c r="Q751" t="s">
        <v>37</v>
      </c>
      <c r="R751" t="s">
        <v>29</v>
      </c>
      <c r="S751" t="s">
        <v>138</v>
      </c>
      <c r="T751" t="s">
        <v>139</v>
      </c>
    </row>
    <row r="752" spans="1:20" x14ac:dyDescent="0.25">
      <c r="A752" t="s">
        <v>2510</v>
      </c>
      <c r="B752" t="str">
        <f>"6248"</f>
        <v>6248</v>
      </c>
      <c r="C752" t="str">
        <f>"290546248"</f>
        <v>290546248</v>
      </c>
      <c r="D752" t="s">
        <v>2511</v>
      </c>
      <c r="E752" t="s">
        <v>2512</v>
      </c>
      <c r="G752" s="1">
        <v>20790</v>
      </c>
      <c r="H752" s="1">
        <v>41512</v>
      </c>
      <c r="I752" t="str">
        <f t="shared" si="12"/>
        <v>51</v>
      </c>
      <c r="J752" t="s">
        <v>471</v>
      </c>
      <c r="K752" t="s">
        <v>25</v>
      </c>
      <c r="L752" t="s">
        <v>26</v>
      </c>
      <c r="M752" t="s">
        <v>27</v>
      </c>
      <c r="N752" s="1">
        <v>18629</v>
      </c>
      <c r="O752">
        <v>0</v>
      </c>
      <c r="P752">
        <v>0</v>
      </c>
      <c r="Q752" t="s">
        <v>37</v>
      </c>
      <c r="R752" t="s">
        <v>29</v>
      </c>
      <c r="S752" t="s">
        <v>138</v>
      </c>
      <c r="T752" t="s">
        <v>139</v>
      </c>
    </row>
    <row r="753" spans="1:20" x14ac:dyDescent="0.25">
      <c r="A753" t="s">
        <v>2513</v>
      </c>
      <c r="B753" t="str">
        <f>"2540"</f>
        <v>2540</v>
      </c>
      <c r="C753" t="str">
        <f>"289482540"</f>
        <v>289482540</v>
      </c>
      <c r="D753" t="s">
        <v>2514</v>
      </c>
      <c r="E753" t="s">
        <v>256</v>
      </c>
      <c r="F753" t="s">
        <v>358</v>
      </c>
      <c r="G753" s="1">
        <v>23883</v>
      </c>
      <c r="H753" s="1">
        <v>41512</v>
      </c>
      <c r="I753" t="str">
        <f t="shared" si="12"/>
        <v>51</v>
      </c>
      <c r="J753" t="s">
        <v>471</v>
      </c>
      <c r="K753" t="s">
        <v>25</v>
      </c>
      <c r="L753" t="s">
        <v>26</v>
      </c>
      <c r="M753" t="s">
        <v>27</v>
      </c>
      <c r="N753" s="1">
        <v>18629</v>
      </c>
      <c r="O753">
        <v>0</v>
      </c>
      <c r="P753">
        <v>0</v>
      </c>
      <c r="Q753" t="s">
        <v>37</v>
      </c>
      <c r="R753" t="s">
        <v>29</v>
      </c>
      <c r="S753" t="s">
        <v>138</v>
      </c>
      <c r="T753" t="s">
        <v>139</v>
      </c>
    </row>
    <row r="754" spans="1:20" x14ac:dyDescent="0.25">
      <c r="A754" t="s">
        <v>2515</v>
      </c>
      <c r="B754" t="str">
        <f>"1714"</f>
        <v>1714</v>
      </c>
      <c r="C754" t="str">
        <f>"284861714"</f>
        <v>284861714</v>
      </c>
      <c r="D754" t="s">
        <v>2516</v>
      </c>
      <c r="E754" t="s">
        <v>588</v>
      </c>
      <c r="F754" t="s">
        <v>69</v>
      </c>
      <c r="G754" s="1">
        <v>28014</v>
      </c>
      <c r="H754" s="1">
        <v>41512</v>
      </c>
      <c r="I754" t="str">
        <f t="shared" si="12"/>
        <v>51</v>
      </c>
      <c r="J754" t="s">
        <v>471</v>
      </c>
      <c r="K754" t="s">
        <v>25</v>
      </c>
      <c r="L754" t="s">
        <v>26</v>
      </c>
      <c r="M754" t="s">
        <v>27</v>
      </c>
      <c r="N754" s="1">
        <v>18629</v>
      </c>
      <c r="O754">
        <v>0</v>
      </c>
      <c r="P754">
        <v>0</v>
      </c>
      <c r="Q754" t="s">
        <v>28</v>
      </c>
      <c r="R754" t="s">
        <v>29</v>
      </c>
      <c r="S754" t="s">
        <v>1677</v>
      </c>
      <c r="T754" t="s">
        <v>1678</v>
      </c>
    </row>
    <row r="755" spans="1:20" x14ac:dyDescent="0.25">
      <c r="A755" t="s">
        <v>2517</v>
      </c>
      <c r="B755" t="str">
        <f>"3635"</f>
        <v>3635</v>
      </c>
      <c r="C755" t="str">
        <f>"274663635"</f>
        <v>274663635</v>
      </c>
      <c r="D755" t="s">
        <v>2183</v>
      </c>
      <c r="E755" t="s">
        <v>308</v>
      </c>
      <c r="F755" t="s">
        <v>358</v>
      </c>
      <c r="G755" s="1">
        <v>20870</v>
      </c>
      <c r="H755" s="1">
        <v>41512</v>
      </c>
      <c r="I755" t="str">
        <f t="shared" si="12"/>
        <v>51</v>
      </c>
      <c r="J755" t="s">
        <v>471</v>
      </c>
      <c r="K755" t="s">
        <v>25</v>
      </c>
      <c r="L755" t="s">
        <v>26</v>
      </c>
      <c r="M755" t="s">
        <v>27</v>
      </c>
      <c r="N755" s="1">
        <v>18629</v>
      </c>
      <c r="O755">
        <v>0</v>
      </c>
      <c r="P755">
        <v>0</v>
      </c>
      <c r="Q755" t="s">
        <v>37</v>
      </c>
      <c r="R755" t="s">
        <v>29</v>
      </c>
      <c r="S755" t="s">
        <v>138</v>
      </c>
      <c r="T755" t="s">
        <v>139</v>
      </c>
    </row>
    <row r="756" spans="1:20" x14ac:dyDescent="0.25">
      <c r="A756" t="s">
        <v>2518</v>
      </c>
      <c r="B756" t="str">
        <f>"5851"</f>
        <v>5851</v>
      </c>
      <c r="C756" t="str">
        <f>"271645851"</f>
        <v>271645851</v>
      </c>
      <c r="D756" t="s">
        <v>2183</v>
      </c>
      <c r="E756" t="s">
        <v>2519</v>
      </c>
      <c r="F756" t="s">
        <v>28</v>
      </c>
      <c r="G756" s="1">
        <v>22382</v>
      </c>
      <c r="H756" s="1">
        <v>41512</v>
      </c>
      <c r="I756" t="str">
        <f t="shared" si="12"/>
        <v>51</v>
      </c>
      <c r="J756" t="s">
        <v>471</v>
      </c>
      <c r="K756" t="s">
        <v>25</v>
      </c>
      <c r="L756" t="s">
        <v>26</v>
      </c>
      <c r="M756" t="s">
        <v>27</v>
      </c>
      <c r="N756" s="1">
        <v>18629</v>
      </c>
      <c r="O756">
        <v>0</v>
      </c>
      <c r="P756">
        <v>0</v>
      </c>
      <c r="Q756" t="s">
        <v>37</v>
      </c>
      <c r="R756" t="s">
        <v>51</v>
      </c>
      <c r="S756" s="2" t="s">
        <v>2520</v>
      </c>
      <c r="T756" t="s">
        <v>2521</v>
      </c>
    </row>
    <row r="757" spans="1:20" x14ac:dyDescent="0.25">
      <c r="A757" t="s">
        <v>2522</v>
      </c>
      <c r="B757" t="str">
        <f>"6847"</f>
        <v>6847</v>
      </c>
      <c r="C757" t="str">
        <f>"285846847"</f>
        <v>285846847</v>
      </c>
      <c r="D757" t="s">
        <v>2523</v>
      </c>
      <c r="E757" t="s">
        <v>106</v>
      </c>
      <c r="F757" t="s">
        <v>97</v>
      </c>
      <c r="G757" s="1">
        <v>31515</v>
      </c>
      <c r="H757" s="1">
        <v>41512</v>
      </c>
      <c r="I757" t="str">
        <f t="shared" si="12"/>
        <v>51</v>
      </c>
      <c r="J757" t="s">
        <v>471</v>
      </c>
      <c r="K757" t="s">
        <v>25</v>
      </c>
      <c r="L757" t="s">
        <v>26</v>
      </c>
      <c r="M757" t="s">
        <v>27</v>
      </c>
      <c r="N757" s="1">
        <v>18629</v>
      </c>
      <c r="O757">
        <v>0</v>
      </c>
      <c r="P757">
        <v>0</v>
      </c>
      <c r="Q757" t="s">
        <v>28</v>
      </c>
      <c r="R757" t="s">
        <v>51</v>
      </c>
      <c r="S757" s="2" t="s">
        <v>2524</v>
      </c>
      <c r="T757" t="s">
        <v>2525</v>
      </c>
    </row>
    <row r="758" spans="1:20" x14ac:dyDescent="0.25">
      <c r="A758" t="s">
        <v>2526</v>
      </c>
      <c r="B758" t="str">
        <f>"9050"</f>
        <v>9050</v>
      </c>
      <c r="C758" t="str">
        <f>"300629050"</f>
        <v>300629050</v>
      </c>
      <c r="D758" t="s">
        <v>2527</v>
      </c>
      <c r="E758" t="s">
        <v>561</v>
      </c>
      <c r="F758" t="s">
        <v>93</v>
      </c>
      <c r="G758" s="1">
        <v>20794</v>
      </c>
      <c r="H758" s="1">
        <v>41512</v>
      </c>
      <c r="I758" t="str">
        <f t="shared" si="12"/>
        <v>51</v>
      </c>
      <c r="J758" t="s">
        <v>471</v>
      </c>
      <c r="K758" t="s">
        <v>25</v>
      </c>
      <c r="L758" t="s">
        <v>26</v>
      </c>
      <c r="M758" t="s">
        <v>27</v>
      </c>
      <c r="N758" s="1">
        <v>18629</v>
      </c>
      <c r="O758">
        <v>0</v>
      </c>
      <c r="P758">
        <v>0</v>
      </c>
      <c r="Q758" t="s">
        <v>37</v>
      </c>
      <c r="R758" t="s">
        <v>71</v>
      </c>
      <c r="S758" t="s">
        <v>1109</v>
      </c>
      <c r="T758" t="s">
        <v>1110</v>
      </c>
    </row>
    <row r="759" spans="1:20" x14ac:dyDescent="0.25">
      <c r="A759" t="s">
        <v>2528</v>
      </c>
      <c r="B759" t="str">
        <f>"2447"</f>
        <v>2447</v>
      </c>
      <c r="C759" t="str">
        <f>"613382447"</f>
        <v>613382447</v>
      </c>
      <c r="D759" t="s">
        <v>2529</v>
      </c>
      <c r="E759" t="s">
        <v>2530</v>
      </c>
      <c r="G759" s="1">
        <v>25729</v>
      </c>
      <c r="H759" s="1">
        <v>41512</v>
      </c>
      <c r="I759" t="str">
        <f t="shared" si="12"/>
        <v>51</v>
      </c>
      <c r="J759" t="s">
        <v>471</v>
      </c>
      <c r="K759" t="s">
        <v>25</v>
      </c>
      <c r="L759" t="s">
        <v>26</v>
      </c>
      <c r="M759" t="s">
        <v>27</v>
      </c>
      <c r="N759" s="1">
        <v>18629</v>
      </c>
      <c r="O759">
        <v>0</v>
      </c>
      <c r="P759">
        <v>0</v>
      </c>
      <c r="Q759" t="s">
        <v>37</v>
      </c>
      <c r="R759" t="s">
        <v>29</v>
      </c>
      <c r="S759" t="s">
        <v>1677</v>
      </c>
      <c r="T759" t="s">
        <v>1678</v>
      </c>
    </row>
    <row r="760" spans="1:20" x14ac:dyDescent="0.25">
      <c r="A760" t="s">
        <v>2531</v>
      </c>
      <c r="B760" t="str">
        <f>"5644"</f>
        <v>5644</v>
      </c>
      <c r="C760" t="str">
        <f>"277805644"</f>
        <v>277805644</v>
      </c>
      <c r="D760" t="s">
        <v>2532</v>
      </c>
      <c r="E760" t="s">
        <v>2450</v>
      </c>
      <c r="F760" t="s">
        <v>556</v>
      </c>
      <c r="G760" s="1">
        <v>25498</v>
      </c>
      <c r="H760" s="1">
        <v>41512</v>
      </c>
      <c r="I760" t="str">
        <f t="shared" si="12"/>
        <v>51</v>
      </c>
      <c r="J760" t="s">
        <v>471</v>
      </c>
      <c r="K760" t="s">
        <v>25</v>
      </c>
      <c r="L760" t="s">
        <v>26</v>
      </c>
      <c r="M760" t="s">
        <v>27</v>
      </c>
      <c r="N760" s="1">
        <v>18629</v>
      </c>
      <c r="O760">
        <v>0</v>
      </c>
      <c r="P760">
        <v>0</v>
      </c>
      <c r="Q760" t="s">
        <v>37</v>
      </c>
      <c r="R760" t="s">
        <v>29</v>
      </c>
      <c r="S760" t="s">
        <v>138</v>
      </c>
      <c r="T760" t="s">
        <v>139</v>
      </c>
    </row>
    <row r="761" spans="1:20" x14ac:dyDescent="0.25">
      <c r="A761" t="s">
        <v>2533</v>
      </c>
      <c r="B761" t="str">
        <f>"8346"</f>
        <v>8346</v>
      </c>
      <c r="C761" t="str">
        <f>"288588346"</f>
        <v>288588346</v>
      </c>
      <c r="D761" t="s">
        <v>2534</v>
      </c>
      <c r="E761" t="s">
        <v>544</v>
      </c>
      <c r="F761" t="s">
        <v>174</v>
      </c>
      <c r="G761" s="1">
        <v>25440</v>
      </c>
      <c r="H761" s="1">
        <v>41512</v>
      </c>
      <c r="I761" t="str">
        <f t="shared" si="12"/>
        <v>51</v>
      </c>
      <c r="J761" t="s">
        <v>471</v>
      </c>
      <c r="K761" t="s">
        <v>25</v>
      </c>
      <c r="L761" t="s">
        <v>26</v>
      </c>
      <c r="M761" t="s">
        <v>27</v>
      </c>
      <c r="N761" s="1">
        <v>18629</v>
      </c>
      <c r="O761">
        <v>0</v>
      </c>
      <c r="P761">
        <v>0</v>
      </c>
      <c r="Q761" t="s">
        <v>37</v>
      </c>
      <c r="R761" t="s">
        <v>29</v>
      </c>
      <c r="S761" t="s">
        <v>138</v>
      </c>
      <c r="T761" t="s">
        <v>139</v>
      </c>
    </row>
    <row r="762" spans="1:20" x14ac:dyDescent="0.25">
      <c r="A762" t="s">
        <v>2535</v>
      </c>
      <c r="B762" t="str">
        <f>"9422"</f>
        <v>9422</v>
      </c>
      <c r="C762" t="str">
        <f>"277649422"</f>
        <v>277649422</v>
      </c>
      <c r="D762" t="s">
        <v>2536</v>
      </c>
      <c r="E762" t="s">
        <v>2537</v>
      </c>
      <c r="F762" t="s">
        <v>93</v>
      </c>
      <c r="G762" s="1">
        <v>21123</v>
      </c>
      <c r="H762" s="1">
        <v>41512</v>
      </c>
      <c r="I762" t="str">
        <f t="shared" si="12"/>
        <v>51</v>
      </c>
      <c r="J762" t="s">
        <v>471</v>
      </c>
      <c r="K762" t="s">
        <v>25</v>
      </c>
      <c r="L762" t="s">
        <v>26</v>
      </c>
      <c r="M762" t="s">
        <v>27</v>
      </c>
      <c r="N762" s="1">
        <v>18629</v>
      </c>
      <c r="O762">
        <v>0</v>
      </c>
      <c r="P762">
        <v>0</v>
      </c>
      <c r="Q762" t="s">
        <v>37</v>
      </c>
      <c r="R762" t="s">
        <v>29</v>
      </c>
      <c r="S762" t="s">
        <v>138</v>
      </c>
      <c r="T762" t="s">
        <v>139</v>
      </c>
    </row>
    <row r="763" spans="1:20" x14ac:dyDescent="0.25">
      <c r="A763" t="s">
        <v>2538</v>
      </c>
      <c r="B763" t="str">
        <f>"3647"</f>
        <v>3647</v>
      </c>
      <c r="C763" t="str">
        <f>"296723647"</f>
        <v>296723647</v>
      </c>
      <c r="D763" t="s">
        <v>2539</v>
      </c>
      <c r="E763" t="s">
        <v>1749</v>
      </c>
      <c r="F763" t="s">
        <v>165</v>
      </c>
      <c r="G763" s="1">
        <v>28518</v>
      </c>
      <c r="H763" s="1">
        <v>41512</v>
      </c>
      <c r="I763" t="str">
        <f t="shared" si="12"/>
        <v>51</v>
      </c>
      <c r="J763" t="s">
        <v>471</v>
      </c>
      <c r="K763" t="s">
        <v>25</v>
      </c>
      <c r="L763" t="s">
        <v>26</v>
      </c>
      <c r="M763" t="s">
        <v>27</v>
      </c>
      <c r="N763" s="1">
        <v>18629</v>
      </c>
      <c r="O763">
        <v>0</v>
      </c>
      <c r="P763">
        <v>0</v>
      </c>
      <c r="Q763" t="s">
        <v>37</v>
      </c>
      <c r="R763" t="s">
        <v>71</v>
      </c>
      <c r="S763" t="s">
        <v>2540</v>
      </c>
      <c r="T763" t="s">
        <v>2541</v>
      </c>
    </row>
    <row r="764" spans="1:20" x14ac:dyDescent="0.25">
      <c r="A764" t="s">
        <v>2542</v>
      </c>
      <c r="B764" t="str">
        <f>"8350"</f>
        <v>8350</v>
      </c>
      <c r="C764" t="str">
        <f>"270928350"</f>
        <v>270928350</v>
      </c>
      <c r="D764" t="s">
        <v>2543</v>
      </c>
      <c r="E764" t="s">
        <v>1248</v>
      </c>
      <c r="F764" t="s">
        <v>97</v>
      </c>
      <c r="G764" s="1">
        <v>31346</v>
      </c>
      <c r="H764" s="1">
        <v>41512</v>
      </c>
      <c r="I764" t="str">
        <f t="shared" si="12"/>
        <v>51</v>
      </c>
      <c r="J764" t="s">
        <v>471</v>
      </c>
      <c r="K764" t="s">
        <v>25</v>
      </c>
      <c r="L764" t="s">
        <v>26</v>
      </c>
      <c r="M764" t="s">
        <v>27</v>
      </c>
      <c r="N764" s="1">
        <v>18629</v>
      </c>
      <c r="O764">
        <v>0</v>
      </c>
      <c r="P764">
        <v>0</v>
      </c>
      <c r="Q764" t="s">
        <v>37</v>
      </c>
      <c r="R764" t="s">
        <v>29</v>
      </c>
      <c r="S764" t="s">
        <v>138</v>
      </c>
      <c r="T764" t="s">
        <v>139</v>
      </c>
    </row>
    <row r="765" spans="1:20" x14ac:dyDescent="0.25">
      <c r="A765" t="s">
        <v>2544</v>
      </c>
      <c r="B765" t="str">
        <f>"7233"</f>
        <v>7233</v>
      </c>
      <c r="C765" t="str">
        <f>"192747233"</f>
        <v>192747233</v>
      </c>
      <c r="D765" t="s">
        <v>2545</v>
      </c>
      <c r="E765" t="s">
        <v>544</v>
      </c>
      <c r="G765" s="1">
        <v>31051</v>
      </c>
      <c r="H765" s="1">
        <v>41512</v>
      </c>
      <c r="I765" t="str">
        <f>"33"</f>
        <v>33</v>
      </c>
      <c r="J765" t="s">
        <v>45</v>
      </c>
      <c r="K765" t="s">
        <v>25</v>
      </c>
      <c r="L765" t="s">
        <v>26</v>
      </c>
      <c r="M765" t="s">
        <v>27</v>
      </c>
      <c r="N765" s="1">
        <v>18629</v>
      </c>
      <c r="O765">
        <v>0</v>
      </c>
      <c r="P765">
        <v>0</v>
      </c>
      <c r="Q765" t="s">
        <v>37</v>
      </c>
      <c r="R765" t="s">
        <v>29</v>
      </c>
      <c r="S765" t="s">
        <v>594</v>
      </c>
      <c r="T765" t="s">
        <v>595</v>
      </c>
    </row>
    <row r="766" spans="1:20" x14ac:dyDescent="0.25">
      <c r="A766" t="s">
        <v>2546</v>
      </c>
      <c r="B766" t="str">
        <f>"2416"</f>
        <v>2416</v>
      </c>
      <c r="C766" t="str">
        <f>"297762416"</f>
        <v>297762416</v>
      </c>
      <c r="D766" t="s">
        <v>105</v>
      </c>
      <c r="E766" t="s">
        <v>250</v>
      </c>
      <c r="F766" t="s">
        <v>358</v>
      </c>
      <c r="G766" s="1">
        <v>29351</v>
      </c>
      <c r="H766" s="1">
        <v>41512</v>
      </c>
      <c r="I766" t="str">
        <f t="shared" ref="I766:I776" si="13">"51"</f>
        <v>51</v>
      </c>
      <c r="J766" t="s">
        <v>471</v>
      </c>
      <c r="K766" t="s">
        <v>25</v>
      </c>
      <c r="L766" t="s">
        <v>26</v>
      </c>
      <c r="M766" t="s">
        <v>27</v>
      </c>
      <c r="N766" s="1">
        <v>18629</v>
      </c>
      <c r="O766">
        <v>0</v>
      </c>
      <c r="P766">
        <v>0</v>
      </c>
      <c r="Q766" t="s">
        <v>37</v>
      </c>
      <c r="R766" t="s">
        <v>100</v>
      </c>
      <c r="S766" t="s">
        <v>1526</v>
      </c>
      <c r="T766" t="s">
        <v>1527</v>
      </c>
    </row>
    <row r="767" spans="1:20" x14ac:dyDescent="0.25">
      <c r="A767" t="s">
        <v>2547</v>
      </c>
      <c r="B767" t="str">
        <f>"3369"</f>
        <v>3369</v>
      </c>
      <c r="C767" t="str">
        <f>"414533369"</f>
        <v>414533369</v>
      </c>
      <c r="D767" t="s">
        <v>2548</v>
      </c>
      <c r="E767" t="s">
        <v>1001</v>
      </c>
      <c r="F767" t="s">
        <v>264</v>
      </c>
      <c r="G767" s="1">
        <v>26651</v>
      </c>
      <c r="H767" s="1">
        <v>41512</v>
      </c>
      <c r="I767" t="str">
        <f t="shared" si="13"/>
        <v>51</v>
      </c>
      <c r="J767" t="s">
        <v>471</v>
      </c>
      <c r="K767" t="s">
        <v>25</v>
      </c>
      <c r="L767" t="s">
        <v>26</v>
      </c>
      <c r="M767" t="s">
        <v>27</v>
      </c>
      <c r="N767" s="1">
        <v>18629</v>
      </c>
      <c r="O767">
        <v>0</v>
      </c>
      <c r="P767">
        <v>0</v>
      </c>
      <c r="Q767" t="s">
        <v>28</v>
      </c>
      <c r="R767" t="s">
        <v>71</v>
      </c>
      <c r="S767" t="s">
        <v>1474</v>
      </c>
      <c r="T767" t="s">
        <v>1475</v>
      </c>
    </row>
    <row r="768" spans="1:20" x14ac:dyDescent="0.25">
      <c r="A768" t="s">
        <v>2549</v>
      </c>
      <c r="B768" t="str">
        <f>"8427"</f>
        <v>8427</v>
      </c>
      <c r="C768" t="str">
        <f>"290768427"</f>
        <v>290768427</v>
      </c>
      <c r="D768" t="s">
        <v>2550</v>
      </c>
      <c r="E768" t="s">
        <v>2551</v>
      </c>
      <c r="F768" t="s">
        <v>93</v>
      </c>
      <c r="G768" s="1">
        <v>25211</v>
      </c>
      <c r="H768" s="1">
        <v>41512</v>
      </c>
      <c r="I768" t="str">
        <f t="shared" si="13"/>
        <v>51</v>
      </c>
      <c r="J768" t="s">
        <v>471</v>
      </c>
      <c r="K768" t="s">
        <v>25</v>
      </c>
      <c r="L768" t="s">
        <v>26</v>
      </c>
      <c r="M768" t="s">
        <v>27</v>
      </c>
      <c r="N768" s="1">
        <v>18629</v>
      </c>
      <c r="O768">
        <v>0</v>
      </c>
      <c r="P768">
        <v>0</v>
      </c>
      <c r="Q768" t="s">
        <v>37</v>
      </c>
      <c r="R768" t="s">
        <v>71</v>
      </c>
      <c r="S768" t="s">
        <v>180</v>
      </c>
      <c r="T768" t="s">
        <v>181</v>
      </c>
    </row>
    <row r="769" spans="1:20" x14ac:dyDescent="0.25">
      <c r="A769" t="s">
        <v>2552</v>
      </c>
      <c r="B769" t="str">
        <f>"5574"</f>
        <v>5574</v>
      </c>
      <c r="C769" t="str">
        <f>"288545574"</f>
        <v>288545574</v>
      </c>
      <c r="D769" t="s">
        <v>2553</v>
      </c>
      <c r="E769" t="s">
        <v>2229</v>
      </c>
      <c r="F769" t="s">
        <v>264</v>
      </c>
      <c r="G769" s="1">
        <v>19742</v>
      </c>
      <c r="H769" s="1">
        <v>41512</v>
      </c>
      <c r="I769" t="str">
        <f t="shared" si="13"/>
        <v>51</v>
      </c>
      <c r="J769" t="s">
        <v>471</v>
      </c>
      <c r="K769" t="s">
        <v>25</v>
      </c>
      <c r="L769" t="s">
        <v>26</v>
      </c>
      <c r="M769" t="s">
        <v>27</v>
      </c>
      <c r="N769" s="1">
        <v>18629</v>
      </c>
      <c r="O769">
        <v>0</v>
      </c>
      <c r="P769">
        <v>0</v>
      </c>
      <c r="Q769" t="s">
        <v>37</v>
      </c>
      <c r="R769" t="s">
        <v>29</v>
      </c>
      <c r="S769" t="s">
        <v>138</v>
      </c>
      <c r="T769" t="s">
        <v>139</v>
      </c>
    </row>
    <row r="770" spans="1:20" x14ac:dyDescent="0.25">
      <c r="A770" t="s">
        <v>2554</v>
      </c>
      <c r="B770" t="str">
        <f>"2366"</f>
        <v>2366</v>
      </c>
      <c r="C770" t="str">
        <f>"553942366"</f>
        <v>553942366</v>
      </c>
      <c r="D770" t="s">
        <v>2555</v>
      </c>
      <c r="E770" t="s">
        <v>1302</v>
      </c>
      <c r="F770" t="s">
        <v>813</v>
      </c>
      <c r="G770" s="1">
        <v>19530</v>
      </c>
      <c r="H770" s="1">
        <v>41512</v>
      </c>
      <c r="I770" t="str">
        <f t="shared" si="13"/>
        <v>51</v>
      </c>
      <c r="J770" t="s">
        <v>471</v>
      </c>
      <c r="K770" t="s">
        <v>25</v>
      </c>
      <c r="L770" t="s">
        <v>26</v>
      </c>
      <c r="M770" t="s">
        <v>27</v>
      </c>
      <c r="N770" s="1">
        <v>18629</v>
      </c>
      <c r="O770">
        <v>0</v>
      </c>
      <c r="P770">
        <v>0</v>
      </c>
      <c r="Q770" t="s">
        <v>37</v>
      </c>
      <c r="R770" t="s">
        <v>29</v>
      </c>
      <c r="S770" t="s">
        <v>138</v>
      </c>
      <c r="T770" t="s">
        <v>139</v>
      </c>
    </row>
    <row r="771" spans="1:20" x14ac:dyDescent="0.25">
      <c r="A771" t="s">
        <v>2556</v>
      </c>
      <c r="B771" t="str">
        <f>"5798"</f>
        <v>5798</v>
      </c>
      <c r="C771" t="str">
        <f>"283785798"</f>
        <v>283785798</v>
      </c>
      <c r="D771" t="s">
        <v>2557</v>
      </c>
      <c r="E771" t="s">
        <v>146</v>
      </c>
      <c r="F771" t="s">
        <v>1026</v>
      </c>
      <c r="G771" s="1">
        <v>28208</v>
      </c>
      <c r="H771" s="1">
        <v>41512</v>
      </c>
      <c r="I771" t="str">
        <f t="shared" si="13"/>
        <v>51</v>
      </c>
      <c r="J771" t="s">
        <v>471</v>
      </c>
      <c r="K771" t="s">
        <v>25</v>
      </c>
      <c r="L771" t="s">
        <v>26</v>
      </c>
      <c r="M771" t="s">
        <v>27</v>
      </c>
      <c r="N771" s="1">
        <v>18629</v>
      </c>
      <c r="O771">
        <v>0</v>
      </c>
      <c r="P771">
        <v>0</v>
      </c>
      <c r="Q771" t="s">
        <v>37</v>
      </c>
      <c r="R771" t="s">
        <v>71</v>
      </c>
      <c r="S771" t="s">
        <v>157</v>
      </c>
      <c r="T771" t="s">
        <v>158</v>
      </c>
    </row>
    <row r="772" spans="1:20" x14ac:dyDescent="0.25">
      <c r="A772" t="s">
        <v>2558</v>
      </c>
      <c r="B772" t="str">
        <f>"8149"</f>
        <v>8149</v>
      </c>
      <c r="C772" t="str">
        <f>"287808149"</f>
        <v>287808149</v>
      </c>
      <c r="D772" t="s">
        <v>2559</v>
      </c>
      <c r="E772" t="s">
        <v>2560</v>
      </c>
      <c r="F772" t="s">
        <v>49</v>
      </c>
      <c r="G772" s="1">
        <v>29753</v>
      </c>
      <c r="H772" s="1">
        <v>41512</v>
      </c>
      <c r="I772" t="str">
        <f t="shared" si="13"/>
        <v>51</v>
      </c>
      <c r="J772" t="s">
        <v>471</v>
      </c>
      <c r="K772" t="s">
        <v>25</v>
      </c>
      <c r="L772" t="s">
        <v>26</v>
      </c>
      <c r="M772" t="s">
        <v>27</v>
      </c>
      <c r="N772" s="1">
        <v>18629</v>
      </c>
      <c r="O772">
        <v>0</v>
      </c>
      <c r="P772">
        <v>0</v>
      </c>
      <c r="Q772" t="s">
        <v>37</v>
      </c>
      <c r="R772" t="s">
        <v>29</v>
      </c>
      <c r="S772" t="s">
        <v>138</v>
      </c>
      <c r="T772" t="s">
        <v>139</v>
      </c>
    </row>
    <row r="773" spans="1:20" x14ac:dyDescent="0.25">
      <c r="A773" t="s">
        <v>2561</v>
      </c>
      <c r="B773" t="str">
        <f>"6411"</f>
        <v>6411</v>
      </c>
      <c r="C773" t="str">
        <f>"280506411"</f>
        <v>280506411</v>
      </c>
      <c r="D773" t="s">
        <v>2562</v>
      </c>
      <c r="E773" t="s">
        <v>2563</v>
      </c>
      <c r="F773" t="s">
        <v>239</v>
      </c>
      <c r="G773" s="1">
        <v>19009</v>
      </c>
      <c r="H773" s="1">
        <v>41512</v>
      </c>
      <c r="I773" t="str">
        <f t="shared" si="13"/>
        <v>51</v>
      </c>
      <c r="J773" t="s">
        <v>471</v>
      </c>
      <c r="K773" t="s">
        <v>25</v>
      </c>
      <c r="L773" t="s">
        <v>26</v>
      </c>
      <c r="M773" t="s">
        <v>27</v>
      </c>
      <c r="N773" s="1">
        <v>18629</v>
      </c>
      <c r="O773">
        <v>0</v>
      </c>
      <c r="P773">
        <v>0</v>
      </c>
      <c r="Q773" t="s">
        <v>37</v>
      </c>
      <c r="R773" t="s">
        <v>51</v>
      </c>
      <c r="S773" s="2" t="s">
        <v>2564</v>
      </c>
      <c r="T773" t="s">
        <v>2565</v>
      </c>
    </row>
    <row r="774" spans="1:20" x14ac:dyDescent="0.25">
      <c r="A774" t="s">
        <v>2566</v>
      </c>
      <c r="B774" t="str">
        <f>"5386"</f>
        <v>5386</v>
      </c>
      <c r="C774" t="str">
        <f>"278745386"</f>
        <v>278745386</v>
      </c>
      <c r="D774" t="s">
        <v>2567</v>
      </c>
      <c r="E774" t="s">
        <v>1487</v>
      </c>
      <c r="F774" t="s">
        <v>93</v>
      </c>
      <c r="G774" s="1">
        <v>28513</v>
      </c>
      <c r="H774" s="1">
        <v>41512</v>
      </c>
      <c r="I774" t="str">
        <f t="shared" si="13"/>
        <v>51</v>
      </c>
      <c r="J774" t="s">
        <v>471</v>
      </c>
      <c r="K774" t="s">
        <v>25</v>
      </c>
      <c r="L774" t="s">
        <v>26</v>
      </c>
      <c r="M774" t="s">
        <v>27</v>
      </c>
      <c r="N774" s="1">
        <v>18629</v>
      </c>
      <c r="O774">
        <v>0</v>
      </c>
      <c r="P774">
        <v>0</v>
      </c>
      <c r="Q774" t="s">
        <v>28</v>
      </c>
      <c r="R774" t="s">
        <v>29</v>
      </c>
      <c r="S774" t="s">
        <v>589</v>
      </c>
      <c r="T774" t="s">
        <v>590</v>
      </c>
    </row>
    <row r="775" spans="1:20" x14ac:dyDescent="0.25">
      <c r="A775" t="s">
        <v>2568</v>
      </c>
      <c r="B775" t="str">
        <f>"2898"</f>
        <v>2898</v>
      </c>
      <c r="C775" t="str">
        <f>"296742898"</f>
        <v>296742898</v>
      </c>
      <c r="D775" t="s">
        <v>1885</v>
      </c>
      <c r="E775" t="s">
        <v>2177</v>
      </c>
      <c r="F775" t="s">
        <v>44</v>
      </c>
      <c r="G775" s="1">
        <v>26074</v>
      </c>
      <c r="H775" s="1">
        <v>41512</v>
      </c>
      <c r="I775" t="str">
        <f t="shared" si="13"/>
        <v>51</v>
      </c>
      <c r="J775" t="s">
        <v>471</v>
      </c>
      <c r="K775" t="s">
        <v>25</v>
      </c>
      <c r="L775" t="s">
        <v>26</v>
      </c>
      <c r="M775" t="s">
        <v>27</v>
      </c>
      <c r="N775" s="1">
        <v>18629</v>
      </c>
      <c r="O775">
        <v>0</v>
      </c>
      <c r="P775">
        <v>0</v>
      </c>
      <c r="Q775" t="s">
        <v>37</v>
      </c>
      <c r="R775" t="s">
        <v>29</v>
      </c>
      <c r="S775" t="s">
        <v>138</v>
      </c>
      <c r="T775" t="s">
        <v>139</v>
      </c>
    </row>
    <row r="776" spans="1:20" x14ac:dyDescent="0.25">
      <c r="A776" t="s">
        <v>2569</v>
      </c>
      <c r="B776" t="str">
        <f>"5358"</f>
        <v>5358</v>
      </c>
      <c r="C776" t="str">
        <f>"288645358"</f>
        <v>288645358</v>
      </c>
      <c r="D776" t="s">
        <v>2570</v>
      </c>
      <c r="E776" t="s">
        <v>682</v>
      </c>
      <c r="F776" t="s">
        <v>93</v>
      </c>
      <c r="G776" s="1">
        <v>21601</v>
      </c>
      <c r="H776" s="1">
        <v>41512</v>
      </c>
      <c r="I776" t="str">
        <f t="shared" si="13"/>
        <v>51</v>
      </c>
      <c r="J776" t="s">
        <v>471</v>
      </c>
      <c r="K776" t="s">
        <v>25</v>
      </c>
      <c r="L776" t="s">
        <v>26</v>
      </c>
      <c r="M776" t="s">
        <v>27</v>
      </c>
      <c r="N776" s="1">
        <v>18629</v>
      </c>
      <c r="O776">
        <v>0</v>
      </c>
      <c r="P776">
        <v>0</v>
      </c>
      <c r="Q776" t="s">
        <v>37</v>
      </c>
      <c r="R776" t="s">
        <v>29</v>
      </c>
      <c r="S776" t="s">
        <v>138</v>
      </c>
      <c r="T776" t="s">
        <v>139</v>
      </c>
    </row>
    <row r="777" spans="1:20" x14ac:dyDescent="0.25">
      <c r="A777" t="s">
        <v>2571</v>
      </c>
      <c r="B777" t="str">
        <f>"9597"</f>
        <v>9597</v>
      </c>
      <c r="C777" t="str">
        <f>"285589597"</f>
        <v>285589597</v>
      </c>
      <c r="D777" t="s">
        <v>2572</v>
      </c>
      <c r="E777" t="s">
        <v>969</v>
      </c>
      <c r="F777" t="s">
        <v>28</v>
      </c>
      <c r="G777" s="1">
        <v>20280</v>
      </c>
      <c r="H777" s="1">
        <v>41512</v>
      </c>
      <c r="I777" t="str">
        <f>"03"</f>
        <v>03</v>
      </c>
      <c r="J777" t="s">
        <v>70</v>
      </c>
      <c r="L777" t="s">
        <v>37</v>
      </c>
      <c r="M777" t="s">
        <v>143</v>
      </c>
      <c r="N777" s="1">
        <v>41617</v>
      </c>
      <c r="O777">
        <v>185.9</v>
      </c>
      <c r="P777">
        <v>-185.9</v>
      </c>
      <c r="Q777" t="s">
        <v>37</v>
      </c>
      <c r="R777" t="s">
        <v>29</v>
      </c>
      <c r="S777" t="s">
        <v>1075</v>
      </c>
      <c r="T777" t="s">
        <v>1076</v>
      </c>
    </row>
    <row r="778" spans="1:20" x14ac:dyDescent="0.25">
      <c r="A778" t="s">
        <v>2573</v>
      </c>
      <c r="B778" t="str">
        <f>"9008"</f>
        <v>9008</v>
      </c>
      <c r="C778" t="str">
        <f>"363729008"</f>
        <v>363729008</v>
      </c>
      <c r="D778" t="s">
        <v>2574</v>
      </c>
      <c r="E778" t="s">
        <v>1381</v>
      </c>
      <c r="F778" t="s">
        <v>93</v>
      </c>
      <c r="G778" s="1">
        <v>21077</v>
      </c>
      <c r="H778" s="1">
        <v>41512</v>
      </c>
      <c r="I778" t="str">
        <f t="shared" ref="I778:I784" si="14">"51"</f>
        <v>51</v>
      </c>
      <c r="J778" t="s">
        <v>471</v>
      </c>
      <c r="K778" t="s">
        <v>25</v>
      </c>
      <c r="L778" t="s">
        <v>26</v>
      </c>
      <c r="M778" t="s">
        <v>27</v>
      </c>
      <c r="N778" s="1">
        <v>18629</v>
      </c>
      <c r="O778">
        <v>0</v>
      </c>
      <c r="P778">
        <v>0</v>
      </c>
      <c r="Q778" t="s">
        <v>28</v>
      </c>
      <c r="R778" t="s">
        <v>100</v>
      </c>
      <c r="S778" t="s">
        <v>1392</v>
      </c>
      <c r="T778" t="s">
        <v>1393</v>
      </c>
    </row>
    <row r="779" spans="1:20" x14ac:dyDescent="0.25">
      <c r="A779" t="s">
        <v>2575</v>
      </c>
      <c r="B779" t="str">
        <f>"6032"</f>
        <v>6032</v>
      </c>
      <c r="C779" t="str">
        <f>"591666032"</f>
        <v>591666032</v>
      </c>
      <c r="D779" t="s">
        <v>2576</v>
      </c>
      <c r="E779" t="s">
        <v>106</v>
      </c>
      <c r="F779" t="s">
        <v>2577</v>
      </c>
      <c r="G779" s="1">
        <v>24709</v>
      </c>
      <c r="H779" s="1">
        <v>41512</v>
      </c>
      <c r="I779" t="str">
        <f t="shared" si="14"/>
        <v>51</v>
      </c>
      <c r="J779" t="s">
        <v>471</v>
      </c>
      <c r="K779" t="s">
        <v>25</v>
      </c>
      <c r="L779" t="s">
        <v>26</v>
      </c>
      <c r="M779" t="s">
        <v>27</v>
      </c>
      <c r="N779" s="1">
        <v>18629</v>
      </c>
      <c r="O779">
        <v>0</v>
      </c>
      <c r="P779">
        <v>0</v>
      </c>
      <c r="Q779" t="s">
        <v>28</v>
      </c>
      <c r="R779" t="s">
        <v>29</v>
      </c>
      <c r="S779" t="s">
        <v>1677</v>
      </c>
      <c r="T779" t="s">
        <v>1678</v>
      </c>
    </row>
    <row r="780" spans="1:20" x14ac:dyDescent="0.25">
      <c r="A780" t="s">
        <v>2578</v>
      </c>
      <c r="B780" t="str">
        <f>"3543"</f>
        <v>3543</v>
      </c>
      <c r="C780" t="str">
        <f>"293803543"</f>
        <v>293803543</v>
      </c>
      <c r="D780" t="s">
        <v>2579</v>
      </c>
      <c r="E780" t="s">
        <v>2580</v>
      </c>
      <c r="F780" t="s">
        <v>165</v>
      </c>
      <c r="G780" s="1">
        <v>29423</v>
      </c>
      <c r="H780" s="1">
        <v>41512</v>
      </c>
      <c r="I780" t="str">
        <f t="shared" si="14"/>
        <v>51</v>
      </c>
      <c r="J780" t="s">
        <v>471</v>
      </c>
      <c r="K780" t="s">
        <v>25</v>
      </c>
      <c r="L780" t="s">
        <v>26</v>
      </c>
      <c r="M780" t="s">
        <v>27</v>
      </c>
      <c r="N780" s="1">
        <v>18629</v>
      </c>
      <c r="O780">
        <v>0</v>
      </c>
      <c r="P780">
        <v>0</v>
      </c>
      <c r="Q780" t="s">
        <v>28</v>
      </c>
      <c r="R780" t="s">
        <v>51</v>
      </c>
      <c r="S780" s="2" t="s">
        <v>2202</v>
      </c>
      <c r="T780" t="s">
        <v>2203</v>
      </c>
    </row>
    <row r="781" spans="1:20" x14ac:dyDescent="0.25">
      <c r="A781" t="s">
        <v>2581</v>
      </c>
      <c r="B781" t="str">
        <f>"0010"</f>
        <v>0010</v>
      </c>
      <c r="C781" t="str">
        <f>"165680010"</f>
        <v>165680010</v>
      </c>
      <c r="D781" t="s">
        <v>2582</v>
      </c>
      <c r="E781" t="s">
        <v>544</v>
      </c>
      <c r="F781" t="s">
        <v>93</v>
      </c>
      <c r="G781" s="1">
        <v>30693</v>
      </c>
      <c r="H781" s="1">
        <v>41512</v>
      </c>
      <c r="I781" t="str">
        <f t="shared" si="14"/>
        <v>51</v>
      </c>
      <c r="J781" t="s">
        <v>471</v>
      </c>
      <c r="K781" t="s">
        <v>25</v>
      </c>
      <c r="L781" t="s">
        <v>26</v>
      </c>
      <c r="M781" t="s">
        <v>27</v>
      </c>
      <c r="N781" s="1">
        <v>18629</v>
      </c>
      <c r="O781">
        <v>0</v>
      </c>
      <c r="P781">
        <v>0</v>
      </c>
      <c r="Q781" t="s">
        <v>37</v>
      </c>
      <c r="R781" t="s">
        <v>29</v>
      </c>
      <c r="S781" t="s">
        <v>138</v>
      </c>
      <c r="T781" t="s">
        <v>139</v>
      </c>
    </row>
    <row r="782" spans="1:20" x14ac:dyDescent="0.25">
      <c r="A782" t="s">
        <v>2583</v>
      </c>
      <c r="B782" t="str">
        <f>"1528"</f>
        <v>1528</v>
      </c>
      <c r="C782" t="str">
        <f>"355601528"</f>
        <v>355601528</v>
      </c>
      <c r="D782" t="s">
        <v>2584</v>
      </c>
      <c r="E782" t="s">
        <v>2585</v>
      </c>
      <c r="G782" s="1">
        <v>22399</v>
      </c>
      <c r="H782" s="1">
        <v>41512</v>
      </c>
      <c r="I782" t="str">
        <f t="shared" si="14"/>
        <v>51</v>
      </c>
      <c r="J782" t="s">
        <v>471</v>
      </c>
      <c r="K782" t="s">
        <v>25</v>
      </c>
      <c r="L782" t="s">
        <v>26</v>
      </c>
      <c r="M782" t="s">
        <v>27</v>
      </c>
      <c r="N782" s="1">
        <v>18629</v>
      </c>
      <c r="O782">
        <v>0</v>
      </c>
      <c r="P782">
        <v>0</v>
      </c>
      <c r="Q782" t="s">
        <v>37</v>
      </c>
      <c r="R782" t="s">
        <v>29</v>
      </c>
      <c r="S782" t="s">
        <v>138</v>
      </c>
      <c r="T782" t="s">
        <v>139</v>
      </c>
    </row>
    <row r="783" spans="1:20" x14ac:dyDescent="0.25">
      <c r="A783" t="s">
        <v>2586</v>
      </c>
      <c r="B783" t="str">
        <f>"3274"</f>
        <v>3274</v>
      </c>
      <c r="C783" t="str">
        <f>"312213274"</f>
        <v>312213274</v>
      </c>
      <c r="D783" t="s">
        <v>2587</v>
      </c>
      <c r="E783" t="s">
        <v>609</v>
      </c>
      <c r="F783" t="s">
        <v>2588</v>
      </c>
      <c r="G783" s="1">
        <v>23278</v>
      </c>
      <c r="H783" s="1">
        <v>41512</v>
      </c>
      <c r="I783" t="str">
        <f t="shared" si="14"/>
        <v>51</v>
      </c>
      <c r="J783" t="s">
        <v>471</v>
      </c>
      <c r="K783" t="s">
        <v>25</v>
      </c>
      <c r="L783" t="s">
        <v>26</v>
      </c>
      <c r="M783" t="s">
        <v>27</v>
      </c>
      <c r="N783" s="1">
        <v>18629</v>
      </c>
      <c r="O783">
        <v>0</v>
      </c>
      <c r="P783">
        <v>0</v>
      </c>
      <c r="Q783" t="s">
        <v>28</v>
      </c>
      <c r="R783" t="s">
        <v>51</v>
      </c>
      <c r="S783" s="2" t="s">
        <v>2202</v>
      </c>
      <c r="T783" t="s">
        <v>2203</v>
      </c>
    </row>
    <row r="784" spans="1:20" x14ac:dyDescent="0.25">
      <c r="A784" t="s">
        <v>2589</v>
      </c>
      <c r="B784" t="str">
        <f>"5348"</f>
        <v>5348</v>
      </c>
      <c r="C784" t="str">
        <f>"277385348"</f>
        <v>277385348</v>
      </c>
      <c r="D784" t="s">
        <v>860</v>
      </c>
      <c r="E784" t="s">
        <v>1067</v>
      </c>
      <c r="F784" t="s">
        <v>44</v>
      </c>
      <c r="G784" s="1">
        <v>16015</v>
      </c>
      <c r="H784" s="1">
        <v>41512</v>
      </c>
      <c r="I784" t="str">
        <f t="shared" si="14"/>
        <v>51</v>
      </c>
      <c r="J784" t="s">
        <v>471</v>
      </c>
      <c r="K784" t="s">
        <v>25</v>
      </c>
      <c r="L784" t="s">
        <v>26</v>
      </c>
      <c r="M784" t="s">
        <v>27</v>
      </c>
      <c r="N784" s="1">
        <v>18629</v>
      </c>
      <c r="O784">
        <v>0</v>
      </c>
      <c r="P784">
        <v>0</v>
      </c>
      <c r="Q784" t="s">
        <v>28</v>
      </c>
      <c r="R784" t="s">
        <v>71</v>
      </c>
      <c r="S784" t="s">
        <v>2590</v>
      </c>
      <c r="T784" t="s">
        <v>2591</v>
      </c>
    </row>
    <row r="785" spans="1:20" x14ac:dyDescent="0.25">
      <c r="A785" t="s">
        <v>2592</v>
      </c>
      <c r="B785" t="str">
        <f>"8100"</f>
        <v>8100</v>
      </c>
      <c r="C785" t="str">
        <f>"270588100"</f>
        <v>270588100</v>
      </c>
      <c r="D785" t="s">
        <v>860</v>
      </c>
      <c r="E785" t="s">
        <v>822</v>
      </c>
      <c r="F785" t="s">
        <v>97</v>
      </c>
      <c r="G785" s="1">
        <v>22923</v>
      </c>
      <c r="H785" s="1">
        <v>41512</v>
      </c>
      <c r="I785" t="str">
        <f>"52"</f>
        <v>52</v>
      </c>
      <c r="J785" t="s">
        <v>330</v>
      </c>
      <c r="K785" t="s">
        <v>25</v>
      </c>
      <c r="L785" t="s">
        <v>26</v>
      </c>
      <c r="M785" t="s">
        <v>27</v>
      </c>
      <c r="N785" s="1">
        <v>18629</v>
      </c>
      <c r="O785">
        <v>0</v>
      </c>
      <c r="P785">
        <v>0</v>
      </c>
      <c r="Q785" t="s">
        <v>37</v>
      </c>
      <c r="R785" t="s">
        <v>29</v>
      </c>
      <c r="S785" t="s">
        <v>678</v>
      </c>
      <c r="T785" t="s">
        <v>679</v>
      </c>
    </row>
    <row r="786" spans="1:20" x14ac:dyDescent="0.25">
      <c r="A786" t="s">
        <v>2593</v>
      </c>
      <c r="B786" t="str">
        <f>"1830"</f>
        <v>1830</v>
      </c>
      <c r="C786" t="str">
        <f>"297901830"</f>
        <v>297901830</v>
      </c>
      <c r="D786" t="s">
        <v>860</v>
      </c>
      <c r="E786" t="s">
        <v>109</v>
      </c>
      <c r="F786" t="s">
        <v>97</v>
      </c>
      <c r="G786" s="1">
        <v>31683</v>
      </c>
      <c r="H786" s="1">
        <v>41512</v>
      </c>
      <c r="I786" t="str">
        <f t="shared" ref="I786:I812" si="15">"51"</f>
        <v>51</v>
      </c>
      <c r="J786" t="s">
        <v>471</v>
      </c>
      <c r="K786" t="s">
        <v>25</v>
      </c>
      <c r="L786" t="s">
        <v>26</v>
      </c>
      <c r="M786" t="s">
        <v>27</v>
      </c>
      <c r="N786" s="1">
        <v>18629</v>
      </c>
      <c r="O786">
        <v>0</v>
      </c>
      <c r="P786">
        <v>0</v>
      </c>
      <c r="Q786" t="s">
        <v>37</v>
      </c>
      <c r="R786" t="s">
        <v>29</v>
      </c>
      <c r="S786" t="s">
        <v>138</v>
      </c>
      <c r="T786" t="s">
        <v>139</v>
      </c>
    </row>
    <row r="787" spans="1:20" x14ac:dyDescent="0.25">
      <c r="A787" t="s">
        <v>2594</v>
      </c>
      <c r="B787" t="str">
        <f>"8006"</f>
        <v>8006</v>
      </c>
      <c r="C787" t="str">
        <f>"343688006"</f>
        <v>343688006</v>
      </c>
      <c r="D787" t="s">
        <v>2595</v>
      </c>
      <c r="E787" t="s">
        <v>2596</v>
      </c>
      <c r="F787" t="s">
        <v>93</v>
      </c>
      <c r="G787" s="1">
        <v>27374</v>
      </c>
      <c r="H787" s="1">
        <v>41512</v>
      </c>
      <c r="I787" t="str">
        <f t="shared" si="15"/>
        <v>51</v>
      </c>
      <c r="J787" t="s">
        <v>471</v>
      </c>
      <c r="K787" t="s">
        <v>25</v>
      </c>
      <c r="L787" t="s">
        <v>26</v>
      </c>
      <c r="M787" t="s">
        <v>27</v>
      </c>
      <c r="N787" s="1">
        <v>18629</v>
      </c>
      <c r="O787">
        <v>0</v>
      </c>
      <c r="P787">
        <v>0</v>
      </c>
      <c r="Q787" t="s">
        <v>37</v>
      </c>
      <c r="R787" t="s">
        <v>71</v>
      </c>
      <c r="S787" t="s">
        <v>72</v>
      </c>
      <c r="T787" t="s">
        <v>73</v>
      </c>
    </row>
    <row r="788" spans="1:20" x14ac:dyDescent="0.25">
      <c r="A788" t="s">
        <v>2597</v>
      </c>
      <c r="B788" t="str">
        <f>"2387"</f>
        <v>2387</v>
      </c>
      <c r="C788" t="str">
        <f>"251652387"</f>
        <v>251652387</v>
      </c>
      <c r="D788" t="s">
        <v>2598</v>
      </c>
      <c r="E788" t="s">
        <v>2599</v>
      </c>
      <c r="F788" t="s">
        <v>704</v>
      </c>
      <c r="G788" s="1">
        <v>31448</v>
      </c>
      <c r="H788" s="1">
        <v>41512</v>
      </c>
      <c r="I788" t="str">
        <f t="shared" si="15"/>
        <v>51</v>
      </c>
      <c r="J788" t="s">
        <v>471</v>
      </c>
      <c r="K788" t="s">
        <v>25</v>
      </c>
      <c r="L788" t="s">
        <v>26</v>
      </c>
      <c r="M788" t="s">
        <v>27</v>
      </c>
      <c r="N788" s="1">
        <v>18629</v>
      </c>
      <c r="O788">
        <v>0</v>
      </c>
      <c r="P788">
        <v>0</v>
      </c>
      <c r="Q788" t="s">
        <v>28</v>
      </c>
      <c r="R788" t="s">
        <v>29</v>
      </c>
      <c r="S788" t="s">
        <v>124</v>
      </c>
      <c r="T788" t="s">
        <v>125</v>
      </c>
    </row>
    <row r="789" spans="1:20" x14ac:dyDescent="0.25">
      <c r="A789" t="s">
        <v>2600</v>
      </c>
      <c r="B789" t="str">
        <f>"6556"</f>
        <v>6556</v>
      </c>
      <c r="C789" t="str">
        <f>"407826556"</f>
        <v>407826556</v>
      </c>
      <c r="D789" t="s">
        <v>2601</v>
      </c>
      <c r="E789" t="s">
        <v>1074</v>
      </c>
      <c r="F789" t="s">
        <v>470</v>
      </c>
      <c r="G789" s="1">
        <v>21647</v>
      </c>
      <c r="H789" s="1">
        <v>41512</v>
      </c>
      <c r="I789" t="str">
        <f t="shared" si="15"/>
        <v>51</v>
      </c>
      <c r="J789" t="s">
        <v>471</v>
      </c>
      <c r="K789" t="s">
        <v>25</v>
      </c>
      <c r="L789" t="s">
        <v>26</v>
      </c>
      <c r="M789" t="s">
        <v>27</v>
      </c>
      <c r="N789" s="1">
        <v>18629</v>
      </c>
      <c r="O789">
        <v>0</v>
      </c>
      <c r="P789">
        <v>0</v>
      </c>
      <c r="Q789" t="s">
        <v>37</v>
      </c>
      <c r="R789" t="s">
        <v>71</v>
      </c>
      <c r="S789" t="s">
        <v>2602</v>
      </c>
      <c r="T789" t="s">
        <v>2603</v>
      </c>
    </row>
    <row r="790" spans="1:20" x14ac:dyDescent="0.25">
      <c r="A790" t="s">
        <v>2604</v>
      </c>
      <c r="B790" t="str">
        <f>"2842"</f>
        <v>2842</v>
      </c>
      <c r="C790" t="str">
        <f>"294542842"</f>
        <v>294542842</v>
      </c>
      <c r="D790" t="s">
        <v>2605</v>
      </c>
      <c r="E790" t="s">
        <v>832</v>
      </c>
      <c r="G790" s="1">
        <v>20152</v>
      </c>
      <c r="H790" s="1">
        <v>41512</v>
      </c>
      <c r="I790" t="str">
        <f t="shared" si="15"/>
        <v>51</v>
      </c>
      <c r="J790" t="s">
        <v>471</v>
      </c>
      <c r="K790" t="s">
        <v>25</v>
      </c>
      <c r="L790" t="s">
        <v>26</v>
      </c>
      <c r="M790" t="s">
        <v>27</v>
      </c>
      <c r="N790" s="1">
        <v>18629</v>
      </c>
      <c r="O790">
        <v>0</v>
      </c>
      <c r="P790">
        <v>0</v>
      </c>
      <c r="Q790" t="s">
        <v>28</v>
      </c>
      <c r="R790" t="s">
        <v>29</v>
      </c>
      <c r="S790" t="s">
        <v>138</v>
      </c>
      <c r="T790" t="s">
        <v>139</v>
      </c>
    </row>
    <row r="791" spans="1:20" x14ac:dyDescent="0.25">
      <c r="A791" t="s">
        <v>2606</v>
      </c>
      <c r="B791" t="str">
        <f>"7977"</f>
        <v>7977</v>
      </c>
      <c r="C791" t="str">
        <f>"192567977"</f>
        <v>192567977</v>
      </c>
      <c r="D791" t="s">
        <v>2607</v>
      </c>
      <c r="E791" t="s">
        <v>2608</v>
      </c>
      <c r="F791" t="s">
        <v>28</v>
      </c>
      <c r="G791" s="1">
        <v>24979</v>
      </c>
      <c r="H791" s="1">
        <v>41512</v>
      </c>
      <c r="I791" t="str">
        <f t="shared" si="15"/>
        <v>51</v>
      </c>
      <c r="J791" t="s">
        <v>471</v>
      </c>
      <c r="K791" t="s">
        <v>25</v>
      </c>
      <c r="L791" t="s">
        <v>26</v>
      </c>
      <c r="M791" t="s">
        <v>27</v>
      </c>
      <c r="N791" s="1">
        <v>18629</v>
      </c>
      <c r="O791">
        <v>0</v>
      </c>
      <c r="P791">
        <v>0</v>
      </c>
      <c r="Q791" t="s">
        <v>37</v>
      </c>
      <c r="R791" t="s">
        <v>29</v>
      </c>
      <c r="S791" t="s">
        <v>138</v>
      </c>
      <c r="T791" t="s">
        <v>139</v>
      </c>
    </row>
    <row r="792" spans="1:20" x14ac:dyDescent="0.25">
      <c r="A792" t="s">
        <v>2609</v>
      </c>
      <c r="B792" t="str">
        <f>"8189"</f>
        <v>8189</v>
      </c>
      <c r="C792" t="str">
        <f>"301768189"</f>
        <v>301768189</v>
      </c>
      <c r="D792" t="s">
        <v>2610</v>
      </c>
      <c r="E792" t="s">
        <v>598</v>
      </c>
      <c r="F792" t="s">
        <v>2611</v>
      </c>
      <c r="G792" s="1">
        <v>24365</v>
      </c>
      <c r="H792" s="1">
        <v>41512</v>
      </c>
      <c r="I792" t="str">
        <f t="shared" si="15"/>
        <v>51</v>
      </c>
      <c r="J792" t="s">
        <v>471</v>
      </c>
      <c r="K792" t="s">
        <v>25</v>
      </c>
      <c r="L792" t="s">
        <v>26</v>
      </c>
      <c r="M792" t="s">
        <v>27</v>
      </c>
      <c r="N792" s="1">
        <v>18629</v>
      </c>
      <c r="O792">
        <v>0</v>
      </c>
      <c r="P792">
        <v>0</v>
      </c>
      <c r="Q792" t="s">
        <v>37</v>
      </c>
      <c r="R792" t="s">
        <v>29</v>
      </c>
      <c r="S792" t="s">
        <v>138</v>
      </c>
      <c r="T792" t="s">
        <v>139</v>
      </c>
    </row>
    <row r="793" spans="1:20" x14ac:dyDescent="0.25">
      <c r="A793" t="s">
        <v>2612</v>
      </c>
      <c r="B793" t="str">
        <f>"0774"</f>
        <v>0774</v>
      </c>
      <c r="C793" t="str">
        <f>"281840774"</f>
        <v>281840774</v>
      </c>
      <c r="D793" t="s">
        <v>2613</v>
      </c>
      <c r="E793" t="s">
        <v>778</v>
      </c>
      <c r="F793" t="s">
        <v>256</v>
      </c>
      <c r="G793" s="1">
        <v>31320</v>
      </c>
      <c r="H793" s="1">
        <v>41512</v>
      </c>
      <c r="I793" t="str">
        <f t="shared" si="15"/>
        <v>51</v>
      </c>
      <c r="J793" t="s">
        <v>471</v>
      </c>
      <c r="K793" t="s">
        <v>25</v>
      </c>
      <c r="L793" t="s">
        <v>26</v>
      </c>
      <c r="M793" t="s">
        <v>27</v>
      </c>
      <c r="N793" s="1">
        <v>18629</v>
      </c>
      <c r="O793">
        <v>0</v>
      </c>
      <c r="P793">
        <v>0</v>
      </c>
      <c r="Q793" t="s">
        <v>37</v>
      </c>
      <c r="R793" t="s">
        <v>29</v>
      </c>
      <c r="S793" t="s">
        <v>138</v>
      </c>
      <c r="T793" t="s">
        <v>139</v>
      </c>
    </row>
    <row r="794" spans="1:20" x14ac:dyDescent="0.25">
      <c r="A794" t="s">
        <v>2614</v>
      </c>
      <c r="B794" t="str">
        <f>"2468"</f>
        <v>2468</v>
      </c>
      <c r="C794" t="str">
        <f>"300562468"</f>
        <v>300562468</v>
      </c>
      <c r="D794" t="s">
        <v>2290</v>
      </c>
      <c r="E794" t="s">
        <v>2615</v>
      </c>
      <c r="G794" s="1">
        <v>20897</v>
      </c>
      <c r="H794" s="1">
        <v>41512</v>
      </c>
      <c r="I794" t="str">
        <f t="shared" si="15"/>
        <v>51</v>
      </c>
      <c r="J794" t="s">
        <v>471</v>
      </c>
      <c r="K794" t="s">
        <v>25</v>
      </c>
      <c r="L794" t="s">
        <v>26</v>
      </c>
      <c r="M794" t="s">
        <v>27</v>
      </c>
      <c r="N794" s="1">
        <v>18629</v>
      </c>
      <c r="O794">
        <v>0</v>
      </c>
      <c r="P794">
        <v>0</v>
      </c>
      <c r="Q794" t="s">
        <v>37</v>
      </c>
      <c r="R794" t="s">
        <v>29</v>
      </c>
      <c r="S794" t="s">
        <v>138</v>
      </c>
      <c r="T794" t="s">
        <v>139</v>
      </c>
    </row>
    <row r="795" spans="1:20" x14ac:dyDescent="0.25">
      <c r="A795" t="s">
        <v>2616</v>
      </c>
      <c r="B795" t="str">
        <f>"1208"</f>
        <v>1208</v>
      </c>
      <c r="C795" t="str">
        <f>"221441208"</f>
        <v>221441208</v>
      </c>
      <c r="D795" t="s">
        <v>2617</v>
      </c>
      <c r="E795" t="s">
        <v>2618</v>
      </c>
      <c r="F795" t="s">
        <v>165</v>
      </c>
      <c r="G795" s="1">
        <v>20402</v>
      </c>
      <c r="H795" s="1">
        <v>41512</v>
      </c>
      <c r="I795" t="str">
        <f t="shared" si="15"/>
        <v>51</v>
      </c>
      <c r="J795" t="s">
        <v>471</v>
      </c>
      <c r="K795" t="s">
        <v>25</v>
      </c>
      <c r="L795" t="s">
        <v>26</v>
      </c>
      <c r="M795" t="s">
        <v>27</v>
      </c>
      <c r="N795" s="1">
        <v>18629</v>
      </c>
      <c r="O795">
        <v>0</v>
      </c>
      <c r="P795">
        <v>0</v>
      </c>
      <c r="Q795" t="s">
        <v>37</v>
      </c>
      <c r="R795" t="s">
        <v>29</v>
      </c>
      <c r="S795" t="s">
        <v>138</v>
      </c>
      <c r="T795" t="s">
        <v>139</v>
      </c>
    </row>
    <row r="796" spans="1:20" x14ac:dyDescent="0.25">
      <c r="A796" t="s">
        <v>2619</v>
      </c>
      <c r="B796" t="str">
        <f>"3373"</f>
        <v>3373</v>
      </c>
      <c r="C796" t="str">
        <f>"288603373"</f>
        <v>288603373</v>
      </c>
      <c r="D796" t="s">
        <v>2620</v>
      </c>
      <c r="E796" t="s">
        <v>184</v>
      </c>
      <c r="F796" t="s">
        <v>28</v>
      </c>
      <c r="G796" s="1">
        <v>23098</v>
      </c>
      <c r="H796" s="1">
        <v>41512</v>
      </c>
      <c r="I796" t="str">
        <f t="shared" si="15"/>
        <v>51</v>
      </c>
      <c r="J796" t="s">
        <v>471</v>
      </c>
      <c r="K796" t="s">
        <v>25</v>
      </c>
      <c r="L796" t="s">
        <v>26</v>
      </c>
      <c r="M796" t="s">
        <v>27</v>
      </c>
      <c r="N796" s="1">
        <v>18629</v>
      </c>
      <c r="O796">
        <v>0</v>
      </c>
      <c r="P796">
        <v>0</v>
      </c>
      <c r="Q796" t="s">
        <v>37</v>
      </c>
      <c r="R796" t="s">
        <v>29</v>
      </c>
      <c r="S796" t="s">
        <v>138</v>
      </c>
      <c r="T796" t="s">
        <v>139</v>
      </c>
    </row>
    <row r="797" spans="1:20" x14ac:dyDescent="0.25">
      <c r="A797" t="s">
        <v>2621</v>
      </c>
      <c r="B797" t="str">
        <f>"1720"</f>
        <v>1720</v>
      </c>
      <c r="C797" t="str">
        <f>"271921720"</f>
        <v>271921720</v>
      </c>
      <c r="D797" t="s">
        <v>2622</v>
      </c>
      <c r="E797" t="s">
        <v>2623</v>
      </c>
      <c r="F797" t="s">
        <v>2624</v>
      </c>
      <c r="G797" s="1">
        <v>26317</v>
      </c>
      <c r="H797" s="1">
        <v>41512</v>
      </c>
      <c r="I797" t="str">
        <f t="shared" si="15"/>
        <v>51</v>
      </c>
      <c r="J797" t="s">
        <v>471</v>
      </c>
      <c r="K797" t="s">
        <v>25</v>
      </c>
      <c r="L797" t="s">
        <v>26</v>
      </c>
      <c r="M797" t="s">
        <v>27</v>
      </c>
      <c r="N797" s="1">
        <v>18629</v>
      </c>
      <c r="O797">
        <v>0</v>
      </c>
      <c r="P797">
        <v>0</v>
      </c>
      <c r="Q797" t="s">
        <v>37</v>
      </c>
      <c r="R797" t="s">
        <v>29</v>
      </c>
      <c r="S797" t="s">
        <v>138</v>
      </c>
      <c r="T797" t="s">
        <v>139</v>
      </c>
    </row>
    <row r="798" spans="1:20" x14ac:dyDescent="0.25">
      <c r="A798" t="s">
        <v>2625</v>
      </c>
      <c r="B798" t="str">
        <f>"3844"</f>
        <v>3844</v>
      </c>
      <c r="C798" t="str">
        <f>"127723844"</f>
        <v>127723844</v>
      </c>
      <c r="D798" t="s">
        <v>2007</v>
      </c>
      <c r="E798" t="s">
        <v>499</v>
      </c>
      <c r="F798" t="s">
        <v>219</v>
      </c>
      <c r="G798" s="1">
        <v>27642</v>
      </c>
      <c r="H798" s="1">
        <v>41512</v>
      </c>
      <c r="I798" t="str">
        <f t="shared" si="15"/>
        <v>51</v>
      </c>
      <c r="J798" t="s">
        <v>471</v>
      </c>
      <c r="K798" t="s">
        <v>25</v>
      </c>
      <c r="L798" t="s">
        <v>26</v>
      </c>
      <c r="M798" t="s">
        <v>27</v>
      </c>
      <c r="N798" s="1">
        <v>18629</v>
      </c>
      <c r="O798">
        <v>0</v>
      </c>
      <c r="P798">
        <v>0</v>
      </c>
      <c r="Q798" t="s">
        <v>28</v>
      </c>
      <c r="R798" t="s">
        <v>51</v>
      </c>
      <c r="S798" s="2" t="s">
        <v>2626</v>
      </c>
      <c r="T798" t="s">
        <v>2627</v>
      </c>
    </row>
    <row r="799" spans="1:20" x14ac:dyDescent="0.25">
      <c r="A799" t="s">
        <v>2628</v>
      </c>
      <c r="B799" t="str">
        <f>"4296"</f>
        <v>4296</v>
      </c>
      <c r="C799" t="str">
        <f>"296584296"</f>
        <v>296584296</v>
      </c>
      <c r="D799" t="s">
        <v>2629</v>
      </c>
      <c r="E799" t="s">
        <v>682</v>
      </c>
      <c r="F799" t="s">
        <v>219</v>
      </c>
      <c r="G799" s="1">
        <v>20600</v>
      </c>
      <c r="H799" s="1">
        <v>41512</v>
      </c>
      <c r="I799" t="str">
        <f t="shared" si="15"/>
        <v>51</v>
      </c>
      <c r="J799" t="s">
        <v>471</v>
      </c>
      <c r="K799" t="s">
        <v>25</v>
      </c>
      <c r="L799" t="s">
        <v>26</v>
      </c>
      <c r="M799" t="s">
        <v>27</v>
      </c>
      <c r="N799" s="1">
        <v>18629</v>
      </c>
      <c r="O799">
        <v>0</v>
      </c>
      <c r="P799">
        <v>0</v>
      </c>
      <c r="Q799" t="s">
        <v>37</v>
      </c>
      <c r="R799" t="s">
        <v>29</v>
      </c>
      <c r="S799" t="s">
        <v>138</v>
      </c>
      <c r="T799" t="s">
        <v>139</v>
      </c>
    </row>
    <row r="800" spans="1:20" x14ac:dyDescent="0.25">
      <c r="A800" t="s">
        <v>2630</v>
      </c>
      <c r="B800" t="str">
        <f>"5664"</f>
        <v>5664</v>
      </c>
      <c r="C800" t="str">
        <f>"285765664"</f>
        <v>285765664</v>
      </c>
      <c r="D800" t="s">
        <v>2064</v>
      </c>
      <c r="E800" t="s">
        <v>2159</v>
      </c>
      <c r="F800" t="s">
        <v>256</v>
      </c>
      <c r="G800" s="1">
        <v>28250</v>
      </c>
      <c r="H800" s="1">
        <v>41512</v>
      </c>
      <c r="I800" t="str">
        <f t="shared" si="15"/>
        <v>51</v>
      </c>
      <c r="J800" t="s">
        <v>471</v>
      </c>
      <c r="K800" t="s">
        <v>25</v>
      </c>
      <c r="L800" t="s">
        <v>26</v>
      </c>
      <c r="M800" t="s">
        <v>27</v>
      </c>
      <c r="N800" s="1">
        <v>18629</v>
      </c>
      <c r="O800">
        <v>0</v>
      </c>
      <c r="P800">
        <v>0</v>
      </c>
      <c r="Q800" t="s">
        <v>37</v>
      </c>
      <c r="R800" t="s">
        <v>71</v>
      </c>
      <c r="S800" t="s">
        <v>770</v>
      </c>
      <c r="T800" t="s">
        <v>771</v>
      </c>
    </row>
    <row r="801" spans="1:20" x14ac:dyDescent="0.25">
      <c r="A801" t="s">
        <v>2631</v>
      </c>
      <c r="B801" t="str">
        <f>"0698"</f>
        <v>0698</v>
      </c>
      <c r="C801" t="str">
        <f>"270520698"</f>
        <v>270520698</v>
      </c>
      <c r="D801" t="s">
        <v>2632</v>
      </c>
      <c r="E801" t="s">
        <v>2633</v>
      </c>
      <c r="F801" t="s">
        <v>37</v>
      </c>
      <c r="G801" s="1">
        <v>19569</v>
      </c>
      <c r="H801" s="1">
        <v>41512</v>
      </c>
      <c r="I801" t="str">
        <f t="shared" si="15"/>
        <v>51</v>
      </c>
      <c r="J801" t="s">
        <v>471</v>
      </c>
      <c r="K801" t="s">
        <v>25</v>
      </c>
      <c r="L801" t="s">
        <v>26</v>
      </c>
      <c r="M801" t="s">
        <v>27</v>
      </c>
      <c r="N801" s="1">
        <v>18629</v>
      </c>
      <c r="O801">
        <v>0</v>
      </c>
      <c r="P801">
        <v>0</v>
      </c>
      <c r="Q801" t="s">
        <v>37</v>
      </c>
      <c r="R801" t="s">
        <v>71</v>
      </c>
      <c r="S801" t="s">
        <v>2634</v>
      </c>
      <c r="T801" t="s">
        <v>2635</v>
      </c>
    </row>
    <row r="802" spans="1:20" x14ac:dyDescent="0.25">
      <c r="A802" t="s">
        <v>2636</v>
      </c>
      <c r="B802" t="str">
        <f>"9879"</f>
        <v>9879</v>
      </c>
      <c r="C802" t="str">
        <f>"633099879"</f>
        <v>633099879</v>
      </c>
      <c r="D802" t="s">
        <v>2637</v>
      </c>
      <c r="E802" t="s">
        <v>2638</v>
      </c>
      <c r="G802" s="1">
        <v>26252</v>
      </c>
      <c r="H802" s="1">
        <v>41512</v>
      </c>
      <c r="I802" t="str">
        <f t="shared" si="15"/>
        <v>51</v>
      </c>
      <c r="J802" t="s">
        <v>471</v>
      </c>
      <c r="K802" t="s">
        <v>25</v>
      </c>
      <c r="L802" t="s">
        <v>26</v>
      </c>
      <c r="M802" t="s">
        <v>27</v>
      </c>
      <c r="N802" s="1">
        <v>18629</v>
      </c>
      <c r="O802">
        <v>0</v>
      </c>
      <c r="P802">
        <v>0</v>
      </c>
      <c r="Q802" t="s">
        <v>28</v>
      </c>
      <c r="R802" t="s">
        <v>29</v>
      </c>
      <c r="S802" t="s">
        <v>733</v>
      </c>
      <c r="T802" t="s">
        <v>734</v>
      </c>
    </row>
    <row r="803" spans="1:20" x14ac:dyDescent="0.25">
      <c r="A803" t="s">
        <v>2639</v>
      </c>
      <c r="B803" t="str">
        <f>"2661"</f>
        <v>2661</v>
      </c>
      <c r="C803" t="str">
        <f>"281702661"</f>
        <v>281702661</v>
      </c>
      <c r="D803" t="s">
        <v>2080</v>
      </c>
      <c r="E803" t="s">
        <v>1363</v>
      </c>
      <c r="F803" t="s">
        <v>93</v>
      </c>
      <c r="G803" s="1">
        <v>22119</v>
      </c>
      <c r="H803" s="1">
        <v>41512</v>
      </c>
      <c r="I803" t="str">
        <f t="shared" si="15"/>
        <v>51</v>
      </c>
      <c r="J803" t="s">
        <v>471</v>
      </c>
      <c r="K803" t="s">
        <v>25</v>
      </c>
      <c r="L803" t="s">
        <v>26</v>
      </c>
      <c r="M803" t="s">
        <v>27</v>
      </c>
      <c r="N803" s="1">
        <v>18629</v>
      </c>
      <c r="O803">
        <v>0</v>
      </c>
      <c r="P803">
        <v>0</v>
      </c>
      <c r="Q803" t="s">
        <v>37</v>
      </c>
      <c r="R803" t="s">
        <v>29</v>
      </c>
      <c r="S803" t="s">
        <v>138</v>
      </c>
      <c r="T803" t="s">
        <v>139</v>
      </c>
    </row>
    <row r="804" spans="1:20" x14ac:dyDescent="0.25">
      <c r="A804" t="s">
        <v>2640</v>
      </c>
      <c r="B804" t="str">
        <f>"6402"</f>
        <v>6402</v>
      </c>
      <c r="C804" t="str">
        <f>"283666402"</f>
        <v>283666402</v>
      </c>
      <c r="D804" t="s">
        <v>2641</v>
      </c>
      <c r="E804" t="s">
        <v>782</v>
      </c>
      <c r="F804" t="s">
        <v>93</v>
      </c>
      <c r="G804" s="1">
        <v>26374</v>
      </c>
      <c r="H804" s="1">
        <v>41512</v>
      </c>
      <c r="I804" t="str">
        <f t="shared" si="15"/>
        <v>51</v>
      </c>
      <c r="J804" t="s">
        <v>471</v>
      </c>
      <c r="K804" t="s">
        <v>25</v>
      </c>
      <c r="L804" t="s">
        <v>26</v>
      </c>
      <c r="M804" t="s">
        <v>27</v>
      </c>
      <c r="N804" s="1">
        <v>18629</v>
      </c>
      <c r="O804">
        <v>0</v>
      </c>
      <c r="P804">
        <v>0</v>
      </c>
      <c r="Q804" t="s">
        <v>37</v>
      </c>
      <c r="R804" t="s">
        <v>51</v>
      </c>
      <c r="S804" t="s">
        <v>717</v>
      </c>
      <c r="T804" t="s">
        <v>718</v>
      </c>
    </row>
    <row r="805" spans="1:20" x14ac:dyDescent="0.25">
      <c r="A805" t="s">
        <v>2642</v>
      </c>
      <c r="B805" t="str">
        <f>"1383"</f>
        <v>1383</v>
      </c>
      <c r="C805" t="str">
        <f>"301901383"</f>
        <v>301901383</v>
      </c>
      <c r="D805" t="s">
        <v>114</v>
      </c>
      <c r="E805" t="s">
        <v>2643</v>
      </c>
      <c r="F805" t="s">
        <v>499</v>
      </c>
      <c r="G805" s="1">
        <v>32871</v>
      </c>
      <c r="H805" s="1">
        <v>41512</v>
      </c>
      <c r="I805" t="str">
        <f t="shared" si="15"/>
        <v>51</v>
      </c>
      <c r="J805" t="s">
        <v>471</v>
      </c>
      <c r="K805" t="s">
        <v>25</v>
      </c>
      <c r="L805" t="s">
        <v>26</v>
      </c>
      <c r="M805" t="s">
        <v>27</v>
      </c>
      <c r="N805" s="1">
        <v>18629</v>
      </c>
      <c r="O805">
        <v>0</v>
      </c>
      <c r="P805">
        <v>0</v>
      </c>
      <c r="Q805" t="s">
        <v>28</v>
      </c>
      <c r="R805" t="s">
        <v>29</v>
      </c>
      <c r="S805" t="s">
        <v>2355</v>
      </c>
      <c r="T805" t="s">
        <v>2356</v>
      </c>
    </row>
    <row r="806" spans="1:20" x14ac:dyDescent="0.25">
      <c r="A806" t="s">
        <v>2644</v>
      </c>
      <c r="B806" t="str">
        <f>"4834"</f>
        <v>4834</v>
      </c>
      <c r="C806" t="str">
        <f>"280684834"</f>
        <v>280684834</v>
      </c>
      <c r="D806" t="s">
        <v>2645</v>
      </c>
      <c r="E806" t="s">
        <v>544</v>
      </c>
      <c r="G806" s="1">
        <v>22414</v>
      </c>
      <c r="H806" s="1">
        <v>41512</v>
      </c>
      <c r="I806" t="str">
        <f t="shared" si="15"/>
        <v>51</v>
      </c>
      <c r="J806" t="s">
        <v>471</v>
      </c>
      <c r="K806" t="s">
        <v>25</v>
      </c>
      <c r="L806" t="s">
        <v>26</v>
      </c>
      <c r="M806" t="s">
        <v>27</v>
      </c>
      <c r="N806" s="1">
        <v>18629</v>
      </c>
      <c r="O806">
        <v>0</v>
      </c>
      <c r="P806">
        <v>0</v>
      </c>
      <c r="Q806" t="s">
        <v>37</v>
      </c>
      <c r="R806" t="s">
        <v>29</v>
      </c>
      <c r="S806" t="s">
        <v>138</v>
      </c>
      <c r="T806" t="s">
        <v>139</v>
      </c>
    </row>
    <row r="807" spans="1:20" x14ac:dyDescent="0.25">
      <c r="A807" t="s">
        <v>2646</v>
      </c>
      <c r="B807" t="str">
        <f>"4927"</f>
        <v>4927</v>
      </c>
      <c r="C807" t="str">
        <f>"295484927"</f>
        <v>295484927</v>
      </c>
      <c r="D807" t="s">
        <v>2647</v>
      </c>
      <c r="E807" t="s">
        <v>1287</v>
      </c>
      <c r="G807" s="1">
        <v>19192</v>
      </c>
      <c r="H807" s="1">
        <v>41512</v>
      </c>
      <c r="I807" t="str">
        <f t="shared" si="15"/>
        <v>51</v>
      </c>
      <c r="J807" t="s">
        <v>471</v>
      </c>
      <c r="K807" t="s">
        <v>25</v>
      </c>
      <c r="L807" t="s">
        <v>26</v>
      </c>
      <c r="M807" t="s">
        <v>27</v>
      </c>
      <c r="N807" s="1">
        <v>18629</v>
      </c>
      <c r="O807">
        <v>0</v>
      </c>
      <c r="P807">
        <v>0</v>
      </c>
      <c r="Q807" t="s">
        <v>37</v>
      </c>
      <c r="R807" t="s">
        <v>29</v>
      </c>
      <c r="S807" t="s">
        <v>138</v>
      </c>
      <c r="T807" t="s">
        <v>139</v>
      </c>
    </row>
    <row r="808" spans="1:20" x14ac:dyDescent="0.25">
      <c r="A808" t="s">
        <v>2648</v>
      </c>
      <c r="B808" t="str">
        <f>"8344"</f>
        <v>8344</v>
      </c>
      <c r="C808" t="str">
        <f>"297528344"</f>
        <v>297528344</v>
      </c>
      <c r="D808" t="s">
        <v>2649</v>
      </c>
      <c r="E808" t="s">
        <v>2650</v>
      </c>
      <c r="G808" s="1">
        <v>19143</v>
      </c>
      <c r="H808" s="1">
        <v>41512</v>
      </c>
      <c r="I808" t="str">
        <f t="shared" si="15"/>
        <v>51</v>
      </c>
      <c r="J808" t="s">
        <v>471</v>
      </c>
      <c r="K808" t="s">
        <v>25</v>
      </c>
      <c r="L808" t="s">
        <v>26</v>
      </c>
      <c r="M808" t="s">
        <v>27</v>
      </c>
      <c r="N808" s="1">
        <v>18629</v>
      </c>
      <c r="O808">
        <v>0</v>
      </c>
      <c r="P808">
        <v>0</v>
      </c>
      <c r="Q808" t="s">
        <v>37</v>
      </c>
      <c r="R808" t="s">
        <v>29</v>
      </c>
      <c r="S808" t="s">
        <v>138</v>
      </c>
      <c r="T808" t="s">
        <v>139</v>
      </c>
    </row>
    <row r="809" spans="1:20" x14ac:dyDescent="0.25">
      <c r="A809" t="s">
        <v>2651</v>
      </c>
      <c r="B809" t="str">
        <f>"9803"</f>
        <v>9803</v>
      </c>
      <c r="C809" t="str">
        <f>"274929803"</f>
        <v>274929803</v>
      </c>
      <c r="D809" t="s">
        <v>2652</v>
      </c>
      <c r="E809" t="s">
        <v>250</v>
      </c>
      <c r="F809" t="s">
        <v>93</v>
      </c>
      <c r="G809" s="1">
        <v>31625</v>
      </c>
      <c r="H809" s="1">
        <v>41512</v>
      </c>
      <c r="I809" t="str">
        <f t="shared" si="15"/>
        <v>51</v>
      </c>
      <c r="J809" t="s">
        <v>471</v>
      </c>
      <c r="K809" t="s">
        <v>25</v>
      </c>
      <c r="L809" t="s">
        <v>26</v>
      </c>
      <c r="M809" t="s">
        <v>27</v>
      </c>
      <c r="N809" s="1">
        <v>18629</v>
      </c>
      <c r="O809">
        <v>0</v>
      </c>
      <c r="P809">
        <v>0</v>
      </c>
      <c r="Q809" t="s">
        <v>37</v>
      </c>
      <c r="R809" t="s">
        <v>29</v>
      </c>
      <c r="S809" t="s">
        <v>138</v>
      </c>
      <c r="T809" t="s">
        <v>139</v>
      </c>
    </row>
    <row r="810" spans="1:20" x14ac:dyDescent="0.25">
      <c r="A810" t="s">
        <v>2653</v>
      </c>
      <c r="B810" t="str">
        <f>"8135"</f>
        <v>8135</v>
      </c>
      <c r="C810" t="str">
        <f>"268928135"</f>
        <v>268928135</v>
      </c>
      <c r="D810" t="s">
        <v>2654</v>
      </c>
      <c r="E810" t="s">
        <v>2655</v>
      </c>
      <c r="G810" s="1">
        <v>30795</v>
      </c>
      <c r="H810" s="1">
        <v>41512</v>
      </c>
      <c r="I810" t="str">
        <f t="shared" si="15"/>
        <v>51</v>
      </c>
      <c r="J810" t="s">
        <v>471</v>
      </c>
      <c r="K810" t="s">
        <v>25</v>
      </c>
      <c r="L810" t="s">
        <v>26</v>
      </c>
      <c r="M810" t="s">
        <v>27</v>
      </c>
      <c r="N810" s="1">
        <v>18629</v>
      </c>
      <c r="O810">
        <v>0</v>
      </c>
      <c r="P810">
        <v>0</v>
      </c>
      <c r="Q810" t="s">
        <v>37</v>
      </c>
      <c r="R810" t="s">
        <v>29</v>
      </c>
      <c r="S810" t="s">
        <v>83</v>
      </c>
      <c r="T810" t="s">
        <v>84</v>
      </c>
    </row>
    <row r="811" spans="1:20" x14ac:dyDescent="0.25">
      <c r="A811" t="s">
        <v>2656</v>
      </c>
      <c r="B811" t="str">
        <f>"0653"</f>
        <v>0653</v>
      </c>
      <c r="C811" t="str">
        <f>"562910653"</f>
        <v>562910653</v>
      </c>
      <c r="D811" t="s">
        <v>2657</v>
      </c>
      <c r="E811" t="s">
        <v>813</v>
      </c>
      <c r="G811" s="1">
        <v>21911</v>
      </c>
      <c r="H811" s="1">
        <v>41512</v>
      </c>
      <c r="I811" t="str">
        <f t="shared" si="15"/>
        <v>51</v>
      </c>
      <c r="J811" t="s">
        <v>471</v>
      </c>
      <c r="K811" t="s">
        <v>25</v>
      </c>
      <c r="L811" t="s">
        <v>26</v>
      </c>
      <c r="M811" t="s">
        <v>27</v>
      </c>
      <c r="N811" s="1">
        <v>18629</v>
      </c>
      <c r="O811">
        <v>0</v>
      </c>
      <c r="P811">
        <v>0</v>
      </c>
      <c r="Q811" t="s">
        <v>37</v>
      </c>
      <c r="R811" t="s">
        <v>29</v>
      </c>
      <c r="S811" t="s">
        <v>138</v>
      </c>
      <c r="T811" t="s">
        <v>139</v>
      </c>
    </row>
    <row r="812" spans="1:20" x14ac:dyDescent="0.25">
      <c r="A812" t="s">
        <v>2658</v>
      </c>
      <c r="B812" t="str">
        <f>"8258"</f>
        <v>8258</v>
      </c>
      <c r="C812" t="str">
        <f>"297608258"</f>
        <v>297608258</v>
      </c>
      <c r="D812" t="s">
        <v>2659</v>
      </c>
      <c r="E812" t="s">
        <v>756</v>
      </c>
      <c r="F812" t="s">
        <v>69</v>
      </c>
      <c r="G812" s="1">
        <v>23194</v>
      </c>
      <c r="H812" s="1">
        <v>41512</v>
      </c>
      <c r="I812" t="str">
        <f t="shared" si="15"/>
        <v>51</v>
      </c>
      <c r="J812" t="s">
        <v>471</v>
      </c>
      <c r="K812" t="s">
        <v>25</v>
      </c>
      <c r="L812" t="s">
        <v>26</v>
      </c>
      <c r="M812" t="s">
        <v>27</v>
      </c>
      <c r="N812" s="1">
        <v>18629</v>
      </c>
      <c r="O812">
        <v>0</v>
      </c>
      <c r="P812">
        <v>0</v>
      </c>
      <c r="Q812" t="s">
        <v>37</v>
      </c>
      <c r="R812" t="s">
        <v>51</v>
      </c>
      <c r="S812" s="2" t="s">
        <v>1508</v>
      </c>
      <c r="T812" t="s">
        <v>1509</v>
      </c>
    </row>
    <row r="813" spans="1:20" x14ac:dyDescent="0.25">
      <c r="A813" t="s">
        <v>2660</v>
      </c>
      <c r="B813" t="str">
        <f>"7305"</f>
        <v>7305</v>
      </c>
      <c r="C813" t="str">
        <f>"271387305"</f>
        <v>271387305</v>
      </c>
      <c r="D813" t="s">
        <v>2661</v>
      </c>
      <c r="E813" t="s">
        <v>304</v>
      </c>
      <c r="F813" t="s">
        <v>219</v>
      </c>
      <c r="G813" s="1">
        <v>15316</v>
      </c>
      <c r="H813" s="1">
        <v>41512</v>
      </c>
      <c r="I813" t="str">
        <f>"33"</f>
        <v>33</v>
      </c>
      <c r="J813" t="s">
        <v>45</v>
      </c>
      <c r="K813" t="s">
        <v>25</v>
      </c>
      <c r="L813" t="s">
        <v>26</v>
      </c>
      <c r="M813" t="s">
        <v>27</v>
      </c>
      <c r="N813" s="1">
        <v>18629</v>
      </c>
      <c r="O813">
        <v>0</v>
      </c>
      <c r="P813">
        <v>0</v>
      </c>
      <c r="Q813" t="s">
        <v>28</v>
      </c>
      <c r="R813" t="s">
        <v>71</v>
      </c>
      <c r="S813" t="s">
        <v>955</v>
      </c>
      <c r="T813" t="s">
        <v>956</v>
      </c>
    </row>
    <row r="814" spans="1:20" x14ac:dyDescent="0.25">
      <c r="A814" t="s">
        <v>2662</v>
      </c>
      <c r="B814" t="str">
        <f>"2924"</f>
        <v>2924</v>
      </c>
      <c r="C814" t="str">
        <f>"103582924"</f>
        <v>103582924</v>
      </c>
      <c r="D814" t="s">
        <v>2663</v>
      </c>
      <c r="E814" t="s">
        <v>22</v>
      </c>
      <c r="G814" s="1">
        <v>27302</v>
      </c>
      <c r="H814" s="1">
        <v>41505</v>
      </c>
      <c r="I814" t="str">
        <f>"08"</f>
        <v>08</v>
      </c>
      <c r="J814" t="s">
        <v>265</v>
      </c>
      <c r="K814" t="s">
        <v>175</v>
      </c>
      <c r="L814" t="s">
        <v>37</v>
      </c>
      <c r="M814" t="s">
        <v>117</v>
      </c>
      <c r="N814" s="1">
        <v>41617</v>
      </c>
      <c r="O814">
        <v>5288.66</v>
      </c>
      <c r="P814">
        <v>1322.1</v>
      </c>
      <c r="Q814" t="s">
        <v>28</v>
      </c>
      <c r="R814" t="s">
        <v>71</v>
      </c>
      <c r="S814" t="s">
        <v>982</v>
      </c>
      <c r="T814" t="s">
        <v>983</v>
      </c>
    </row>
    <row r="815" spans="1:20" x14ac:dyDescent="0.25">
      <c r="A815" t="s">
        <v>2664</v>
      </c>
      <c r="B815" t="str">
        <f>"4054"</f>
        <v>4054</v>
      </c>
      <c r="C815" t="str">
        <f>"279784054"</f>
        <v>279784054</v>
      </c>
      <c r="D815" t="s">
        <v>2665</v>
      </c>
      <c r="E815" t="s">
        <v>2666</v>
      </c>
      <c r="F815" t="s">
        <v>256</v>
      </c>
      <c r="G815" s="1">
        <v>25716</v>
      </c>
      <c r="H815" s="1">
        <v>41505</v>
      </c>
      <c r="I815" t="str">
        <f>"01"</f>
        <v>01</v>
      </c>
      <c r="J815" t="s">
        <v>116</v>
      </c>
      <c r="L815" t="s">
        <v>37</v>
      </c>
      <c r="M815" t="s">
        <v>143</v>
      </c>
      <c r="N815" s="1">
        <v>41617</v>
      </c>
      <c r="O815">
        <v>185.9</v>
      </c>
      <c r="P815">
        <v>-185.9</v>
      </c>
      <c r="Q815" t="s">
        <v>37</v>
      </c>
      <c r="R815" t="s">
        <v>71</v>
      </c>
      <c r="S815" t="s">
        <v>2667</v>
      </c>
      <c r="T815" t="s">
        <v>2668</v>
      </c>
    </row>
    <row r="816" spans="1:20" x14ac:dyDescent="0.25">
      <c r="A816" t="s">
        <v>2669</v>
      </c>
      <c r="B816" t="str">
        <f>"7132"</f>
        <v>7132</v>
      </c>
      <c r="C816" t="str">
        <f>"242047132"</f>
        <v>242047132</v>
      </c>
      <c r="D816" t="s">
        <v>907</v>
      </c>
      <c r="E816" t="s">
        <v>2670</v>
      </c>
      <c r="F816" t="s">
        <v>28</v>
      </c>
      <c r="G816" s="1">
        <v>20343</v>
      </c>
      <c r="H816" s="1">
        <v>41505</v>
      </c>
      <c r="I816" t="str">
        <f>"03"</f>
        <v>03</v>
      </c>
      <c r="J816" t="s">
        <v>70</v>
      </c>
      <c r="K816" t="s">
        <v>98</v>
      </c>
      <c r="L816" t="s">
        <v>37</v>
      </c>
      <c r="M816" t="s">
        <v>99</v>
      </c>
      <c r="N816" s="1">
        <v>41617</v>
      </c>
      <c r="O816">
        <v>14801.8</v>
      </c>
      <c r="P816">
        <v>3700.32</v>
      </c>
      <c r="Q816" t="s">
        <v>37</v>
      </c>
      <c r="R816" t="s">
        <v>29</v>
      </c>
      <c r="S816" t="s">
        <v>2184</v>
      </c>
      <c r="T816" t="s">
        <v>2185</v>
      </c>
    </row>
    <row r="817" spans="1:20" x14ac:dyDescent="0.25">
      <c r="A817" t="s">
        <v>2671</v>
      </c>
      <c r="B817" t="str">
        <f>"9493"</f>
        <v>9493</v>
      </c>
      <c r="C817" t="str">
        <f>"284749493"</f>
        <v>284749493</v>
      </c>
      <c r="D817" t="s">
        <v>2672</v>
      </c>
      <c r="E817" t="s">
        <v>2385</v>
      </c>
      <c r="F817" t="s">
        <v>49</v>
      </c>
      <c r="G817" s="1">
        <v>24502</v>
      </c>
      <c r="H817" s="1">
        <v>41505</v>
      </c>
      <c r="I817" t="str">
        <f>"15"</f>
        <v>15</v>
      </c>
      <c r="J817" t="s">
        <v>36</v>
      </c>
      <c r="K817" t="s">
        <v>98</v>
      </c>
      <c r="L817" t="s">
        <v>37</v>
      </c>
      <c r="M817" t="s">
        <v>99</v>
      </c>
      <c r="N817" s="1">
        <v>41617</v>
      </c>
      <c r="O817">
        <v>14801.8</v>
      </c>
      <c r="P817">
        <v>3700.32</v>
      </c>
      <c r="Q817" t="s">
        <v>37</v>
      </c>
      <c r="R817" t="s">
        <v>38</v>
      </c>
      <c r="S817" t="s">
        <v>1194</v>
      </c>
      <c r="T817" t="s">
        <v>1195</v>
      </c>
    </row>
    <row r="818" spans="1:20" x14ac:dyDescent="0.25">
      <c r="A818" t="s">
        <v>2673</v>
      </c>
      <c r="B818" t="str">
        <f>"2952"</f>
        <v>2952</v>
      </c>
      <c r="C818" t="str">
        <f>"288822952"</f>
        <v>288822952</v>
      </c>
      <c r="D818" t="s">
        <v>1156</v>
      </c>
      <c r="E818" t="s">
        <v>2674</v>
      </c>
      <c r="F818" t="s">
        <v>28</v>
      </c>
      <c r="G818" s="1">
        <v>30189</v>
      </c>
      <c r="H818" s="1">
        <v>41505</v>
      </c>
      <c r="I818" t="str">
        <f>"41"</f>
        <v>41</v>
      </c>
      <c r="J818" t="s">
        <v>24</v>
      </c>
      <c r="K818" t="s">
        <v>25</v>
      </c>
      <c r="L818" t="s">
        <v>26</v>
      </c>
      <c r="M818" t="s">
        <v>27</v>
      </c>
      <c r="N818" s="1">
        <v>18629</v>
      </c>
      <c r="O818">
        <v>0</v>
      </c>
      <c r="P818">
        <v>0</v>
      </c>
      <c r="Q818" t="s">
        <v>28</v>
      </c>
      <c r="R818" t="s">
        <v>71</v>
      </c>
      <c r="S818" t="s">
        <v>402</v>
      </c>
      <c r="T818" t="s">
        <v>403</v>
      </c>
    </row>
    <row r="819" spans="1:20" x14ac:dyDescent="0.25">
      <c r="A819" t="s">
        <v>2675</v>
      </c>
      <c r="B819" t="str">
        <f>"2526"</f>
        <v>2526</v>
      </c>
      <c r="C819" t="str">
        <f>"302152526"</f>
        <v>302152526</v>
      </c>
      <c r="D819" t="s">
        <v>2676</v>
      </c>
      <c r="E819" t="s">
        <v>2677</v>
      </c>
      <c r="G819" s="1">
        <v>32338</v>
      </c>
      <c r="H819" s="1">
        <v>41505</v>
      </c>
      <c r="I819" t="str">
        <f>"03"</f>
        <v>03</v>
      </c>
      <c r="J819" t="s">
        <v>70</v>
      </c>
      <c r="K819" t="s">
        <v>98</v>
      </c>
      <c r="L819" t="s">
        <v>37</v>
      </c>
      <c r="M819" t="s">
        <v>117</v>
      </c>
      <c r="N819" s="1">
        <v>41617</v>
      </c>
      <c r="O819">
        <v>4951.96</v>
      </c>
      <c r="P819">
        <v>1237.8599999999999</v>
      </c>
      <c r="Q819" t="s">
        <v>37</v>
      </c>
      <c r="R819" t="s">
        <v>38</v>
      </c>
      <c r="S819" t="s">
        <v>2678</v>
      </c>
      <c r="T819" t="s">
        <v>2679</v>
      </c>
    </row>
    <row r="820" spans="1:20" x14ac:dyDescent="0.25">
      <c r="A820" t="s">
        <v>2680</v>
      </c>
      <c r="B820" t="str">
        <f>"6936"</f>
        <v>6936</v>
      </c>
      <c r="C820" t="str">
        <f>"280866936"</f>
        <v>280866936</v>
      </c>
      <c r="D820" t="s">
        <v>2681</v>
      </c>
      <c r="E820" t="s">
        <v>2682</v>
      </c>
      <c r="F820" t="s">
        <v>345</v>
      </c>
      <c r="G820" s="1">
        <v>27859</v>
      </c>
      <c r="H820" s="1">
        <v>41505</v>
      </c>
      <c r="I820" t="str">
        <f>"15"</f>
        <v>15</v>
      </c>
      <c r="J820" t="s">
        <v>36</v>
      </c>
      <c r="K820" t="s">
        <v>98</v>
      </c>
      <c r="L820" t="s">
        <v>37</v>
      </c>
      <c r="M820" t="s">
        <v>99</v>
      </c>
      <c r="N820" s="1">
        <v>41617</v>
      </c>
      <c r="O820">
        <v>14801.8</v>
      </c>
      <c r="P820">
        <v>3700.32</v>
      </c>
      <c r="Q820" t="s">
        <v>37</v>
      </c>
      <c r="R820" t="s">
        <v>29</v>
      </c>
      <c r="S820" t="s">
        <v>605</v>
      </c>
      <c r="T820" t="s">
        <v>606</v>
      </c>
    </row>
    <row r="821" spans="1:20" x14ac:dyDescent="0.25">
      <c r="A821" t="s">
        <v>2683</v>
      </c>
      <c r="B821" t="str">
        <f>"4577"</f>
        <v>4577</v>
      </c>
      <c r="C821" t="str">
        <f>"278804577"</f>
        <v>278804577</v>
      </c>
      <c r="D821" t="s">
        <v>2684</v>
      </c>
      <c r="E821" t="s">
        <v>308</v>
      </c>
      <c r="F821" t="s">
        <v>44</v>
      </c>
      <c r="G821" s="1">
        <v>25534</v>
      </c>
      <c r="H821" s="1">
        <v>41505</v>
      </c>
      <c r="I821" t="str">
        <f>"08"</f>
        <v>08</v>
      </c>
      <c r="J821" t="s">
        <v>265</v>
      </c>
      <c r="K821" t="s">
        <v>175</v>
      </c>
      <c r="L821" t="s">
        <v>37</v>
      </c>
      <c r="M821" t="s">
        <v>257</v>
      </c>
      <c r="N821" s="1">
        <v>41617</v>
      </c>
      <c r="O821">
        <v>11847.94</v>
      </c>
      <c r="P821">
        <v>2961.92</v>
      </c>
      <c r="Q821" t="s">
        <v>37</v>
      </c>
      <c r="R821" t="s">
        <v>29</v>
      </c>
      <c r="S821" t="s">
        <v>982</v>
      </c>
      <c r="T821" t="s">
        <v>983</v>
      </c>
    </row>
    <row r="822" spans="1:20" x14ac:dyDescent="0.25">
      <c r="A822" t="s">
        <v>2685</v>
      </c>
      <c r="B822" t="str">
        <f>"2927"</f>
        <v>2927</v>
      </c>
      <c r="C822" t="str">
        <f>"115562927"</f>
        <v>115562927</v>
      </c>
      <c r="D822" t="s">
        <v>2440</v>
      </c>
      <c r="E822" t="s">
        <v>2686</v>
      </c>
      <c r="F822" t="s">
        <v>430</v>
      </c>
      <c r="G822" s="1">
        <v>26956</v>
      </c>
      <c r="H822" s="1">
        <v>41505</v>
      </c>
      <c r="I822" t="str">
        <f>"01"</f>
        <v>01</v>
      </c>
      <c r="J822" t="s">
        <v>116</v>
      </c>
      <c r="K822" t="s">
        <v>510</v>
      </c>
      <c r="L822" t="s">
        <v>37</v>
      </c>
      <c r="M822" t="s">
        <v>99</v>
      </c>
      <c r="N822" s="1">
        <v>41617</v>
      </c>
      <c r="O822">
        <v>19521.84</v>
      </c>
      <c r="P822">
        <v>4880.46</v>
      </c>
      <c r="Q822" t="s">
        <v>28</v>
      </c>
      <c r="R822" t="s">
        <v>110</v>
      </c>
      <c r="S822" t="s">
        <v>111</v>
      </c>
      <c r="T822" t="s">
        <v>112</v>
      </c>
    </row>
    <row r="823" spans="1:20" x14ac:dyDescent="0.25">
      <c r="A823" t="s">
        <v>2687</v>
      </c>
      <c r="B823" t="str">
        <f>"7936"</f>
        <v>7936</v>
      </c>
      <c r="C823" t="str">
        <f>"278707936"</f>
        <v>278707936</v>
      </c>
      <c r="D823" t="s">
        <v>1279</v>
      </c>
      <c r="E823" t="s">
        <v>106</v>
      </c>
      <c r="F823" t="s">
        <v>174</v>
      </c>
      <c r="G823" s="1">
        <v>22082</v>
      </c>
      <c r="H823" s="1">
        <v>41505</v>
      </c>
      <c r="I823" t="str">
        <f>"03"</f>
        <v>03</v>
      </c>
      <c r="J823" t="s">
        <v>70</v>
      </c>
      <c r="K823" t="s">
        <v>98</v>
      </c>
      <c r="L823" t="s">
        <v>37</v>
      </c>
      <c r="M823" t="s">
        <v>117</v>
      </c>
      <c r="N823" s="1">
        <v>41617</v>
      </c>
      <c r="O823">
        <v>4951.96</v>
      </c>
      <c r="P823">
        <v>1237.8599999999999</v>
      </c>
      <c r="Q823" t="s">
        <v>28</v>
      </c>
      <c r="R823" t="s">
        <v>29</v>
      </c>
      <c r="S823" t="s">
        <v>557</v>
      </c>
      <c r="T823" t="s">
        <v>558</v>
      </c>
    </row>
    <row r="824" spans="1:20" x14ac:dyDescent="0.25">
      <c r="A824" t="s">
        <v>2688</v>
      </c>
      <c r="B824" t="str">
        <f>"8816"</f>
        <v>8816</v>
      </c>
      <c r="C824" t="str">
        <f>"001748816"</f>
        <v>001748816</v>
      </c>
      <c r="D824" t="s">
        <v>2689</v>
      </c>
      <c r="E824" t="s">
        <v>430</v>
      </c>
      <c r="F824" t="s">
        <v>97</v>
      </c>
      <c r="G824" s="1">
        <v>29104</v>
      </c>
      <c r="H824" s="1">
        <v>41505</v>
      </c>
      <c r="I824" t="str">
        <f>"01"</f>
        <v>01</v>
      </c>
      <c r="J824" t="s">
        <v>116</v>
      </c>
      <c r="K824" t="s">
        <v>98</v>
      </c>
      <c r="L824" t="s">
        <v>37</v>
      </c>
      <c r="M824" t="s">
        <v>99</v>
      </c>
      <c r="N824" s="1">
        <v>41617</v>
      </c>
      <c r="O824">
        <v>14801.8</v>
      </c>
      <c r="P824">
        <v>3700.32</v>
      </c>
      <c r="Q824" t="s">
        <v>28</v>
      </c>
      <c r="R824" t="s">
        <v>38</v>
      </c>
      <c r="S824" t="s">
        <v>1874</v>
      </c>
      <c r="T824" t="s">
        <v>1875</v>
      </c>
    </row>
    <row r="825" spans="1:20" x14ac:dyDescent="0.25">
      <c r="A825" t="s">
        <v>2690</v>
      </c>
      <c r="B825" t="str">
        <f>"3506"</f>
        <v>3506</v>
      </c>
      <c r="C825" t="str">
        <f>"568473506"</f>
        <v>568473506</v>
      </c>
      <c r="D825" t="s">
        <v>2691</v>
      </c>
      <c r="E825" t="s">
        <v>2692</v>
      </c>
      <c r="F825" t="s">
        <v>556</v>
      </c>
      <c r="G825" s="1">
        <v>19361</v>
      </c>
      <c r="H825" s="1">
        <v>41505</v>
      </c>
      <c r="I825" t="str">
        <f>"51"</f>
        <v>51</v>
      </c>
      <c r="J825" t="s">
        <v>471</v>
      </c>
      <c r="K825" t="s">
        <v>25</v>
      </c>
      <c r="L825" t="s">
        <v>26</v>
      </c>
      <c r="M825" t="s">
        <v>27</v>
      </c>
      <c r="N825" s="1">
        <v>18629</v>
      </c>
      <c r="O825">
        <v>0</v>
      </c>
      <c r="P825">
        <v>0</v>
      </c>
      <c r="Q825" t="s">
        <v>28</v>
      </c>
      <c r="R825" t="s">
        <v>51</v>
      </c>
      <c r="S825" s="2" t="s">
        <v>2693</v>
      </c>
      <c r="T825" t="s">
        <v>2694</v>
      </c>
    </row>
    <row r="826" spans="1:20" x14ac:dyDescent="0.25">
      <c r="A826" t="s">
        <v>2695</v>
      </c>
      <c r="B826" t="str">
        <f>"2682"</f>
        <v>2682</v>
      </c>
      <c r="C826" t="str">
        <f>"268562682"</f>
        <v>268562682</v>
      </c>
      <c r="D826" t="s">
        <v>2696</v>
      </c>
      <c r="E826" t="s">
        <v>1342</v>
      </c>
      <c r="F826" t="s">
        <v>28</v>
      </c>
      <c r="G826" s="1">
        <v>21382</v>
      </c>
      <c r="H826" s="1">
        <v>41505</v>
      </c>
      <c r="I826" t="str">
        <f>"15"</f>
        <v>15</v>
      </c>
      <c r="J826" t="s">
        <v>36</v>
      </c>
      <c r="K826" t="s">
        <v>98</v>
      </c>
      <c r="L826" t="s">
        <v>37</v>
      </c>
      <c r="M826" t="s">
        <v>117</v>
      </c>
      <c r="N826" s="1">
        <v>41617</v>
      </c>
      <c r="O826">
        <v>4951.96</v>
      </c>
      <c r="P826">
        <v>1237.8599999999999</v>
      </c>
      <c r="Q826" t="s">
        <v>37</v>
      </c>
      <c r="R826" t="s">
        <v>258</v>
      </c>
      <c r="S826" t="s">
        <v>527</v>
      </c>
      <c r="T826" t="s">
        <v>528</v>
      </c>
    </row>
    <row r="827" spans="1:20" x14ac:dyDescent="0.25">
      <c r="A827" t="s">
        <v>2697</v>
      </c>
      <c r="B827" t="str">
        <f>"6805"</f>
        <v>6805</v>
      </c>
      <c r="C827" t="str">
        <f>"286506805"</f>
        <v>286506805</v>
      </c>
      <c r="D827" t="s">
        <v>2698</v>
      </c>
      <c r="E827" t="s">
        <v>1113</v>
      </c>
      <c r="F827" t="s">
        <v>219</v>
      </c>
      <c r="G827" s="1">
        <v>18716</v>
      </c>
      <c r="H827" s="1">
        <v>41505</v>
      </c>
      <c r="I827" t="str">
        <f>"03"</f>
        <v>03</v>
      </c>
      <c r="J827" t="s">
        <v>70</v>
      </c>
      <c r="K827" t="s">
        <v>98</v>
      </c>
      <c r="L827" t="s">
        <v>37</v>
      </c>
      <c r="M827" t="s">
        <v>117</v>
      </c>
      <c r="N827" s="1">
        <v>41617</v>
      </c>
      <c r="O827">
        <v>4951.96</v>
      </c>
      <c r="P827">
        <v>1237.8599999999999</v>
      </c>
      <c r="Q827" t="s">
        <v>37</v>
      </c>
      <c r="R827" t="s">
        <v>29</v>
      </c>
      <c r="S827" t="s">
        <v>2699</v>
      </c>
      <c r="T827" t="s">
        <v>2700</v>
      </c>
    </row>
    <row r="828" spans="1:20" x14ac:dyDescent="0.25">
      <c r="A828" t="s">
        <v>2701</v>
      </c>
      <c r="B828" t="str">
        <f>"5690"</f>
        <v>5690</v>
      </c>
      <c r="C828" t="str">
        <f>"223135690"</f>
        <v>223135690</v>
      </c>
      <c r="D828" t="s">
        <v>2702</v>
      </c>
      <c r="E828" t="s">
        <v>593</v>
      </c>
      <c r="F828" t="s">
        <v>2703</v>
      </c>
      <c r="G828" s="1">
        <v>27542</v>
      </c>
      <c r="H828" s="1">
        <v>41505</v>
      </c>
      <c r="I828" t="str">
        <f>"03"</f>
        <v>03</v>
      </c>
      <c r="J828" t="s">
        <v>70</v>
      </c>
      <c r="K828" t="s">
        <v>98</v>
      </c>
      <c r="L828" t="s">
        <v>37</v>
      </c>
      <c r="M828" t="s">
        <v>99</v>
      </c>
      <c r="N828" s="1">
        <v>41617</v>
      </c>
      <c r="O828">
        <v>14801.8</v>
      </c>
      <c r="P828">
        <v>3700.32</v>
      </c>
      <c r="Q828" t="s">
        <v>28</v>
      </c>
      <c r="R828" t="s">
        <v>312</v>
      </c>
      <c r="S828" t="s">
        <v>2043</v>
      </c>
      <c r="T828" t="s">
        <v>2044</v>
      </c>
    </row>
    <row r="829" spans="1:20" x14ac:dyDescent="0.25">
      <c r="A829" t="s">
        <v>2704</v>
      </c>
      <c r="B829" t="str">
        <f>"0683"</f>
        <v>0683</v>
      </c>
      <c r="C829" t="str">
        <f>"365170683"</f>
        <v>365170683</v>
      </c>
      <c r="D829" t="s">
        <v>2705</v>
      </c>
      <c r="E829" t="s">
        <v>2706</v>
      </c>
      <c r="F829" t="s">
        <v>345</v>
      </c>
      <c r="G829" s="1">
        <v>31406</v>
      </c>
      <c r="H829" s="1">
        <v>41505</v>
      </c>
      <c r="I829" t="str">
        <f>"15"</f>
        <v>15</v>
      </c>
      <c r="J829" t="s">
        <v>36</v>
      </c>
      <c r="K829" t="s">
        <v>98</v>
      </c>
      <c r="L829" t="s">
        <v>37</v>
      </c>
      <c r="M829" t="s">
        <v>117</v>
      </c>
      <c r="N829" s="1">
        <v>41617</v>
      </c>
      <c r="O829">
        <v>4951.96</v>
      </c>
      <c r="P829">
        <v>1237.8599999999999</v>
      </c>
      <c r="Q829" t="s">
        <v>37</v>
      </c>
      <c r="R829" t="s">
        <v>258</v>
      </c>
      <c r="S829" t="s">
        <v>527</v>
      </c>
      <c r="T829" t="s">
        <v>528</v>
      </c>
    </row>
    <row r="830" spans="1:20" x14ac:dyDescent="0.25">
      <c r="A830" t="s">
        <v>2707</v>
      </c>
      <c r="B830" t="str">
        <f>"6698"</f>
        <v>6698</v>
      </c>
      <c r="C830" t="str">
        <f>"298666698"</f>
        <v>298666698</v>
      </c>
      <c r="D830" t="s">
        <v>2708</v>
      </c>
      <c r="E830" t="s">
        <v>1589</v>
      </c>
      <c r="F830" t="s">
        <v>44</v>
      </c>
      <c r="G830" s="1">
        <v>22067</v>
      </c>
      <c r="H830" s="1">
        <v>41505</v>
      </c>
      <c r="I830" t="str">
        <f>"41"</f>
        <v>41</v>
      </c>
      <c r="J830" t="s">
        <v>24</v>
      </c>
      <c r="K830" t="s">
        <v>25</v>
      </c>
      <c r="L830" t="s">
        <v>26</v>
      </c>
      <c r="M830" t="s">
        <v>27</v>
      </c>
      <c r="N830" s="1">
        <v>18629</v>
      </c>
      <c r="O830">
        <v>0</v>
      </c>
      <c r="P830">
        <v>0</v>
      </c>
      <c r="Q830" t="s">
        <v>37</v>
      </c>
      <c r="R830" t="s">
        <v>71</v>
      </c>
      <c r="S830" t="s">
        <v>402</v>
      </c>
      <c r="T830" t="s">
        <v>403</v>
      </c>
    </row>
    <row r="831" spans="1:20" x14ac:dyDescent="0.25">
      <c r="A831" t="s">
        <v>2709</v>
      </c>
      <c r="B831" t="str">
        <f>"7227"</f>
        <v>7227</v>
      </c>
      <c r="C831" t="str">
        <f>"281767227"</f>
        <v>281767227</v>
      </c>
      <c r="D831" t="s">
        <v>2710</v>
      </c>
      <c r="E831" t="s">
        <v>2177</v>
      </c>
      <c r="F831" t="s">
        <v>219</v>
      </c>
      <c r="G831" s="1">
        <v>29059</v>
      </c>
      <c r="H831" s="1">
        <v>41503</v>
      </c>
      <c r="I831" t="str">
        <f>"51"</f>
        <v>51</v>
      </c>
      <c r="J831" t="s">
        <v>471</v>
      </c>
      <c r="K831" t="s">
        <v>25</v>
      </c>
      <c r="L831" t="s">
        <v>26</v>
      </c>
      <c r="M831" t="s">
        <v>27</v>
      </c>
      <c r="N831" s="1">
        <v>18629</v>
      </c>
      <c r="O831">
        <v>0</v>
      </c>
      <c r="P831">
        <v>0</v>
      </c>
      <c r="Q831" t="s">
        <v>37</v>
      </c>
      <c r="R831" t="s">
        <v>51</v>
      </c>
      <c r="S831" s="2" t="s">
        <v>1656</v>
      </c>
      <c r="T831" t="s">
        <v>1657</v>
      </c>
    </row>
    <row r="832" spans="1:20" x14ac:dyDescent="0.25">
      <c r="A832" t="s">
        <v>2711</v>
      </c>
      <c r="B832" t="str">
        <f>"1616"</f>
        <v>1616</v>
      </c>
      <c r="C832" t="str">
        <f>"301841616"</f>
        <v>301841616</v>
      </c>
      <c r="D832" t="s">
        <v>553</v>
      </c>
      <c r="E832" t="s">
        <v>448</v>
      </c>
      <c r="F832" t="s">
        <v>190</v>
      </c>
      <c r="G832" s="1">
        <v>29025</v>
      </c>
      <c r="H832" s="1">
        <v>41499</v>
      </c>
      <c r="I832" t="str">
        <f>"52"</f>
        <v>52</v>
      </c>
      <c r="J832" t="s">
        <v>330</v>
      </c>
      <c r="K832" t="s">
        <v>25</v>
      </c>
      <c r="L832" t="s">
        <v>26</v>
      </c>
      <c r="M832" t="s">
        <v>27</v>
      </c>
      <c r="N832" s="1">
        <v>18629</v>
      </c>
      <c r="O832">
        <v>0</v>
      </c>
      <c r="P832">
        <v>0</v>
      </c>
      <c r="Q832" t="s">
        <v>37</v>
      </c>
      <c r="R832" t="s">
        <v>258</v>
      </c>
      <c r="S832" t="s">
        <v>2038</v>
      </c>
      <c r="T832" t="s">
        <v>2039</v>
      </c>
    </row>
    <row r="833" spans="1:20" x14ac:dyDescent="0.25">
      <c r="A833" t="s">
        <v>2712</v>
      </c>
      <c r="B833" t="str">
        <f>"7149"</f>
        <v>7149</v>
      </c>
      <c r="C833" t="str">
        <f>"294427149"</f>
        <v>294427149</v>
      </c>
      <c r="D833" t="s">
        <v>1066</v>
      </c>
      <c r="E833" t="s">
        <v>1415</v>
      </c>
      <c r="F833" t="s">
        <v>97</v>
      </c>
      <c r="G833" s="1">
        <v>17251</v>
      </c>
      <c r="H833" s="1">
        <v>41499</v>
      </c>
      <c r="I833" t="str">
        <f>"41"</f>
        <v>41</v>
      </c>
      <c r="J833" t="s">
        <v>24</v>
      </c>
      <c r="K833" t="s">
        <v>25</v>
      </c>
      <c r="L833" t="s">
        <v>26</v>
      </c>
      <c r="M833" t="s">
        <v>27</v>
      </c>
      <c r="N833" s="1">
        <v>18629</v>
      </c>
      <c r="O833">
        <v>0</v>
      </c>
      <c r="P833">
        <v>0</v>
      </c>
      <c r="Q833" t="s">
        <v>37</v>
      </c>
      <c r="R833" t="s">
        <v>51</v>
      </c>
      <c r="S833" s="2" t="s">
        <v>362</v>
      </c>
      <c r="T833" t="s">
        <v>363</v>
      </c>
    </row>
    <row r="834" spans="1:20" x14ac:dyDescent="0.25">
      <c r="A834" t="s">
        <v>2713</v>
      </c>
      <c r="B834" t="str">
        <f>"8101"</f>
        <v>8101</v>
      </c>
      <c r="C834" t="str">
        <f>"272568101"</f>
        <v>272568101</v>
      </c>
      <c r="D834" t="s">
        <v>2714</v>
      </c>
      <c r="E834" t="s">
        <v>877</v>
      </c>
      <c r="F834" t="s">
        <v>49</v>
      </c>
      <c r="G834" s="1">
        <v>19615</v>
      </c>
      <c r="H834" s="1">
        <v>41498</v>
      </c>
      <c r="I834" t="str">
        <f t="shared" ref="I834:I857" si="16">"20"</f>
        <v>20</v>
      </c>
      <c r="J834" t="s">
        <v>123</v>
      </c>
      <c r="K834" t="s">
        <v>98</v>
      </c>
      <c r="L834" t="s">
        <v>37</v>
      </c>
      <c r="M834" t="s">
        <v>117</v>
      </c>
      <c r="N834" s="1">
        <v>41631</v>
      </c>
      <c r="O834">
        <v>4951.9799999999996</v>
      </c>
      <c r="P834">
        <v>1237.94</v>
      </c>
      <c r="Q834" t="s">
        <v>37</v>
      </c>
      <c r="R834" t="s">
        <v>100</v>
      </c>
      <c r="S834" t="s">
        <v>138</v>
      </c>
      <c r="T834" t="s">
        <v>139</v>
      </c>
    </row>
    <row r="835" spans="1:20" x14ac:dyDescent="0.25">
      <c r="A835" t="s">
        <v>2715</v>
      </c>
      <c r="B835" t="str">
        <f>"9367"</f>
        <v>9367</v>
      </c>
      <c r="C835" t="str">
        <f>"274489367"</f>
        <v>274489367</v>
      </c>
      <c r="D835" t="s">
        <v>2716</v>
      </c>
      <c r="E835" t="s">
        <v>2717</v>
      </c>
      <c r="F835" t="s">
        <v>37</v>
      </c>
      <c r="G835" s="1">
        <v>21684</v>
      </c>
      <c r="H835" s="1">
        <v>41498</v>
      </c>
      <c r="I835" t="str">
        <f t="shared" si="16"/>
        <v>20</v>
      </c>
      <c r="J835" t="s">
        <v>123</v>
      </c>
      <c r="K835" t="s">
        <v>98</v>
      </c>
      <c r="L835" t="s">
        <v>37</v>
      </c>
      <c r="M835" t="s">
        <v>99</v>
      </c>
      <c r="N835" s="1">
        <v>41631</v>
      </c>
      <c r="O835">
        <v>14801.82</v>
      </c>
      <c r="P835">
        <v>3700.4</v>
      </c>
      <c r="Q835" t="s">
        <v>37</v>
      </c>
      <c r="R835" t="s">
        <v>346</v>
      </c>
      <c r="S835" t="s">
        <v>1462</v>
      </c>
      <c r="T835" t="s">
        <v>1463</v>
      </c>
    </row>
    <row r="836" spans="1:20" x14ac:dyDescent="0.25">
      <c r="A836" t="s">
        <v>2718</v>
      </c>
      <c r="B836" t="str">
        <f>"1110"</f>
        <v>1110</v>
      </c>
      <c r="C836" t="str">
        <f>"282901110"</f>
        <v>282901110</v>
      </c>
      <c r="D836" t="s">
        <v>2719</v>
      </c>
      <c r="E836" t="s">
        <v>2720</v>
      </c>
      <c r="F836" t="s">
        <v>28</v>
      </c>
      <c r="G836" s="1">
        <v>23361</v>
      </c>
      <c r="H836" s="1">
        <v>41498</v>
      </c>
      <c r="I836" t="str">
        <f t="shared" si="16"/>
        <v>20</v>
      </c>
      <c r="J836" t="s">
        <v>123</v>
      </c>
      <c r="K836" t="s">
        <v>98</v>
      </c>
      <c r="L836" t="s">
        <v>37</v>
      </c>
      <c r="M836" t="s">
        <v>117</v>
      </c>
      <c r="N836" s="1">
        <v>41631</v>
      </c>
      <c r="O836">
        <v>4951.9799999999996</v>
      </c>
      <c r="P836">
        <v>1237.94</v>
      </c>
      <c r="Q836" t="s">
        <v>37</v>
      </c>
      <c r="R836" t="s">
        <v>346</v>
      </c>
      <c r="S836" t="s">
        <v>2721</v>
      </c>
      <c r="T836" t="s">
        <v>2722</v>
      </c>
    </row>
    <row r="837" spans="1:20" x14ac:dyDescent="0.25">
      <c r="A837" t="s">
        <v>2723</v>
      </c>
      <c r="B837" t="str">
        <f>"3600"</f>
        <v>3600</v>
      </c>
      <c r="C837" t="str">
        <f>"159663600"</f>
        <v>159663600</v>
      </c>
      <c r="D837" t="s">
        <v>2724</v>
      </c>
      <c r="E837" t="s">
        <v>2725</v>
      </c>
      <c r="F837" t="s">
        <v>44</v>
      </c>
      <c r="G837" s="1">
        <v>25749</v>
      </c>
      <c r="H837" s="1">
        <v>41493</v>
      </c>
      <c r="I837" t="str">
        <f t="shared" si="16"/>
        <v>20</v>
      </c>
      <c r="J837" t="s">
        <v>123</v>
      </c>
      <c r="L837" t="s">
        <v>37</v>
      </c>
      <c r="M837" t="s">
        <v>143</v>
      </c>
      <c r="N837" s="1">
        <v>41631</v>
      </c>
      <c r="O837">
        <v>185.9</v>
      </c>
      <c r="P837">
        <v>-185.9</v>
      </c>
      <c r="Q837" t="s">
        <v>37</v>
      </c>
      <c r="R837" t="s">
        <v>29</v>
      </c>
      <c r="S837" t="s">
        <v>251</v>
      </c>
      <c r="T837" t="s">
        <v>252</v>
      </c>
    </row>
    <row r="838" spans="1:20" x14ac:dyDescent="0.25">
      <c r="A838" t="s">
        <v>2726</v>
      </c>
      <c r="B838" t="str">
        <f>"3421"</f>
        <v>3421</v>
      </c>
      <c r="C838" t="str">
        <f>"270723421"</f>
        <v>270723421</v>
      </c>
      <c r="D838" t="s">
        <v>2727</v>
      </c>
      <c r="E838" t="s">
        <v>598</v>
      </c>
      <c r="F838" t="s">
        <v>264</v>
      </c>
      <c r="G838" s="1">
        <v>23799</v>
      </c>
      <c r="H838" s="1">
        <v>41493</v>
      </c>
      <c r="I838" t="str">
        <f t="shared" si="16"/>
        <v>20</v>
      </c>
      <c r="J838" t="s">
        <v>123</v>
      </c>
      <c r="L838" t="s">
        <v>37</v>
      </c>
      <c r="M838" t="s">
        <v>143</v>
      </c>
      <c r="N838" s="1">
        <v>41631</v>
      </c>
      <c r="O838">
        <v>185.9</v>
      </c>
      <c r="P838">
        <v>-185.9</v>
      </c>
      <c r="Q838" t="s">
        <v>37</v>
      </c>
      <c r="R838" t="s">
        <v>29</v>
      </c>
      <c r="S838" t="s">
        <v>138</v>
      </c>
      <c r="T838" t="s">
        <v>139</v>
      </c>
    </row>
    <row r="839" spans="1:20" x14ac:dyDescent="0.25">
      <c r="A839" t="s">
        <v>2728</v>
      </c>
      <c r="B839" t="str">
        <f>"3711"</f>
        <v>3711</v>
      </c>
      <c r="C839" t="str">
        <f>"293643711"</f>
        <v>293643711</v>
      </c>
      <c r="D839" t="s">
        <v>907</v>
      </c>
      <c r="E839" t="s">
        <v>1530</v>
      </c>
      <c r="F839" t="s">
        <v>264</v>
      </c>
      <c r="G839" s="1">
        <v>22648</v>
      </c>
      <c r="H839" s="1">
        <v>41493</v>
      </c>
      <c r="I839" t="str">
        <f t="shared" si="16"/>
        <v>20</v>
      </c>
      <c r="J839" t="s">
        <v>123</v>
      </c>
      <c r="K839" t="s">
        <v>98</v>
      </c>
      <c r="L839" t="s">
        <v>37</v>
      </c>
      <c r="M839" t="s">
        <v>99</v>
      </c>
      <c r="N839" s="1">
        <v>41631</v>
      </c>
      <c r="O839">
        <v>14801.82</v>
      </c>
      <c r="P839">
        <v>3700.4</v>
      </c>
      <c r="Q839" t="s">
        <v>37</v>
      </c>
      <c r="R839" t="s">
        <v>71</v>
      </c>
      <c r="S839" t="s">
        <v>871</v>
      </c>
      <c r="T839" t="s">
        <v>872</v>
      </c>
    </row>
    <row r="840" spans="1:20" x14ac:dyDescent="0.25">
      <c r="A840" t="s">
        <v>2729</v>
      </c>
      <c r="B840" t="str">
        <f>"8388"</f>
        <v>8388</v>
      </c>
      <c r="C840" t="str">
        <f>"300608388"</f>
        <v>300608388</v>
      </c>
      <c r="D840" t="s">
        <v>2730</v>
      </c>
      <c r="E840" t="s">
        <v>2731</v>
      </c>
      <c r="F840" t="s">
        <v>97</v>
      </c>
      <c r="G840" s="1">
        <v>27051</v>
      </c>
      <c r="H840" s="1">
        <v>41493</v>
      </c>
      <c r="I840" t="str">
        <f t="shared" si="16"/>
        <v>20</v>
      </c>
      <c r="J840" t="s">
        <v>123</v>
      </c>
      <c r="L840" t="s">
        <v>37</v>
      </c>
      <c r="M840" t="s">
        <v>143</v>
      </c>
      <c r="N840" s="1">
        <v>41631</v>
      </c>
      <c r="O840">
        <v>185.9</v>
      </c>
      <c r="P840">
        <v>-185.9</v>
      </c>
      <c r="Q840" t="s">
        <v>37</v>
      </c>
      <c r="R840" t="s">
        <v>29</v>
      </c>
      <c r="S840" t="s">
        <v>2732</v>
      </c>
      <c r="T840" t="s">
        <v>2733</v>
      </c>
    </row>
    <row r="841" spans="1:20" x14ac:dyDescent="0.25">
      <c r="A841" t="s">
        <v>2734</v>
      </c>
      <c r="B841" t="str">
        <f>"7876"</f>
        <v>7876</v>
      </c>
      <c r="C841" t="str">
        <f>"288827876"</f>
        <v>288827876</v>
      </c>
      <c r="D841" t="s">
        <v>2735</v>
      </c>
      <c r="E841" t="s">
        <v>1104</v>
      </c>
      <c r="F841" t="s">
        <v>44</v>
      </c>
      <c r="G841" s="1">
        <v>29318</v>
      </c>
      <c r="H841" s="1">
        <v>41493</v>
      </c>
      <c r="I841" t="str">
        <f t="shared" si="16"/>
        <v>20</v>
      </c>
      <c r="J841" t="s">
        <v>123</v>
      </c>
      <c r="K841" t="s">
        <v>98</v>
      </c>
      <c r="L841" t="s">
        <v>37</v>
      </c>
      <c r="M841" t="s">
        <v>117</v>
      </c>
      <c r="N841" s="1">
        <v>41631</v>
      </c>
      <c r="O841">
        <v>4951.9799999999996</v>
      </c>
      <c r="P841">
        <v>1237.94</v>
      </c>
      <c r="Q841" t="s">
        <v>28</v>
      </c>
      <c r="R841" t="s">
        <v>29</v>
      </c>
      <c r="S841" t="s">
        <v>2736</v>
      </c>
      <c r="T841" t="s">
        <v>2737</v>
      </c>
    </row>
    <row r="842" spans="1:20" x14ac:dyDescent="0.25">
      <c r="A842" t="s">
        <v>2738</v>
      </c>
      <c r="B842" t="str">
        <f>"2704"</f>
        <v>2704</v>
      </c>
      <c r="C842" t="str">
        <f>"044842704"</f>
        <v>044842704</v>
      </c>
      <c r="D842" t="s">
        <v>2739</v>
      </c>
      <c r="E842" t="s">
        <v>959</v>
      </c>
      <c r="F842" t="s">
        <v>93</v>
      </c>
      <c r="G842" s="1">
        <v>30464</v>
      </c>
      <c r="H842" s="1">
        <v>41493</v>
      </c>
      <c r="I842" t="str">
        <f t="shared" si="16"/>
        <v>20</v>
      </c>
      <c r="J842" t="s">
        <v>123</v>
      </c>
      <c r="K842" t="s">
        <v>175</v>
      </c>
      <c r="L842" t="s">
        <v>37</v>
      </c>
      <c r="M842" t="s">
        <v>117</v>
      </c>
      <c r="N842" s="1">
        <v>41631</v>
      </c>
      <c r="O842">
        <v>5288.8</v>
      </c>
      <c r="P842">
        <v>1322.2</v>
      </c>
      <c r="Q842" t="s">
        <v>28</v>
      </c>
      <c r="R842" t="s">
        <v>71</v>
      </c>
      <c r="S842" t="s">
        <v>373</v>
      </c>
      <c r="T842" t="s">
        <v>374</v>
      </c>
    </row>
    <row r="843" spans="1:20" x14ac:dyDescent="0.25">
      <c r="A843" t="s">
        <v>2740</v>
      </c>
      <c r="B843" t="str">
        <f>"0806"</f>
        <v>0806</v>
      </c>
      <c r="C843" t="str">
        <f>"206700806"</f>
        <v>206700806</v>
      </c>
      <c r="D843" t="s">
        <v>2741</v>
      </c>
      <c r="E843" t="s">
        <v>106</v>
      </c>
      <c r="G843" s="1">
        <v>30932</v>
      </c>
      <c r="H843" s="1">
        <v>41493</v>
      </c>
      <c r="I843" t="str">
        <f t="shared" si="16"/>
        <v>20</v>
      </c>
      <c r="J843" t="s">
        <v>123</v>
      </c>
      <c r="K843" t="s">
        <v>98</v>
      </c>
      <c r="L843" t="s">
        <v>37</v>
      </c>
      <c r="M843" t="s">
        <v>117</v>
      </c>
      <c r="N843" s="1">
        <v>41631</v>
      </c>
      <c r="O843">
        <v>4951.9799999999996</v>
      </c>
      <c r="P843">
        <v>1237.94</v>
      </c>
      <c r="Q843" t="s">
        <v>28</v>
      </c>
      <c r="R843" t="s">
        <v>71</v>
      </c>
      <c r="S843" t="s">
        <v>790</v>
      </c>
      <c r="T843" t="s">
        <v>791</v>
      </c>
    </row>
    <row r="844" spans="1:20" x14ac:dyDescent="0.25">
      <c r="A844" t="s">
        <v>2742</v>
      </c>
      <c r="B844" t="str">
        <f>"9159"</f>
        <v>9159</v>
      </c>
      <c r="C844" t="str">
        <f>"301869159"</f>
        <v>301869159</v>
      </c>
      <c r="D844" t="s">
        <v>2743</v>
      </c>
      <c r="E844" t="s">
        <v>2308</v>
      </c>
      <c r="F844" t="s">
        <v>69</v>
      </c>
      <c r="G844" s="1">
        <v>29914</v>
      </c>
      <c r="H844" s="1">
        <v>41493</v>
      </c>
      <c r="I844" t="str">
        <f t="shared" si="16"/>
        <v>20</v>
      </c>
      <c r="J844" t="s">
        <v>123</v>
      </c>
      <c r="K844" t="s">
        <v>98</v>
      </c>
      <c r="L844" t="s">
        <v>37</v>
      </c>
      <c r="M844" t="s">
        <v>117</v>
      </c>
      <c r="N844" s="1">
        <v>41631</v>
      </c>
      <c r="O844">
        <v>4951.9799999999996</v>
      </c>
      <c r="P844">
        <v>1237.94</v>
      </c>
      <c r="Q844" t="s">
        <v>37</v>
      </c>
      <c r="R844" t="s">
        <v>51</v>
      </c>
      <c r="S844" t="s">
        <v>138</v>
      </c>
      <c r="T844" t="s">
        <v>139</v>
      </c>
    </row>
    <row r="845" spans="1:20" x14ac:dyDescent="0.25">
      <c r="A845" t="s">
        <v>2744</v>
      </c>
      <c r="B845" t="str">
        <f>"4974"</f>
        <v>4974</v>
      </c>
      <c r="C845" t="str">
        <f>"276924974"</f>
        <v>276924974</v>
      </c>
      <c r="D845" t="s">
        <v>2745</v>
      </c>
      <c r="E845" t="s">
        <v>2746</v>
      </c>
      <c r="F845" t="s">
        <v>556</v>
      </c>
      <c r="G845" s="1">
        <v>20458</v>
      </c>
      <c r="H845" s="1">
        <v>41493</v>
      </c>
      <c r="I845" t="str">
        <f t="shared" si="16"/>
        <v>20</v>
      </c>
      <c r="J845" t="s">
        <v>123</v>
      </c>
      <c r="K845" t="s">
        <v>98</v>
      </c>
      <c r="L845" t="s">
        <v>37</v>
      </c>
      <c r="M845" t="s">
        <v>257</v>
      </c>
      <c r="N845" s="1">
        <v>41631</v>
      </c>
      <c r="O845">
        <v>10753.16</v>
      </c>
      <c r="P845">
        <v>2688.4</v>
      </c>
      <c r="Q845" t="s">
        <v>28</v>
      </c>
      <c r="R845" t="s">
        <v>100</v>
      </c>
      <c r="S845" t="s">
        <v>1392</v>
      </c>
      <c r="T845" t="s">
        <v>1393</v>
      </c>
    </row>
    <row r="846" spans="1:20" x14ac:dyDescent="0.25">
      <c r="A846" t="s">
        <v>2747</v>
      </c>
      <c r="B846" t="str">
        <f>"5166"</f>
        <v>5166</v>
      </c>
      <c r="C846" t="str">
        <f>"292685166"</f>
        <v>292685166</v>
      </c>
      <c r="D846" t="s">
        <v>2748</v>
      </c>
      <c r="E846" t="s">
        <v>2749</v>
      </c>
      <c r="F846" t="s">
        <v>44</v>
      </c>
      <c r="G846" s="1">
        <v>27335</v>
      </c>
      <c r="H846" s="1">
        <v>41493</v>
      </c>
      <c r="I846" t="str">
        <f t="shared" si="16"/>
        <v>20</v>
      </c>
      <c r="J846" t="s">
        <v>123</v>
      </c>
      <c r="K846" t="s">
        <v>175</v>
      </c>
      <c r="L846" t="s">
        <v>37</v>
      </c>
      <c r="M846" t="s">
        <v>117</v>
      </c>
      <c r="N846" s="1">
        <v>41631</v>
      </c>
      <c r="O846">
        <v>5288.8</v>
      </c>
      <c r="P846">
        <v>1322.2</v>
      </c>
      <c r="Q846" t="s">
        <v>37</v>
      </c>
      <c r="R846" t="s">
        <v>29</v>
      </c>
      <c r="S846" t="s">
        <v>1555</v>
      </c>
      <c r="T846" t="s">
        <v>1556</v>
      </c>
    </row>
    <row r="847" spans="1:20" x14ac:dyDescent="0.25">
      <c r="A847" t="s">
        <v>2750</v>
      </c>
      <c r="B847" t="str">
        <f>"7108"</f>
        <v>7108</v>
      </c>
      <c r="C847" t="str">
        <f>"023407108"</f>
        <v>023407108</v>
      </c>
      <c r="D847" t="s">
        <v>2751</v>
      </c>
      <c r="E847" t="s">
        <v>466</v>
      </c>
      <c r="F847" t="s">
        <v>97</v>
      </c>
      <c r="G847" s="1">
        <v>18564</v>
      </c>
      <c r="H847" s="1">
        <v>41493</v>
      </c>
      <c r="I847" t="str">
        <f t="shared" si="16"/>
        <v>20</v>
      </c>
      <c r="J847" t="s">
        <v>123</v>
      </c>
      <c r="L847" t="s">
        <v>37</v>
      </c>
      <c r="M847" t="s">
        <v>143</v>
      </c>
      <c r="N847" s="1">
        <v>41631</v>
      </c>
      <c r="O847">
        <v>185.9</v>
      </c>
      <c r="P847">
        <v>-185.9</v>
      </c>
      <c r="Q847" t="s">
        <v>28</v>
      </c>
      <c r="R847" t="s">
        <v>29</v>
      </c>
      <c r="S847" t="s">
        <v>717</v>
      </c>
      <c r="T847" t="s">
        <v>718</v>
      </c>
    </row>
    <row r="848" spans="1:20" x14ac:dyDescent="0.25">
      <c r="A848" t="s">
        <v>2752</v>
      </c>
      <c r="B848" t="str">
        <f>"9682"</f>
        <v>9682</v>
      </c>
      <c r="C848" t="str">
        <f>"292849682"</f>
        <v>292849682</v>
      </c>
      <c r="D848" t="s">
        <v>2753</v>
      </c>
      <c r="E848" t="s">
        <v>322</v>
      </c>
      <c r="F848" t="s">
        <v>219</v>
      </c>
      <c r="G848" s="1">
        <v>28196</v>
      </c>
      <c r="H848" s="1">
        <v>41493</v>
      </c>
      <c r="I848" t="str">
        <f t="shared" si="16"/>
        <v>20</v>
      </c>
      <c r="J848" t="s">
        <v>123</v>
      </c>
      <c r="L848" t="s">
        <v>37</v>
      </c>
      <c r="M848" t="s">
        <v>143</v>
      </c>
      <c r="N848" s="1">
        <v>41631</v>
      </c>
      <c r="O848">
        <v>185.9</v>
      </c>
      <c r="P848">
        <v>-185.9</v>
      </c>
      <c r="Q848" t="s">
        <v>37</v>
      </c>
      <c r="R848" t="s">
        <v>71</v>
      </c>
      <c r="S848" t="s">
        <v>1474</v>
      </c>
      <c r="T848" t="s">
        <v>1475</v>
      </c>
    </row>
    <row r="849" spans="1:20" x14ac:dyDescent="0.25">
      <c r="A849" t="s">
        <v>2754</v>
      </c>
      <c r="B849" t="str">
        <f>"4472"</f>
        <v>4472</v>
      </c>
      <c r="C849" t="str">
        <f>"276924472"</f>
        <v>276924472</v>
      </c>
      <c r="D849" t="s">
        <v>2755</v>
      </c>
      <c r="E849" t="s">
        <v>35</v>
      </c>
      <c r="F849" t="s">
        <v>106</v>
      </c>
      <c r="G849" s="1">
        <v>31874</v>
      </c>
      <c r="H849" s="1">
        <v>41493</v>
      </c>
      <c r="I849" t="str">
        <f t="shared" si="16"/>
        <v>20</v>
      </c>
      <c r="J849" t="s">
        <v>123</v>
      </c>
      <c r="K849" t="s">
        <v>98</v>
      </c>
      <c r="L849" t="s">
        <v>37</v>
      </c>
      <c r="M849" t="s">
        <v>99</v>
      </c>
      <c r="N849" s="1">
        <v>41631</v>
      </c>
      <c r="O849">
        <v>14801.82</v>
      </c>
      <c r="P849">
        <v>3700.4</v>
      </c>
      <c r="Q849" t="s">
        <v>28</v>
      </c>
      <c r="R849" t="s">
        <v>71</v>
      </c>
      <c r="S849" t="s">
        <v>157</v>
      </c>
      <c r="T849" t="s">
        <v>158</v>
      </c>
    </row>
    <row r="850" spans="1:20" x14ac:dyDescent="0.25">
      <c r="A850" t="s">
        <v>2756</v>
      </c>
      <c r="B850" t="str">
        <f>"9679"</f>
        <v>9679</v>
      </c>
      <c r="C850" t="str">
        <f>"301709679"</f>
        <v>301709679</v>
      </c>
      <c r="D850" t="s">
        <v>2757</v>
      </c>
      <c r="E850" t="s">
        <v>2758</v>
      </c>
      <c r="F850" t="s">
        <v>28</v>
      </c>
      <c r="G850" s="1">
        <v>26817</v>
      </c>
      <c r="H850" s="1">
        <v>41493</v>
      </c>
      <c r="I850" t="str">
        <f t="shared" si="16"/>
        <v>20</v>
      </c>
      <c r="J850" t="s">
        <v>123</v>
      </c>
      <c r="K850" t="s">
        <v>510</v>
      </c>
      <c r="L850" t="s">
        <v>37</v>
      </c>
      <c r="M850" t="s">
        <v>99</v>
      </c>
      <c r="N850" s="1">
        <v>41631</v>
      </c>
      <c r="O850">
        <v>19521.919999999998</v>
      </c>
      <c r="P850">
        <v>4880.4799999999996</v>
      </c>
      <c r="Q850" t="s">
        <v>37</v>
      </c>
      <c r="R850" t="s">
        <v>51</v>
      </c>
      <c r="S850" s="2" t="s">
        <v>2759</v>
      </c>
      <c r="T850" t="s">
        <v>2760</v>
      </c>
    </row>
    <row r="851" spans="1:20" x14ac:dyDescent="0.25">
      <c r="A851" t="s">
        <v>2761</v>
      </c>
      <c r="B851" t="str">
        <f>"5160"</f>
        <v>5160</v>
      </c>
      <c r="C851" t="str">
        <f>"299805160"</f>
        <v>299805160</v>
      </c>
      <c r="D851" t="s">
        <v>2762</v>
      </c>
      <c r="E851" t="s">
        <v>137</v>
      </c>
      <c r="F851" t="s">
        <v>165</v>
      </c>
      <c r="G851" s="1">
        <v>29416</v>
      </c>
      <c r="H851" s="1">
        <v>41493</v>
      </c>
      <c r="I851" t="str">
        <f t="shared" si="16"/>
        <v>20</v>
      </c>
      <c r="J851" t="s">
        <v>123</v>
      </c>
      <c r="K851" t="s">
        <v>98</v>
      </c>
      <c r="L851" t="s">
        <v>37</v>
      </c>
      <c r="M851" t="s">
        <v>257</v>
      </c>
      <c r="N851" s="1">
        <v>41673</v>
      </c>
      <c r="O851">
        <v>10753.16</v>
      </c>
      <c r="P851">
        <v>2688.4</v>
      </c>
      <c r="Q851" t="s">
        <v>37</v>
      </c>
      <c r="R851" t="s">
        <v>29</v>
      </c>
      <c r="S851" t="s">
        <v>1671</v>
      </c>
      <c r="T851" t="s">
        <v>1672</v>
      </c>
    </row>
    <row r="852" spans="1:20" x14ac:dyDescent="0.25">
      <c r="A852" t="s">
        <v>2763</v>
      </c>
      <c r="B852" t="str">
        <f>"3698"</f>
        <v>3698</v>
      </c>
      <c r="C852" t="str">
        <f>"288133698"</f>
        <v>288133698</v>
      </c>
      <c r="D852" t="s">
        <v>2764</v>
      </c>
      <c r="E852" t="s">
        <v>2765</v>
      </c>
      <c r="G852" s="1">
        <v>29175</v>
      </c>
      <c r="H852" s="1">
        <v>41493</v>
      </c>
      <c r="I852" t="str">
        <f t="shared" si="16"/>
        <v>20</v>
      </c>
      <c r="J852" t="s">
        <v>123</v>
      </c>
      <c r="L852" t="s">
        <v>37</v>
      </c>
      <c r="M852" t="s">
        <v>143</v>
      </c>
      <c r="N852" s="1">
        <v>41631</v>
      </c>
      <c r="O852">
        <v>185.9</v>
      </c>
      <c r="P852">
        <v>-185.9</v>
      </c>
      <c r="Q852" t="s">
        <v>37</v>
      </c>
      <c r="R852" t="s">
        <v>51</v>
      </c>
      <c r="S852" s="2" t="s">
        <v>2766</v>
      </c>
      <c r="T852" t="s">
        <v>2767</v>
      </c>
    </row>
    <row r="853" spans="1:20" x14ac:dyDescent="0.25">
      <c r="A853" t="s">
        <v>2768</v>
      </c>
      <c r="B853" t="str">
        <f>"2540"</f>
        <v>2540</v>
      </c>
      <c r="C853" t="str">
        <f>"051722540"</f>
        <v>051722540</v>
      </c>
      <c r="D853" t="s">
        <v>2769</v>
      </c>
      <c r="E853" t="s">
        <v>1955</v>
      </c>
      <c r="G853" s="1">
        <v>26075</v>
      </c>
      <c r="H853" s="1">
        <v>41493</v>
      </c>
      <c r="I853" t="str">
        <f t="shared" si="16"/>
        <v>20</v>
      </c>
      <c r="J853" t="s">
        <v>123</v>
      </c>
      <c r="K853" t="s">
        <v>98</v>
      </c>
      <c r="L853" t="s">
        <v>37</v>
      </c>
      <c r="M853" t="s">
        <v>117</v>
      </c>
      <c r="N853" s="1">
        <v>41631</v>
      </c>
      <c r="O853">
        <v>4951.9799999999996</v>
      </c>
      <c r="P853">
        <v>1237.94</v>
      </c>
      <c r="Q853" t="s">
        <v>37</v>
      </c>
      <c r="R853" t="s">
        <v>71</v>
      </c>
      <c r="S853" t="s">
        <v>180</v>
      </c>
      <c r="T853" t="s">
        <v>181</v>
      </c>
    </row>
    <row r="854" spans="1:20" x14ac:dyDescent="0.25">
      <c r="A854" t="s">
        <v>2770</v>
      </c>
      <c r="B854" t="str">
        <f>"1291"</f>
        <v>1291</v>
      </c>
      <c r="C854" t="str">
        <f>"294601291"</f>
        <v>294601291</v>
      </c>
      <c r="D854" t="s">
        <v>2771</v>
      </c>
      <c r="E854" t="s">
        <v>1094</v>
      </c>
      <c r="F854" t="s">
        <v>26</v>
      </c>
      <c r="G854" s="1">
        <v>27620</v>
      </c>
      <c r="H854" s="1">
        <v>41493</v>
      </c>
      <c r="I854" t="str">
        <f t="shared" si="16"/>
        <v>20</v>
      </c>
      <c r="J854" t="s">
        <v>123</v>
      </c>
      <c r="K854" t="s">
        <v>98</v>
      </c>
      <c r="L854" t="s">
        <v>37</v>
      </c>
      <c r="M854" t="s">
        <v>117</v>
      </c>
      <c r="N854" s="1">
        <v>41631</v>
      </c>
      <c r="O854">
        <v>4951.9799999999996</v>
      </c>
      <c r="P854">
        <v>1237.94</v>
      </c>
      <c r="Q854" t="s">
        <v>37</v>
      </c>
      <c r="R854" t="s">
        <v>71</v>
      </c>
      <c r="S854" t="s">
        <v>857</v>
      </c>
      <c r="T854" t="s">
        <v>858</v>
      </c>
    </row>
    <row r="855" spans="1:20" x14ac:dyDescent="0.25">
      <c r="A855" t="s">
        <v>2772</v>
      </c>
      <c r="B855" t="str">
        <f>"3874"</f>
        <v>3874</v>
      </c>
      <c r="C855" t="str">
        <f>"297083874"</f>
        <v>297083874</v>
      </c>
      <c r="D855" t="s">
        <v>2773</v>
      </c>
      <c r="E855" t="s">
        <v>2717</v>
      </c>
      <c r="F855" t="s">
        <v>329</v>
      </c>
      <c r="G855" s="1">
        <v>28987</v>
      </c>
      <c r="H855" s="1">
        <v>41493</v>
      </c>
      <c r="I855" t="str">
        <f t="shared" si="16"/>
        <v>20</v>
      </c>
      <c r="J855" t="s">
        <v>123</v>
      </c>
      <c r="K855" t="s">
        <v>98</v>
      </c>
      <c r="L855" t="s">
        <v>37</v>
      </c>
      <c r="M855" t="s">
        <v>99</v>
      </c>
      <c r="N855" s="1">
        <v>41631</v>
      </c>
      <c r="O855">
        <v>14801.82</v>
      </c>
      <c r="P855">
        <v>3700.4</v>
      </c>
      <c r="Q855" t="s">
        <v>37</v>
      </c>
      <c r="R855" t="s">
        <v>71</v>
      </c>
      <c r="S855" t="s">
        <v>790</v>
      </c>
      <c r="T855" t="s">
        <v>791</v>
      </c>
    </row>
    <row r="856" spans="1:20" x14ac:dyDescent="0.25">
      <c r="A856" t="s">
        <v>2774</v>
      </c>
      <c r="B856" t="str">
        <f>"0064"</f>
        <v>0064</v>
      </c>
      <c r="C856" t="str">
        <f>"295460064"</f>
        <v>295460064</v>
      </c>
      <c r="D856" t="s">
        <v>2705</v>
      </c>
      <c r="E856" t="s">
        <v>1081</v>
      </c>
      <c r="F856" t="s">
        <v>93</v>
      </c>
      <c r="G856" s="1">
        <v>23547</v>
      </c>
      <c r="H856" s="1">
        <v>41493</v>
      </c>
      <c r="I856" t="str">
        <f t="shared" si="16"/>
        <v>20</v>
      </c>
      <c r="J856" t="s">
        <v>123</v>
      </c>
      <c r="K856" t="s">
        <v>98</v>
      </c>
      <c r="L856" t="s">
        <v>37</v>
      </c>
      <c r="M856" t="s">
        <v>99</v>
      </c>
      <c r="N856" s="1">
        <v>41631</v>
      </c>
      <c r="O856">
        <v>14801.82</v>
      </c>
      <c r="P856">
        <v>3700.4</v>
      </c>
      <c r="Q856" t="s">
        <v>28</v>
      </c>
      <c r="R856" t="s">
        <v>71</v>
      </c>
      <c r="S856" t="s">
        <v>180</v>
      </c>
      <c r="T856" t="s">
        <v>181</v>
      </c>
    </row>
    <row r="857" spans="1:20" x14ac:dyDescent="0.25">
      <c r="A857" t="s">
        <v>2775</v>
      </c>
      <c r="B857" t="str">
        <f>"3511"</f>
        <v>3511</v>
      </c>
      <c r="C857" t="str">
        <f>"293783511"</f>
        <v>293783511</v>
      </c>
      <c r="D857" t="s">
        <v>2064</v>
      </c>
      <c r="E857" t="s">
        <v>2776</v>
      </c>
      <c r="F857" t="s">
        <v>264</v>
      </c>
      <c r="G857" s="1">
        <v>29363</v>
      </c>
      <c r="H857" s="1">
        <v>41493</v>
      </c>
      <c r="I857" t="str">
        <f t="shared" si="16"/>
        <v>20</v>
      </c>
      <c r="J857" t="s">
        <v>123</v>
      </c>
      <c r="K857" t="s">
        <v>510</v>
      </c>
      <c r="L857" t="s">
        <v>37</v>
      </c>
      <c r="M857" t="s">
        <v>257</v>
      </c>
      <c r="N857" s="1">
        <v>41631</v>
      </c>
      <c r="O857">
        <v>14110.8</v>
      </c>
      <c r="P857">
        <v>3527.7</v>
      </c>
      <c r="Q857" t="s">
        <v>37</v>
      </c>
      <c r="R857" t="s">
        <v>29</v>
      </c>
      <c r="S857" t="s">
        <v>138</v>
      </c>
      <c r="T857" t="s">
        <v>139</v>
      </c>
    </row>
    <row r="858" spans="1:20" x14ac:dyDescent="0.25">
      <c r="A858" t="s">
        <v>2777</v>
      </c>
      <c r="B858" t="str">
        <f>"1516"</f>
        <v>1516</v>
      </c>
      <c r="C858" t="str">
        <f>"100601516"</f>
        <v>100601516</v>
      </c>
      <c r="D858" t="s">
        <v>2778</v>
      </c>
      <c r="E858" t="s">
        <v>430</v>
      </c>
      <c r="F858" t="s">
        <v>239</v>
      </c>
      <c r="G858" s="1">
        <v>28340</v>
      </c>
      <c r="H858" s="1">
        <v>41491</v>
      </c>
      <c r="I858" t="str">
        <f>"51"</f>
        <v>51</v>
      </c>
      <c r="J858" t="s">
        <v>471</v>
      </c>
      <c r="K858" t="s">
        <v>25</v>
      </c>
      <c r="L858" t="s">
        <v>26</v>
      </c>
      <c r="M858" t="s">
        <v>27</v>
      </c>
      <c r="N858" s="1">
        <v>18629</v>
      </c>
      <c r="O858">
        <v>0</v>
      </c>
      <c r="P858">
        <v>0</v>
      </c>
      <c r="Q858" t="s">
        <v>28</v>
      </c>
      <c r="R858" t="s">
        <v>29</v>
      </c>
      <c r="S858" t="s">
        <v>960</v>
      </c>
      <c r="T858" t="s">
        <v>314</v>
      </c>
    </row>
    <row r="859" spans="1:20" x14ac:dyDescent="0.25">
      <c r="A859" t="s">
        <v>2779</v>
      </c>
      <c r="B859" t="str">
        <f>"8607"</f>
        <v>8607</v>
      </c>
      <c r="C859" t="str">
        <f>"273428607"</f>
        <v>273428607</v>
      </c>
      <c r="D859" t="s">
        <v>2780</v>
      </c>
      <c r="E859" t="s">
        <v>704</v>
      </c>
      <c r="F859" t="s">
        <v>642</v>
      </c>
      <c r="G859" s="1">
        <v>16776</v>
      </c>
      <c r="H859" s="1">
        <v>41491</v>
      </c>
      <c r="I859" t="str">
        <f>"12"</f>
        <v>12</v>
      </c>
      <c r="J859" t="s">
        <v>245</v>
      </c>
      <c r="K859" t="s">
        <v>98</v>
      </c>
      <c r="L859" t="s">
        <v>37</v>
      </c>
      <c r="M859" t="s">
        <v>257</v>
      </c>
      <c r="N859" s="1">
        <v>41617</v>
      </c>
      <c r="O859">
        <v>10753.08</v>
      </c>
      <c r="P859">
        <v>2688.4</v>
      </c>
      <c r="Q859" t="s">
        <v>28</v>
      </c>
      <c r="R859" t="s">
        <v>29</v>
      </c>
      <c r="S859" t="s">
        <v>2781</v>
      </c>
      <c r="T859" t="s">
        <v>2782</v>
      </c>
    </row>
    <row r="860" spans="1:20" x14ac:dyDescent="0.25">
      <c r="A860" t="s">
        <v>2783</v>
      </c>
      <c r="B860" t="str">
        <f>"8881"</f>
        <v>8881</v>
      </c>
      <c r="C860" t="str">
        <f>"281708881"</f>
        <v>281708881</v>
      </c>
      <c r="D860" t="s">
        <v>2784</v>
      </c>
      <c r="E860" t="s">
        <v>544</v>
      </c>
      <c r="F860" t="s">
        <v>93</v>
      </c>
      <c r="G860" s="1">
        <v>22293</v>
      </c>
      <c r="H860" s="1">
        <v>41491</v>
      </c>
      <c r="I860" t="str">
        <f>"03"</f>
        <v>03</v>
      </c>
      <c r="J860" t="s">
        <v>70</v>
      </c>
      <c r="K860" t="s">
        <v>98</v>
      </c>
      <c r="L860" t="s">
        <v>37</v>
      </c>
      <c r="M860" t="s">
        <v>117</v>
      </c>
      <c r="N860" s="1">
        <v>41617</v>
      </c>
      <c r="O860">
        <v>4951.96</v>
      </c>
      <c r="P860">
        <v>1237.8599999999999</v>
      </c>
      <c r="Q860" t="s">
        <v>37</v>
      </c>
      <c r="R860" t="s">
        <v>38</v>
      </c>
      <c r="S860" t="s">
        <v>353</v>
      </c>
      <c r="T860" t="s">
        <v>354</v>
      </c>
    </row>
    <row r="861" spans="1:20" x14ac:dyDescent="0.25">
      <c r="A861" t="s">
        <v>2785</v>
      </c>
      <c r="B861" t="str">
        <f>"1675"</f>
        <v>1675</v>
      </c>
      <c r="C861" t="str">
        <f>"299481675"</f>
        <v>299481675</v>
      </c>
      <c r="D861" t="s">
        <v>303</v>
      </c>
      <c r="E861" t="s">
        <v>2786</v>
      </c>
      <c r="F861" t="s">
        <v>44</v>
      </c>
      <c r="G861" s="1">
        <v>18122</v>
      </c>
      <c r="H861" s="1">
        <v>41491</v>
      </c>
      <c r="I861" t="str">
        <f>"33"</f>
        <v>33</v>
      </c>
      <c r="J861" t="s">
        <v>45</v>
      </c>
      <c r="K861" t="s">
        <v>25</v>
      </c>
      <c r="L861" t="s">
        <v>26</v>
      </c>
      <c r="M861" t="s">
        <v>27</v>
      </c>
      <c r="N861" s="1">
        <v>18629</v>
      </c>
      <c r="O861">
        <v>0</v>
      </c>
      <c r="P861">
        <v>0</v>
      </c>
      <c r="Q861" t="s">
        <v>37</v>
      </c>
      <c r="R861" t="s">
        <v>71</v>
      </c>
      <c r="S861" t="s">
        <v>955</v>
      </c>
      <c r="T861" t="s">
        <v>956</v>
      </c>
    </row>
    <row r="862" spans="1:20" x14ac:dyDescent="0.25">
      <c r="A862" t="s">
        <v>2787</v>
      </c>
      <c r="B862" t="str">
        <f>"8209"</f>
        <v>8209</v>
      </c>
      <c r="C862" t="str">
        <f>"287728209"</f>
        <v>287728209</v>
      </c>
      <c r="D862" t="s">
        <v>2788</v>
      </c>
      <c r="E862" t="s">
        <v>1157</v>
      </c>
      <c r="F862" t="s">
        <v>2789</v>
      </c>
      <c r="G862" s="1">
        <v>25182</v>
      </c>
      <c r="H862" s="1">
        <v>41488</v>
      </c>
      <c r="I862" t="str">
        <f>"01"</f>
        <v>01</v>
      </c>
      <c r="J862" t="s">
        <v>116</v>
      </c>
      <c r="K862" t="s">
        <v>98</v>
      </c>
      <c r="L862" t="s">
        <v>37</v>
      </c>
      <c r="M862" t="s">
        <v>117</v>
      </c>
      <c r="N862" s="1">
        <v>41617</v>
      </c>
      <c r="O862">
        <v>4951.96</v>
      </c>
      <c r="P862">
        <v>1237.8599999999999</v>
      </c>
      <c r="Q862" t="s">
        <v>37</v>
      </c>
      <c r="R862" t="s">
        <v>71</v>
      </c>
      <c r="S862" t="s">
        <v>2790</v>
      </c>
      <c r="T862" t="s">
        <v>2791</v>
      </c>
    </row>
    <row r="863" spans="1:20" x14ac:dyDescent="0.25">
      <c r="A863" t="s">
        <v>2792</v>
      </c>
      <c r="B863" t="str">
        <f>"7246"</f>
        <v>7246</v>
      </c>
      <c r="C863" t="str">
        <f>"301607246"</f>
        <v>301607246</v>
      </c>
      <c r="D863" t="s">
        <v>2793</v>
      </c>
      <c r="E863" t="s">
        <v>2794</v>
      </c>
      <c r="F863" t="s">
        <v>97</v>
      </c>
      <c r="G863" s="1">
        <v>28227</v>
      </c>
      <c r="H863" s="1">
        <v>41487</v>
      </c>
      <c r="I863" t="str">
        <f>"41"</f>
        <v>41</v>
      </c>
      <c r="J863" t="s">
        <v>24</v>
      </c>
      <c r="K863" t="s">
        <v>25</v>
      </c>
      <c r="L863" t="s">
        <v>26</v>
      </c>
      <c r="M863" t="s">
        <v>27</v>
      </c>
      <c r="N863" s="1">
        <v>18629</v>
      </c>
      <c r="O863">
        <v>0</v>
      </c>
      <c r="P863">
        <v>0</v>
      </c>
      <c r="Q863" t="s">
        <v>28</v>
      </c>
      <c r="R863" t="s">
        <v>71</v>
      </c>
      <c r="S863" t="s">
        <v>402</v>
      </c>
      <c r="T863" t="s">
        <v>403</v>
      </c>
    </row>
    <row r="864" spans="1:20" x14ac:dyDescent="0.25">
      <c r="A864" t="s">
        <v>2795</v>
      </c>
      <c r="B864" t="str">
        <f>"3741"</f>
        <v>3741</v>
      </c>
      <c r="C864" t="str">
        <f>"299623741"</f>
        <v>299623741</v>
      </c>
      <c r="D864" t="s">
        <v>2796</v>
      </c>
      <c r="E864" t="s">
        <v>1104</v>
      </c>
      <c r="F864" t="s">
        <v>190</v>
      </c>
      <c r="G864" s="1">
        <v>23509</v>
      </c>
      <c r="H864" s="1">
        <v>41487</v>
      </c>
      <c r="I864" t="str">
        <f>"53"</f>
        <v>53</v>
      </c>
      <c r="J864" t="s">
        <v>917</v>
      </c>
      <c r="K864" t="s">
        <v>25</v>
      </c>
      <c r="L864" t="s">
        <v>26</v>
      </c>
      <c r="M864" t="s">
        <v>27</v>
      </c>
      <c r="N864" s="1">
        <v>18629</v>
      </c>
      <c r="O864">
        <v>0</v>
      </c>
      <c r="P864">
        <v>0</v>
      </c>
      <c r="Q864" t="s">
        <v>28</v>
      </c>
      <c r="R864" t="s">
        <v>312</v>
      </c>
      <c r="S864" t="s">
        <v>1937</v>
      </c>
      <c r="T864" t="s">
        <v>951</v>
      </c>
    </row>
    <row r="865" spans="1:20" x14ac:dyDescent="0.25">
      <c r="A865" t="s">
        <v>2797</v>
      </c>
      <c r="B865" t="str">
        <f>"5684"</f>
        <v>5684</v>
      </c>
      <c r="C865" t="str">
        <f>"296765684"</f>
        <v>296765684</v>
      </c>
      <c r="D865" t="s">
        <v>2798</v>
      </c>
      <c r="E865" t="s">
        <v>263</v>
      </c>
      <c r="F865" t="s">
        <v>93</v>
      </c>
      <c r="G865" s="1">
        <v>28402</v>
      </c>
      <c r="H865" s="1">
        <v>41487</v>
      </c>
      <c r="I865" t="str">
        <f>"41"</f>
        <v>41</v>
      </c>
      <c r="J865" t="s">
        <v>24</v>
      </c>
      <c r="K865" t="s">
        <v>25</v>
      </c>
      <c r="L865" t="s">
        <v>26</v>
      </c>
      <c r="M865" t="s">
        <v>27</v>
      </c>
      <c r="N865" s="1">
        <v>18629</v>
      </c>
      <c r="O865">
        <v>0</v>
      </c>
      <c r="P865">
        <v>0</v>
      </c>
      <c r="Q865" t="s">
        <v>28</v>
      </c>
      <c r="R865" t="s">
        <v>71</v>
      </c>
      <c r="S865" t="s">
        <v>402</v>
      </c>
      <c r="T865" t="s">
        <v>403</v>
      </c>
    </row>
    <row r="866" spans="1:20" x14ac:dyDescent="0.25">
      <c r="A866" t="s">
        <v>2799</v>
      </c>
      <c r="B866" t="str">
        <f>"6666"</f>
        <v>6666</v>
      </c>
      <c r="C866" t="str">
        <f>"286806666"</f>
        <v>286806666</v>
      </c>
      <c r="D866" t="s">
        <v>2800</v>
      </c>
      <c r="E866" t="s">
        <v>2126</v>
      </c>
      <c r="G866" s="1">
        <v>24718</v>
      </c>
      <c r="H866" s="1">
        <v>41484</v>
      </c>
      <c r="I866" t="str">
        <f>"30"</f>
        <v>30</v>
      </c>
      <c r="J866" t="s">
        <v>50</v>
      </c>
      <c r="K866" t="s">
        <v>25</v>
      </c>
      <c r="L866" t="s">
        <v>26</v>
      </c>
      <c r="M866" t="s">
        <v>27</v>
      </c>
      <c r="N866" s="1">
        <v>18629</v>
      </c>
      <c r="O866">
        <v>0</v>
      </c>
      <c r="P866">
        <v>0</v>
      </c>
      <c r="Q866" t="s">
        <v>37</v>
      </c>
      <c r="R866" t="s">
        <v>51</v>
      </c>
      <c r="S866" s="2" t="s">
        <v>52</v>
      </c>
      <c r="T866" t="s">
        <v>53</v>
      </c>
    </row>
    <row r="867" spans="1:20" x14ac:dyDescent="0.25">
      <c r="A867" t="s">
        <v>2801</v>
      </c>
      <c r="B867" t="str">
        <f>"5575"</f>
        <v>5575</v>
      </c>
      <c r="C867" t="str">
        <f>"279485575"</f>
        <v>279485575</v>
      </c>
      <c r="D867" t="s">
        <v>1798</v>
      </c>
      <c r="E867" t="s">
        <v>2802</v>
      </c>
      <c r="F867" t="s">
        <v>219</v>
      </c>
      <c r="G867" s="1">
        <v>18124</v>
      </c>
      <c r="H867" s="1">
        <v>41484</v>
      </c>
      <c r="I867" t="str">
        <f>"52"</f>
        <v>52</v>
      </c>
      <c r="J867" t="s">
        <v>330</v>
      </c>
      <c r="K867" t="s">
        <v>25</v>
      </c>
      <c r="L867" t="s">
        <v>26</v>
      </c>
      <c r="M867" t="s">
        <v>27</v>
      </c>
      <c r="N867" s="1">
        <v>18629</v>
      </c>
      <c r="O867">
        <v>0</v>
      </c>
      <c r="P867">
        <v>0</v>
      </c>
      <c r="Q867" t="s">
        <v>37</v>
      </c>
      <c r="R867" t="s">
        <v>29</v>
      </c>
      <c r="S867" s="2" t="s">
        <v>1148</v>
      </c>
      <c r="T867" t="s">
        <v>1149</v>
      </c>
    </row>
    <row r="868" spans="1:20" x14ac:dyDescent="0.25">
      <c r="A868" t="s">
        <v>2803</v>
      </c>
      <c r="B868" t="str">
        <f>"3975"</f>
        <v>3975</v>
      </c>
      <c r="C868" t="str">
        <f>"286623975"</f>
        <v>286623975</v>
      </c>
      <c r="D868" t="s">
        <v>2804</v>
      </c>
      <c r="E868" t="s">
        <v>1248</v>
      </c>
      <c r="G868" s="1">
        <v>23574</v>
      </c>
      <c r="H868" s="1">
        <v>41484</v>
      </c>
      <c r="I868" t="str">
        <f>"41"</f>
        <v>41</v>
      </c>
      <c r="J868" t="s">
        <v>24</v>
      </c>
      <c r="K868" t="s">
        <v>25</v>
      </c>
      <c r="L868" t="s">
        <v>26</v>
      </c>
      <c r="M868" t="s">
        <v>27</v>
      </c>
      <c r="N868" s="1">
        <v>18629</v>
      </c>
      <c r="O868">
        <v>0</v>
      </c>
      <c r="P868">
        <v>0</v>
      </c>
      <c r="Q868" t="s">
        <v>37</v>
      </c>
      <c r="R868" t="s">
        <v>100</v>
      </c>
      <c r="S868" t="s">
        <v>382</v>
      </c>
      <c r="T868" t="s">
        <v>383</v>
      </c>
    </row>
    <row r="869" spans="1:20" x14ac:dyDescent="0.25">
      <c r="A869" t="s">
        <v>2805</v>
      </c>
      <c r="B869" t="str">
        <f>"3018"</f>
        <v>3018</v>
      </c>
      <c r="C869" t="str">
        <f>"352723018"</f>
        <v>352723018</v>
      </c>
      <c r="D869" t="s">
        <v>2806</v>
      </c>
      <c r="E869" t="s">
        <v>2807</v>
      </c>
      <c r="G869" s="1">
        <v>23744</v>
      </c>
      <c r="H869" s="1">
        <v>41484</v>
      </c>
      <c r="I869" t="str">
        <f>"51"</f>
        <v>51</v>
      </c>
      <c r="J869" t="s">
        <v>471</v>
      </c>
      <c r="K869" t="s">
        <v>25</v>
      </c>
      <c r="L869" t="s">
        <v>26</v>
      </c>
      <c r="M869" t="s">
        <v>27</v>
      </c>
      <c r="N869" s="1">
        <v>18629</v>
      </c>
      <c r="O869">
        <v>0</v>
      </c>
      <c r="P869">
        <v>0</v>
      </c>
      <c r="Q869" t="s">
        <v>28</v>
      </c>
      <c r="R869" t="s">
        <v>29</v>
      </c>
      <c r="S869" t="s">
        <v>1677</v>
      </c>
      <c r="T869" t="s">
        <v>1678</v>
      </c>
    </row>
    <row r="870" spans="1:20" x14ac:dyDescent="0.25">
      <c r="A870" t="s">
        <v>2808</v>
      </c>
      <c r="B870" t="str">
        <f>"2914"</f>
        <v>2914</v>
      </c>
      <c r="C870" t="str">
        <f>"282842914"</f>
        <v>282842914</v>
      </c>
      <c r="D870" t="s">
        <v>2809</v>
      </c>
      <c r="E870" t="s">
        <v>430</v>
      </c>
      <c r="F870" t="s">
        <v>93</v>
      </c>
      <c r="G870" s="1">
        <v>25760</v>
      </c>
      <c r="H870" s="1">
        <v>41484</v>
      </c>
      <c r="I870" t="str">
        <f>"51"</f>
        <v>51</v>
      </c>
      <c r="J870" t="s">
        <v>471</v>
      </c>
      <c r="K870" t="s">
        <v>25</v>
      </c>
      <c r="L870" t="s">
        <v>26</v>
      </c>
      <c r="M870" t="s">
        <v>27</v>
      </c>
      <c r="N870" s="1">
        <v>18629</v>
      </c>
      <c r="O870">
        <v>0</v>
      </c>
      <c r="P870">
        <v>0</v>
      </c>
      <c r="Q870" t="s">
        <v>28</v>
      </c>
      <c r="R870" t="s">
        <v>29</v>
      </c>
      <c r="S870" t="s">
        <v>2066</v>
      </c>
      <c r="T870" t="s">
        <v>2067</v>
      </c>
    </row>
    <row r="871" spans="1:20" x14ac:dyDescent="0.25">
      <c r="A871" t="s">
        <v>2810</v>
      </c>
      <c r="B871" t="str">
        <f>"0831"</f>
        <v>0831</v>
      </c>
      <c r="C871" t="str">
        <f>"296720831"</f>
        <v>296720831</v>
      </c>
      <c r="D871" t="s">
        <v>2811</v>
      </c>
      <c r="E871" t="s">
        <v>2812</v>
      </c>
      <c r="G871" s="1">
        <v>25968</v>
      </c>
      <c r="H871" s="1">
        <v>41482</v>
      </c>
      <c r="I871" t="str">
        <f>"52"</f>
        <v>52</v>
      </c>
      <c r="J871" t="s">
        <v>330</v>
      </c>
      <c r="K871" t="s">
        <v>25</v>
      </c>
      <c r="L871" t="s">
        <v>26</v>
      </c>
      <c r="M871" t="s">
        <v>27</v>
      </c>
      <c r="N871" s="1">
        <v>18629</v>
      </c>
      <c r="O871">
        <v>0</v>
      </c>
      <c r="P871">
        <v>0</v>
      </c>
      <c r="Q871" t="s">
        <v>28</v>
      </c>
      <c r="R871" t="s">
        <v>71</v>
      </c>
      <c r="S871" t="s">
        <v>678</v>
      </c>
      <c r="T871" t="s">
        <v>679</v>
      </c>
    </row>
    <row r="872" spans="1:20" x14ac:dyDescent="0.25">
      <c r="A872" t="s">
        <v>2813</v>
      </c>
      <c r="B872" t="str">
        <f>"5036"</f>
        <v>5036</v>
      </c>
      <c r="C872" t="str">
        <f>"370945036"</f>
        <v>370945036</v>
      </c>
      <c r="D872" t="s">
        <v>2814</v>
      </c>
      <c r="E872" t="s">
        <v>2815</v>
      </c>
      <c r="F872" t="s">
        <v>179</v>
      </c>
      <c r="G872" s="1">
        <v>25864</v>
      </c>
      <c r="H872" s="1">
        <v>41477</v>
      </c>
      <c r="I872" t="str">
        <f>"01"</f>
        <v>01</v>
      </c>
      <c r="J872" t="s">
        <v>116</v>
      </c>
      <c r="K872" t="s">
        <v>98</v>
      </c>
      <c r="L872" t="s">
        <v>37</v>
      </c>
      <c r="M872" t="s">
        <v>99</v>
      </c>
      <c r="N872" s="1">
        <v>41715</v>
      </c>
      <c r="O872">
        <v>14801.8</v>
      </c>
      <c r="P872">
        <v>3700.32</v>
      </c>
      <c r="Q872" t="s">
        <v>28</v>
      </c>
      <c r="R872" t="s">
        <v>38</v>
      </c>
      <c r="S872" t="s">
        <v>1194</v>
      </c>
      <c r="T872" t="s">
        <v>1195</v>
      </c>
    </row>
    <row r="873" spans="1:20" x14ac:dyDescent="0.25">
      <c r="A873" t="s">
        <v>2816</v>
      </c>
      <c r="B873" t="str">
        <f>"7449"</f>
        <v>7449</v>
      </c>
      <c r="C873" t="str">
        <f>"268647449"</f>
        <v>268647449</v>
      </c>
      <c r="D873" t="s">
        <v>2817</v>
      </c>
      <c r="E873" t="s">
        <v>197</v>
      </c>
      <c r="F873" t="s">
        <v>37</v>
      </c>
      <c r="G873" s="1">
        <v>24020</v>
      </c>
      <c r="H873" s="1">
        <v>41477</v>
      </c>
      <c r="I873" t="str">
        <f>"01"</f>
        <v>01</v>
      </c>
      <c r="J873" t="s">
        <v>116</v>
      </c>
      <c r="K873" t="s">
        <v>98</v>
      </c>
      <c r="L873" t="s">
        <v>37</v>
      </c>
      <c r="M873" t="s">
        <v>257</v>
      </c>
      <c r="N873" s="1">
        <v>41617</v>
      </c>
      <c r="O873">
        <v>10753.08</v>
      </c>
      <c r="P873">
        <v>2688.4</v>
      </c>
      <c r="Q873" t="s">
        <v>28</v>
      </c>
      <c r="R873" t="s">
        <v>38</v>
      </c>
      <c r="S873" t="s">
        <v>1791</v>
      </c>
      <c r="T873" t="s">
        <v>1792</v>
      </c>
    </row>
    <row r="874" spans="1:20" x14ac:dyDescent="0.25">
      <c r="A874" t="s">
        <v>2818</v>
      </c>
      <c r="B874" t="str">
        <f>"8421"</f>
        <v>8421</v>
      </c>
      <c r="C874" t="str">
        <f>"284888421"</f>
        <v>284888421</v>
      </c>
      <c r="D874" t="s">
        <v>2819</v>
      </c>
      <c r="E874" t="s">
        <v>344</v>
      </c>
      <c r="F874" t="s">
        <v>190</v>
      </c>
      <c r="G874" s="1">
        <v>29579</v>
      </c>
      <c r="H874" s="1">
        <v>41477</v>
      </c>
      <c r="I874" t="str">
        <f>"41"</f>
        <v>41</v>
      </c>
      <c r="J874" t="s">
        <v>24</v>
      </c>
      <c r="K874" t="s">
        <v>25</v>
      </c>
      <c r="L874" t="s">
        <v>26</v>
      </c>
      <c r="M874" t="s">
        <v>27</v>
      </c>
      <c r="N874" s="1">
        <v>18629</v>
      </c>
      <c r="O874">
        <v>0</v>
      </c>
      <c r="P874">
        <v>0</v>
      </c>
      <c r="Q874" t="s">
        <v>37</v>
      </c>
      <c r="R874" t="s">
        <v>29</v>
      </c>
      <c r="S874" t="s">
        <v>2820</v>
      </c>
      <c r="T874" t="s">
        <v>2821</v>
      </c>
    </row>
    <row r="875" spans="1:20" x14ac:dyDescent="0.25">
      <c r="A875" t="s">
        <v>2822</v>
      </c>
      <c r="B875" t="str">
        <f>"7258"</f>
        <v>7258</v>
      </c>
      <c r="C875" t="str">
        <f>"128387258"</f>
        <v>128387258</v>
      </c>
      <c r="D875" t="s">
        <v>2823</v>
      </c>
      <c r="E875" t="s">
        <v>2824</v>
      </c>
      <c r="G875" s="1">
        <v>19954</v>
      </c>
      <c r="H875" s="1">
        <v>41477</v>
      </c>
      <c r="I875" t="str">
        <f>"01"</f>
        <v>01</v>
      </c>
      <c r="J875" t="s">
        <v>116</v>
      </c>
      <c r="K875" t="s">
        <v>98</v>
      </c>
      <c r="L875" t="s">
        <v>37</v>
      </c>
      <c r="M875" t="s">
        <v>257</v>
      </c>
      <c r="N875" s="1">
        <v>41617</v>
      </c>
      <c r="O875">
        <v>10753.08</v>
      </c>
      <c r="P875">
        <v>2688.4</v>
      </c>
      <c r="Q875" t="s">
        <v>28</v>
      </c>
      <c r="R875" t="s">
        <v>71</v>
      </c>
      <c r="S875" t="s">
        <v>2825</v>
      </c>
      <c r="T875" t="s">
        <v>2826</v>
      </c>
    </row>
    <row r="876" spans="1:20" x14ac:dyDescent="0.25">
      <c r="A876" t="s">
        <v>2827</v>
      </c>
      <c r="B876" t="str">
        <f>"1820"</f>
        <v>1820</v>
      </c>
      <c r="C876" t="str">
        <f>"277761820"</f>
        <v>277761820</v>
      </c>
      <c r="D876" t="s">
        <v>1583</v>
      </c>
      <c r="E876" t="s">
        <v>2162</v>
      </c>
      <c r="F876" t="s">
        <v>93</v>
      </c>
      <c r="G876" s="1">
        <v>27827</v>
      </c>
      <c r="H876" s="1">
        <v>41477</v>
      </c>
      <c r="I876" t="str">
        <f>"05"</f>
        <v>05</v>
      </c>
      <c r="J876" t="s">
        <v>58</v>
      </c>
      <c r="K876" t="s">
        <v>175</v>
      </c>
      <c r="L876" t="s">
        <v>37</v>
      </c>
      <c r="M876" t="s">
        <v>257</v>
      </c>
      <c r="N876" s="1">
        <v>41743</v>
      </c>
      <c r="O876">
        <v>11847.94</v>
      </c>
      <c r="P876">
        <v>2961.92</v>
      </c>
      <c r="Q876" t="s">
        <v>37</v>
      </c>
      <c r="R876" t="s">
        <v>71</v>
      </c>
      <c r="S876" t="s">
        <v>737</v>
      </c>
      <c r="T876" t="s">
        <v>738</v>
      </c>
    </row>
    <row r="877" spans="1:20" x14ac:dyDescent="0.25">
      <c r="A877" t="s">
        <v>2828</v>
      </c>
      <c r="B877" t="str">
        <f>"5051"</f>
        <v>5051</v>
      </c>
      <c r="C877" t="str">
        <f>"291885051"</f>
        <v>291885051</v>
      </c>
      <c r="D877" t="s">
        <v>2829</v>
      </c>
      <c r="E877" t="s">
        <v>2830</v>
      </c>
      <c r="F877" t="s">
        <v>44</v>
      </c>
      <c r="G877" s="1">
        <v>28599</v>
      </c>
      <c r="H877" s="1">
        <v>41477</v>
      </c>
      <c r="I877" t="str">
        <f>"41"</f>
        <v>41</v>
      </c>
      <c r="J877" t="s">
        <v>24</v>
      </c>
      <c r="K877" t="s">
        <v>25</v>
      </c>
      <c r="L877" t="s">
        <v>26</v>
      </c>
      <c r="M877" t="s">
        <v>27</v>
      </c>
      <c r="N877" s="1">
        <v>18629</v>
      </c>
      <c r="O877">
        <v>0</v>
      </c>
      <c r="P877">
        <v>0</v>
      </c>
      <c r="Q877" t="s">
        <v>28</v>
      </c>
      <c r="R877" t="s">
        <v>51</v>
      </c>
      <c r="S877" s="2" t="s">
        <v>1972</v>
      </c>
      <c r="T877" t="s">
        <v>1973</v>
      </c>
    </row>
    <row r="878" spans="1:20" x14ac:dyDescent="0.25">
      <c r="A878" t="s">
        <v>2831</v>
      </c>
      <c r="B878" t="str">
        <f>"9871"</f>
        <v>9871</v>
      </c>
      <c r="C878" t="str">
        <f>"278689871"</f>
        <v>278689871</v>
      </c>
      <c r="D878" t="s">
        <v>2832</v>
      </c>
      <c r="E878" t="s">
        <v>2152</v>
      </c>
      <c r="F878" t="s">
        <v>358</v>
      </c>
      <c r="G878" s="1">
        <v>23347</v>
      </c>
      <c r="H878" s="1">
        <v>41477</v>
      </c>
      <c r="I878" t="str">
        <f>"03"</f>
        <v>03</v>
      </c>
      <c r="J878" t="s">
        <v>70</v>
      </c>
      <c r="K878" t="s">
        <v>98</v>
      </c>
      <c r="L878" t="s">
        <v>37</v>
      </c>
      <c r="M878" t="s">
        <v>117</v>
      </c>
      <c r="N878" s="1">
        <v>41617</v>
      </c>
      <c r="O878">
        <v>4951.96</v>
      </c>
      <c r="P878">
        <v>1237.8599999999999</v>
      </c>
      <c r="Q878" t="s">
        <v>37</v>
      </c>
      <c r="R878" t="s">
        <v>38</v>
      </c>
      <c r="S878" t="s">
        <v>353</v>
      </c>
      <c r="T878" t="s">
        <v>354</v>
      </c>
    </row>
    <row r="879" spans="1:20" x14ac:dyDescent="0.25">
      <c r="A879" t="s">
        <v>2833</v>
      </c>
      <c r="B879" t="str">
        <f>"8880"</f>
        <v>8880</v>
      </c>
      <c r="C879" t="str">
        <f>"298908880"</f>
        <v>298908880</v>
      </c>
      <c r="D879" t="s">
        <v>2834</v>
      </c>
      <c r="E879" t="s">
        <v>518</v>
      </c>
      <c r="F879" t="s">
        <v>2835</v>
      </c>
      <c r="G879" s="1">
        <v>31742</v>
      </c>
      <c r="H879" s="1">
        <v>41477</v>
      </c>
      <c r="I879" t="str">
        <f>"15"</f>
        <v>15</v>
      </c>
      <c r="J879" t="s">
        <v>36</v>
      </c>
      <c r="K879" t="s">
        <v>98</v>
      </c>
      <c r="L879" t="s">
        <v>37</v>
      </c>
      <c r="M879" t="s">
        <v>117</v>
      </c>
      <c r="N879" s="1">
        <v>41617</v>
      </c>
      <c r="O879">
        <v>4951.96</v>
      </c>
      <c r="P879">
        <v>1237.8599999999999</v>
      </c>
      <c r="Q879" t="s">
        <v>37</v>
      </c>
      <c r="R879" t="s">
        <v>29</v>
      </c>
      <c r="S879" t="s">
        <v>1137</v>
      </c>
      <c r="T879" t="s">
        <v>1138</v>
      </c>
    </row>
    <row r="880" spans="1:20" x14ac:dyDescent="0.25">
      <c r="A880" t="s">
        <v>2836</v>
      </c>
      <c r="B880" t="str">
        <f>"9691"</f>
        <v>9691</v>
      </c>
      <c r="C880" t="str">
        <f>"269789691"</f>
        <v>269789691</v>
      </c>
      <c r="D880" t="s">
        <v>2837</v>
      </c>
      <c r="E880" t="s">
        <v>2838</v>
      </c>
      <c r="F880" t="s">
        <v>264</v>
      </c>
      <c r="G880" s="1">
        <v>29184</v>
      </c>
      <c r="H880" s="1">
        <v>41477</v>
      </c>
      <c r="I880" t="str">
        <f>"30"</f>
        <v>30</v>
      </c>
      <c r="J880" t="s">
        <v>50</v>
      </c>
      <c r="K880" t="s">
        <v>25</v>
      </c>
      <c r="L880" t="s">
        <v>26</v>
      </c>
      <c r="M880" t="s">
        <v>27</v>
      </c>
      <c r="N880" s="1">
        <v>18629</v>
      </c>
      <c r="O880">
        <v>0</v>
      </c>
      <c r="P880">
        <v>0</v>
      </c>
      <c r="Q880" t="s">
        <v>37</v>
      </c>
      <c r="R880" t="s">
        <v>71</v>
      </c>
      <c r="S880" t="s">
        <v>2839</v>
      </c>
      <c r="T880" t="s">
        <v>2591</v>
      </c>
    </row>
    <row r="881" spans="1:20" x14ac:dyDescent="0.25">
      <c r="A881" t="s">
        <v>2840</v>
      </c>
      <c r="B881" t="str">
        <f>"8925"</f>
        <v>8925</v>
      </c>
      <c r="C881" t="str">
        <f>"302588925"</f>
        <v>302588925</v>
      </c>
      <c r="D881" t="s">
        <v>2841</v>
      </c>
      <c r="E881" t="s">
        <v>1363</v>
      </c>
      <c r="G881" s="1">
        <v>21744</v>
      </c>
      <c r="H881" s="1">
        <v>41473</v>
      </c>
      <c r="I881" t="str">
        <f>"52"</f>
        <v>52</v>
      </c>
      <c r="J881" t="s">
        <v>330</v>
      </c>
      <c r="K881" t="s">
        <v>25</v>
      </c>
      <c r="L881" t="s">
        <v>26</v>
      </c>
      <c r="M881" t="s">
        <v>27</v>
      </c>
      <c r="N881" s="1">
        <v>18629</v>
      </c>
      <c r="O881">
        <v>0</v>
      </c>
      <c r="P881">
        <v>0</v>
      </c>
      <c r="Q881" t="s">
        <v>37</v>
      </c>
      <c r="R881" t="s">
        <v>71</v>
      </c>
      <c r="S881" t="s">
        <v>336</v>
      </c>
      <c r="T881" t="s">
        <v>337</v>
      </c>
    </row>
    <row r="882" spans="1:20" x14ac:dyDescent="0.25">
      <c r="A882" t="s">
        <v>2842</v>
      </c>
      <c r="B882" t="str">
        <f>"7696"</f>
        <v>7696</v>
      </c>
      <c r="C882" t="str">
        <f>"268387696"</f>
        <v>268387696</v>
      </c>
      <c r="D882" t="s">
        <v>553</v>
      </c>
      <c r="E882" t="s">
        <v>430</v>
      </c>
      <c r="F882" t="s">
        <v>556</v>
      </c>
      <c r="G882" s="1">
        <v>16219</v>
      </c>
      <c r="H882" s="1">
        <v>41473</v>
      </c>
      <c r="I882" t="str">
        <f>"52"</f>
        <v>52</v>
      </c>
      <c r="J882" t="s">
        <v>330</v>
      </c>
      <c r="K882" t="s">
        <v>25</v>
      </c>
      <c r="L882" t="s">
        <v>26</v>
      </c>
      <c r="M882" t="s">
        <v>27</v>
      </c>
      <c r="N882" s="1">
        <v>18629</v>
      </c>
      <c r="O882">
        <v>0</v>
      </c>
      <c r="P882">
        <v>0</v>
      </c>
      <c r="Q882" t="s">
        <v>28</v>
      </c>
      <c r="R882" t="s">
        <v>71</v>
      </c>
      <c r="S882" t="s">
        <v>336</v>
      </c>
      <c r="T882" t="s">
        <v>337</v>
      </c>
    </row>
    <row r="883" spans="1:20" x14ac:dyDescent="0.25">
      <c r="A883" t="s">
        <v>2843</v>
      </c>
      <c r="B883" t="str">
        <f>"0159"</f>
        <v>0159</v>
      </c>
      <c r="C883" t="str">
        <f>"276660159"</f>
        <v>276660159</v>
      </c>
      <c r="D883" t="s">
        <v>2844</v>
      </c>
      <c r="E883" t="s">
        <v>129</v>
      </c>
      <c r="F883" t="s">
        <v>1287</v>
      </c>
      <c r="G883" s="1">
        <v>22424</v>
      </c>
      <c r="H883" s="1">
        <v>41473</v>
      </c>
      <c r="I883" t="str">
        <f>"52"</f>
        <v>52</v>
      </c>
      <c r="J883" t="s">
        <v>330</v>
      </c>
      <c r="K883" t="s">
        <v>25</v>
      </c>
      <c r="L883" t="s">
        <v>26</v>
      </c>
      <c r="M883" t="s">
        <v>27</v>
      </c>
      <c r="N883" s="1">
        <v>18629</v>
      </c>
      <c r="O883">
        <v>0</v>
      </c>
      <c r="P883">
        <v>0</v>
      </c>
      <c r="Q883" t="s">
        <v>37</v>
      </c>
      <c r="R883" t="s">
        <v>71</v>
      </c>
      <c r="S883" t="s">
        <v>336</v>
      </c>
      <c r="T883" t="s">
        <v>337</v>
      </c>
    </row>
    <row r="884" spans="1:20" x14ac:dyDescent="0.25">
      <c r="A884" t="s">
        <v>2845</v>
      </c>
      <c r="B884" t="str">
        <f>"1940"</f>
        <v>1940</v>
      </c>
      <c r="C884" t="str">
        <f>"285061940"</f>
        <v>285061940</v>
      </c>
      <c r="D884" t="s">
        <v>2846</v>
      </c>
      <c r="E884" t="s">
        <v>518</v>
      </c>
      <c r="F884" t="s">
        <v>219</v>
      </c>
      <c r="G884" s="1">
        <v>20392</v>
      </c>
      <c r="H884" s="1">
        <v>41472</v>
      </c>
      <c r="I884" t="str">
        <f>"33"</f>
        <v>33</v>
      </c>
      <c r="J884" t="s">
        <v>45</v>
      </c>
      <c r="K884" t="s">
        <v>25</v>
      </c>
      <c r="L884" t="s">
        <v>26</v>
      </c>
      <c r="M884" t="s">
        <v>27</v>
      </c>
      <c r="N884" s="1">
        <v>18629</v>
      </c>
      <c r="O884">
        <v>0</v>
      </c>
      <c r="P884">
        <v>0</v>
      </c>
      <c r="Q884" t="s">
        <v>37</v>
      </c>
      <c r="R884" t="s">
        <v>100</v>
      </c>
      <c r="S884" t="s">
        <v>757</v>
      </c>
      <c r="T884" t="s">
        <v>758</v>
      </c>
    </row>
    <row r="885" spans="1:20" x14ac:dyDescent="0.25">
      <c r="A885" t="s">
        <v>2847</v>
      </c>
      <c r="B885" t="str">
        <f>"7104"</f>
        <v>7104</v>
      </c>
      <c r="C885" t="str">
        <f>"301987104"</f>
        <v>301987104</v>
      </c>
      <c r="D885" t="s">
        <v>553</v>
      </c>
      <c r="E885" t="s">
        <v>2848</v>
      </c>
      <c r="F885" t="s">
        <v>2849</v>
      </c>
      <c r="G885" s="1">
        <v>35233</v>
      </c>
      <c r="H885" s="1">
        <v>41470</v>
      </c>
      <c r="I885" t="str">
        <f>"34"</f>
        <v>34</v>
      </c>
      <c r="J885" t="s">
        <v>388</v>
      </c>
      <c r="K885" t="s">
        <v>25</v>
      </c>
      <c r="L885" t="s">
        <v>26</v>
      </c>
      <c r="M885" t="s">
        <v>27</v>
      </c>
      <c r="N885" s="1">
        <v>18629</v>
      </c>
      <c r="O885">
        <v>0</v>
      </c>
      <c r="P885">
        <v>0</v>
      </c>
      <c r="Q885" t="s">
        <v>28</v>
      </c>
      <c r="R885" t="s">
        <v>29</v>
      </c>
      <c r="S885" t="s">
        <v>615</v>
      </c>
      <c r="T885" t="s">
        <v>616</v>
      </c>
    </row>
    <row r="886" spans="1:20" x14ac:dyDescent="0.25">
      <c r="A886" t="s">
        <v>2850</v>
      </c>
      <c r="B886" t="str">
        <f>"6251"</f>
        <v>6251</v>
      </c>
      <c r="C886" t="str">
        <f>"293606251"</f>
        <v>293606251</v>
      </c>
      <c r="D886" t="s">
        <v>2851</v>
      </c>
      <c r="E886" t="s">
        <v>1886</v>
      </c>
      <c r="F886" t="s">
        <v>165</v>
      </c>
      <c r="G886" s="1">
        <v>27157</v>
      </c>
      <c r="H886" s="1">
        <v>41470</v>
      </c>
      <c r="I886" t="str">
        <f>"52"</f>
        <v>52</v>
      </c>
      <c r="J886" t="s">
        <v>330</v>
      </c>
      <c r="K886" t="s">
        <v>25</v>
      </c>
      <c r="L886" t="s">
        <v>26</v>
      </c>
      <c r="M886" t="s">
        <v>27</v>
      </c>
      <c r="N886" s="1">
        <v>18629</v>
      </c>
      <c r="O886">
        <v>0</v>
      </c>
      <c r="P886">
        <v>0</v>
      </c>
      <c r="Q886" t="s">
        <v>37</v>
      </c>
      <c r="R886" t="s">
        <v>29</v>
      </c>
      <c r="S886" t="s">
        <v>331</v>
      </c>
      <c r="T886" t="s">
        <v>332</v>
      </c>
    </row>
    <row r="887" spans="1:20" x14ac:dyDescent="0.25">
      <c r="A887" t="s">
        <v>2852</v>
      </c>
      <c r="B887" t="str">
        <f>"1242"</f>
        <v>1242</v>
      </c>
      <c r="C887" t="str">
        <f>"271021242"</f>
        <v>271021242</v>
      </c>
      <c r="D887" t="s">
        <v>2853</v>
      </c>
      <c r="E887" t="s">
        <v>2854</v>
      </c>
      <c r="F887" t="s">
        <v>2855</v>
      </c>
      <c r="G887" s="1">
        <v>35301</v>
      </c>
      <c r="H887" s="1">
        <v>41470</v>
      </c>
      <c r="I887" t="str">
        <f>"34"</f>
        <v>34</v>
      </c>
      <c r="J887" t="s">
        <v>388</v>
      </c>
      <c r="K887" t="s">
        <v>25</v>
      </c>
      <c r="L887" t="s">
        <v>26</v>
      </c>
      <c r="M887" t="s">
        <v>27</v>
      </c>
      <c r="N887" s="1">
        <v>18629</v>
      </c>
      <c r="O887">
        <v>0</v>
      </c>
      <c r="P887">
        <v>0</v>
      </c>
      <c r="Q887" t="s">
        <v>37</v>
      </c>
      <c r="R887" t="s">
        <v>29</v>
      </c>
      <c r="S887" t="s">
        <v>615</v>
      </c>
      <c r="T887" t="s">
        <v>616</v>
      </c>
    </row>
    <row r="888" spans="1:20" x14ac:dyDescent="0.25">
      <c r="A888" t="s">
        <v>2856</v>
      </c>
      <c r="B888" t="str">
        <f>"1999"</f>
        <v>1999</v>
      </c>
      <c r="C888" t="str">
        <f>"281461999"</f>
        <v>281461999</v>
      </c>
      <c r="D888" t="s">
        <v>2857</v>
      </c>
      <c r="E888" t="s">
        <v>756</v>
      </c>
      <c r="G888" s="1">
        <v>18096</v>
      </c>
      <c r="H888" s="1">
        <v>41470</v>
      </c>
      <c r="I888" t="str">
        <f>"41"</f>
        <v>41</v>
      </c>
      <c r="J888" t="s">
        <v>24</v>
      </c>
      <c r="K888" t="s">
        <v>25</v>
      </c>
      <c r="L888" t="s">
        <v>26</v>
      </c>
      <c r="M888" t="s">
        <v>27</v>
      </c>
      <c r="N888" s="1">
        <v>18629</v>
      </c>
      <c r="O888">
        <v>0</v>
      </c>
      <c r="P888">
        <v>0</v>
      </c>
      <c r="Q888" t="s">
        <v>37</v>
      </c>
      <c r="R888" t="s">
        <v>110</v>
      </c>
      <c r="S888" t="s">
        <v>2858</v>
      </c>
      <c r="T888" t="s">
        <v>2859</v>
      </c>
    </row>
    <row r="889" spans="1:20" x14ac:dyDescent="0.25">
      <c r="A889" t="s">
        <v>2860</v>
      </c>
      <c r="B889" t="str">
        <f>"9250"</f>
        <v>9250</v>
      </c>
      <c r="C889" t="str">
        <f>"298529250"</f>
        <v>298529250</v>
      </c>
      <c r="D889" t="s">
        <v>2861</v>
      </c>
      <c r="E889" t="s">
        <v>1450</v>
      </c>
      <c r="F889" t="s">
        <v>28</v>
      </c>
      <c r="G889" s="1">
        <v>20622</v>
      </c>
      <c r="H889" s="1">
        <v>41470</v>
      </c>
      <c r="I889" t="str">
        <f>"52"</f>
        <v>52</v>
      </c>
      <c r="J889" t="s">
        <v>330</v>
      </c>
      <c r="K889" t="s">
        <v>25</v>
      </c>
      <c r="L889" t="s">
        <v>26</v>
      </c>
      <c r="M889" t="s">
        <v>27</v>
      </c>
      <c r="N889" s="1">
        <v>18629</v>
      </c>
      <c r="O889">
        <v>0</v>
      </c>
      <c r="P889">
        <v>0</v>
      </c>
      <c r="Q889" t="s">
        <v>37</v>
      </c>
      <c r="R889" t="s">
        <v>51</v>
      </c>
      <c r="S889" t="s">
        <v>678</v>
      </c>
      <c r="T889" t="s">
        <v>679</v>
      </c>
    </row>
    <row r="890" spans="1:20" x14ac:dyDescent="0.25">
      <c r="A890" t="s">
        <v>2862</v>
      </c>
      <c r="B890" t="str">
        <f>"6902"</f>
        <v>6902</v>
      </c>
      <c r="C890" t="str">
        <f>"286526902"</f>
        <v>286526902</v>
      </c>
      <c r="D890" t="s">
        <v>2863</v>
      </c>
      <c r="E890" t="s">
        <v>56</v>
      </c>
      <c r="F890" t="s">
        <v>97</v>
      </c>
      <c r="G890" s="1">
        <v>19540</v>
      </c>
      <c r="H890" s="1">
        <v>41470</v>
      </c>
      <c r="I890" t="str">
        <f>"41"</f>
        <v>41</v>
      </c>
      <c r="J890" t="s">
        <v>24</v>
      </c>
      <c r="K890" t="s">
        <v>25</v>
      </c>
      <c r="L890" t="s">
        <v>26</v>
      </c>
      <c r="M890" t="s">
        <v>27</v>
      </c>
      <c r="N890" s="1">
        <v>18629</v>
      </c>
      <c r="O890">
        <v>0</v>
      </c>
      <c r="P890">
        <v>0</v>
      </c>
      <c r="Q890" t="s">
        <v>28</v>
      </c>
      <c r="R890" t="s">
        <v>29</v>
      </c>
      <c r="S890" t="s">
        <v>615</v>
      </c>
      <c r="T890" t="s">
        <v>616</v>
      </c>
    </row>
    <row r="891" spans="1:20" x14ac:dyDescent="0.25">
      <c r="A891" t="s">
        <v>2864</v>
      </c>
      <c r="B891" t="str">
        <f>"6697"</f>
        <v>6697</v>
      </c>
      <c r="C891" t="str">
        <f>"270726697"</f>
        <v>270726697</v>
      </c>
      <c r="D891" t="s">
        <v>2865</v>
      </c>
      <c r="E891" t="s">
        <v>2866</v>
      </c>
      <c r="F891" t="s">
        <v>69</v>
      </c>
      <c r="G891" s="1">
        <v>26653</v>
      </c>
      <c r="H891" s="1">
        <v>41470</v>
      </c>
      <c r="I891" t="str">
        <f>"08"</f>
        <v>08</v>
      </c>
      <c r="J891" t="s">
        <v>265</v>
      </c>
      <c r="K891" t="s">
        <v>98</v>
      </c>
      <c r="L891" t="s">
        <v>37</v>
      </c>
      <c r="M891" t="s">
        <v>99</v>
      </c>
      <c r="N891" s="1">
        <v>41617</v>
      </c>
      <c r="O891">
        <v>14801.8</v>
      </c>
      <c r="P891">
        <v>3700.32</v>
      </c>
      <c r="Q891" t="s">
        <v>28</v>
      </c>
      <c r="R891" t="s">
        <v>71</v>
      </c>
      <c r="S891" t="s">
        <v>2839</v>
      </c>
      <c r="T891" t="s">
        <v>2591</v>
      </c>
    </row>
    <row r="892" spans="1:20" x14ac:dyDescent="0.25">
      <c r="A892" t="s">
        <v>2867</v>
      </c>
      <c r="B892" t="str">
        <f>"4543"</f>
        <v>4543</v>
      </c>
      <c r="C892" t="str">
        <f>"273924543"</f>
        <v>273924543</v>
      </c>
      <c r="D892" t="s">
        <v>2868</v>
      </c>
      <c r="E892" t="s">
        <v>227</v>
      </c>
      <c r="F892" t="s">
        <v>2869</v>
      </c>
      <c r="G892" s="1">
        <v>31203</v>
      </c>
      <c r="H892" s="1">
        <v>41463</v>
      </c>
      <c r="I892" t="str">
        <f t="shared" ref="I892:I903" si="17">"41"</f>
        <v>41</v>
      </c>
      <c r="J892" t="s">
        <v>24</v>
      </c>
      <c r="K892" t="s">
        <v>25</v>
      </c>
      <c r="L892" t="s">
        <v>26</v>
      </c>
      <c r="M892" t="s">
        <v>27</v>
      </c>
      <c r="N892" s="1">
        <v>18629</v>
      </c>
      <c r="O892">
        <v>0</v>
      </c>
      <c r="P892">
        <v>0</v>
      </c>
      <c r="Q892" t="s">
        <v>28</v>
      </c>
      <c r="R892" t="s">
        <v>29</v>
      </c>
      <c r="S892" t="s">
        <v>527</v>
      </c>
      <c r="T892" t="s">
        <v>528</v>
      </c>
    </row>
    <row r="893" spans="1:20" x14ac:dyDescent="0.25">
      <c r="A893" t="s">
        <v>2870</v>
      </c>
      <c r="B893" t="str">
        <f>"9463"</f>
        <v>9463</v>
      </c>
      <c r="C893" t="str">
        <f>"123589463"</f>
        <v>123589463</v>
      </c>
      <c r="D893" t="s">
        <v>2871</v>
      </c>
      <c r="E893" t="s">
        <v>317</v>
      </c>
      <c r="G893" s="1">
        <v>24310</v>
      </c>
      <c r="H893" s="1">
        <v>41463</v>
      </c>
      <c r="I893" t="str">
        <f t="shared" si="17"/>
        <v>41</v>
      </c>
      <c r="J893" t="s">
        <v>24</v>
      </c>
      <c r="K893" t="s">
        <v>25</v>
      </c>
      <c r="L893" t="s">
        <v>26</v>
      </c>
      <c r="M893" t="s">
        <v>27</v>
      </c>
      <c r="N893" s="1">
        <v>18629</v>
      </c>
      <c r="O893">
        <v>0</v>
      </c>
      <c r="P893">
        <v>0</v>
      </c>
      <c r="Q893" t="s">
        <v>37</v>
      </c>
      <c r="R893" t="s">
        <v>29</v>
      </c>
      <c r="S893" t="s">
        <v>527</v>
      </c>
      <c r="T893" t="s">
        <v>528</v>
      </c>
    </row>
    <row r="894" spans="1:20" x14ac:dyDescent="0.25">
      <c r="A894" t="s">
        <v>2872</v>
      </c>
      <c r="B894" t="str">
        <f>"1785"</f>
        <v>1785</v>
      </c>
      <c r="C894" t="str">
        <f>"272641785"</f>
        <v>272641785</v>
      </c>
      <c r="D894" t="s">
        <v>2873</v>
      </c>
      <c r="E894" t="s">
        <v>1074</v>
      </c>
      <c r="F894" t="s">
        <v>1666</v>
      </c>
      <c r="G894" s="1">
        <v>20805</v>
      </c>
      <c r="H894" s="1">
        <v>41463</v>
      </c>
      <c r="I894" t="str">
        <f t="shared" si="17"/>
        <v>41</v>
      </c>
      <c r="J894" t="s">
        <v>24</v>
      </c>
      <c r="K894" t="s">
        <v>25</v>
      </c>
      <c r="L894" t="s">
        <v>26</v>
      </c>
      <c r="M894" t="s">
        <v>27</v>
      </c>
      <c r="N894" s="1">
        <v>18629</v>
      </c>
      <c r="O894">
        <v>0</v>
      </c>
      <c r="P894">
        <v>0</v>
      </c>
      <c r="Q894" t="s">
        <v>37</v>
      </c>
      <c r="R894" t="s">
        <v>29</v>
      </c>
      <c r="S894" t="s">
        <v>527</v>
      </c>
      <c r="T894" t="s">
        <v>528</v>
      </c>
    </row>
    <row r="895" spans="1:20" x14ac:dyDescent="0.25">
      <c r="A895" t="s">
        <v>2874</v>
      </c>
      <c r="B895" t="str">
        <f>"0832"</f>
        <v>0832</v>
      </c>
      <c r="C895" t="str">
        <f>"291720832"</f>
        <v>291720832</v>
      </c>
      <c r="D895" t="s">
        <v>2875</v>
      </c>
      <c r="E895" t="s">
        <v>2876</v>
      </c>
      <c r="F895" t="s">
        <v>358</v>
      </c>
      <c r="G895" s="1">
        <v>28131</v>
      </c>
      <c r="H895" s="1">
        <v>41463</v>
      </c>
      <c r="I895" t="str">
        <f t="shared" si="17"/>
        <v>41</v>
      </c>
      <c r="J895" t="s">
        <v>24</v>
      </c>
      <c r="K895" t="s">
        <v>25</v>
      </c>
      <c r="L895" t="s">
        <v>26</v>
      </c>
      <c r="M895" t="s">
        <v>27</v>
      </c>
      <c r="N895" s="1">
        <v>18629</v>
      </c>
      <c r="O895">
        <v>0</v>
      </c>
      <c r="P895">
        <v>0</v>
      </c>
      <c r="Q895" t="s">
        <v>37</v>
      </c>
      <c r="R895" t="s">
        <v>29</v>
      </c>
      <c r="S895" t="s">
        <v>527</v>
      </c>
      <c r="T895" t="s">
        <v>528</v>
      </c>
    </row>
    <row r="896" spans="1:20" x14ac:dyDescent="0.25">
      <c r="A896" t="s">
        <v>2877</v>
      </c>
      <c r="B896" t="str">
        <f>"6676"</f>
        <v>6676</v>
      </c>
      <c r="C896" t="str">
        <f>"166466676"</f>
        <v>166466676</v>
      </c>
      <c r="D896" t="s">
        <v>2878</v>
      </c>
      <c r="E896" t="s">
        <v>256</v>
      </c>
      <c r="F896" t="s">
        <v>2869</v>
      </c>
      <c r="G896" s="1">
        <v>23386</v>
      </c>
      <c r="H896" s="1">
        <v>41463</v>
      </c>
      <c r="I896" t="str">
        <f t="shared" si="17"/>
        <v>41</v>
      </c>
      <c r="J896" t="s">
        <v>24</v>
      </c>
      <c r="K896" t="s">
        <v>25</v>
      </c>
      <c r="L896" t="s">
        <v>26</v>
      </c>
      <c r="M896" t="s">
        <v>27</v>
      </c>
      <c r="N896" s="1">
        <v>18629</v>
      </c>
      <c r="O896">
        <v>0</v>
      </c>
      <c r="P896">
        <v>0</v>
      </c>
      <c r="Q896" t="s">
        <v>37</v>
      </c>
      <c r="R896" t="s">
        <v>29</v>
      </c>
      <c r="S896" t="s">
        <v>527</v>
      </c>
      <c r="T896" t="s">
        <v>528</v>
      </c>
    </row>
    <row r="897" spans="1:20" x14ac:dyDescent="0.25">
      <c r="A897" t="s">
        <v>2879</v>
      </c>
      <c r="B897" t="str">
        <f>"3244"</f>
        <v>3244</v>
      </c>
      <c r="C897" t="str">
        <f>"312763244"</f>
        <v>312763244</v>
      </c>
      <c r="D897" t="s">
        <v>2880</v>
      </c>
      <c r="E897" t="s">
        <v>146</v>
      </c>
      <c r="F897" t="s">
        <v>470</v>
      </c>
      <c r="G897" s="1">
        <v>21833</v>
      </c>
      <c r="H897" s="1">
        <v>41463</v>
      </c>
      <c r="I897" t="str">
        <f t="shared" si="17"/>
        <v>41</v>
      </c>
      <c r="J897" t="s">
        <v>24</v>
      </c>
      <c r="K897" t="s">
        <v>25</v>
      </c>
      <c r="L897" t="s">
        <v>26</v>
      </c>
      <c r="M897" t="s">
        <v>27</v>
      </c>
      <c r="N897" s="1">
        <v>18629</v>
      </c>
      <c r="O897">
        <v>0</v>
      </c>
      <c r="P897">
        <v>0</v>
      </c>
      <c r="Q897" t="s">
        <v>37</v>
      </c>
      <c r="R897" t="s">
        <v>29</v>
      </c>
      <c r="S897" t="s">
        <v>527</v>
      </c>
      <c r="T897" t="s">
        <v>528</v>
      </c>
    </row>
    <row r="898" spans="1:20" x14ac:dyDescent="0.25">
      <c r="A898" t="s">
        <v>2881</v>
      </c>
      <c r="B898" t="str">
        <f>"7791"</f>
        <v>7791</v>
      </c>
      <c r="C898" t="str">
        <f>"322487791"</f>
        <v>322487791</v>
      </c>
      <c r="D898" t="s">
        <v>2882</v>
      </c>
      <c r="E898" t="s">
        <v>877</v>
      </c>
      <c r="G898" s="1">
        <v>19048</v>
      </c>
      <c r="H898" s="1">
        <v>41463</v>
      </c>
      <c r="I898" t="str">
        <f t="shared" si="17"/>
        <v>41</v>
      </c>
      <c r="J898" t="s">
        <v>24</v>
      </c>
      <c r="K898" t="s">
        <v>25</v>
      </c>
      <c r="L898" t="s">
        <v>26</v>
      </c>
      <c r="M898" t="s">
        <v>27</v>
      </c>
      <c r="N898" s="1">
        <v>18629</v>
      </c>
      <c r="O898">
        <v>0</v>
      </c>
      <c r="P898">
        <v>0</v>
      </c>
      <c r="Q898" t="s">
        <v>37</v>
      </c>
      <c r="R898" t="s">
        <v>29</v>
      </c>
      <c r="S898" t="s">
        <v>527</v>
      </c>
      <c r="T898" t="s">
        <v>528</v>
      </c>
    </row>
    <row r="899" spans="1:20" x14ac:dyDescent="0.25">
      <c r="A899" t="s">
        <v>2883</v>
      </c>
      <c r="B899" t="str">
        <f>"5158"</f>
        <v>5158</v>
      </c>
      <c r="C899" t="str">
        <f>"290765158"</f>
        <v>290765158</v>
      </c>
      <c r="D899" t="s">
        <v>2884</v>
      </c>
      <c r="E899" t="s">
        <v>2885</v>
      </c>
      <c r="F899" t="s">
        <v>190</v>
      </c>
      <c r="G899" s="1">
        <v>26134</v>
      </c>
      <c r="H899" s="1">
        <v>41463</v>
      </c>
      <c r="I899" t="str">
        <f t="shared" si="17"/>
        <v>41</v>
      </c>
      <c r="J899" t="s">
        <v>24</v>
      </c>
      <c r="K899" t="s">
        <v>25</v>
      </c>
      <c r="L899" t="s">
        <v>26</v>
      </c>
      <c r="M899" t="s">
        <v>27</v>
      </c>
      <c r="N899" s="1">
        <v>18629</v>
      </c>
      <c r="O899">
        <v>0</v>
      </c>
      <c r="P899">
        <v>0</v>
      </c>
      <c r="Q899" t="s">
        <v>37</v>
      </c>
      <c r="R899" t="s">
        <v>29</v>
      </c>
      <c r="S899" t="s">
        <v>527</v>
      </c>
      <c r="T899" t="s">
        <v>528</v>
      </c>
    </row>
    <row r="900" spans="1:20" x14ac:dyDescent="0.25">
      <c r="A900" t="s">
        <v>2886</v>
      </c>
      <c r="B900" t="str">
        <f>"0316"</f>
        <v>0316</v>
      </c>
      <c r="C900" t="str">
        <f>"239020316"</f>
        <v>239020316</v>
      </c>
      <c r="D900" t="s">
        <v>2887</v>
      </c>
      <c r="E900" t="s">
        <v>2385</v>
      </c>
      <c r="F900" t="s">
        <v>239</v>
      </c>
      <c r="G900" s="1">
        <v>19822</v>
      </c>
      <c r="H900" s="1">
        <v>41463</v>
      </c>
      <c r="I900" t="str">
        <f t="shared" si="17"/>
        <v>41</v>
      </c>
      <c r="J900" t="s">
        <v>24</v>
      </c>
      <c r="K900" t="s">
        <v>25</v>
      </c>
      <c r="L900" t="s">
        <v>26</v>
      </c>
      <c r="M900" t="s">
        <v>27</v>
      </c>
      <c r="N900" s="1">
        <v>18629</v>
      </c>
      <c r="O900">
        <v>0</v>
      </c>
      <c r="P900">
        <v>0</v>
      </c>
      <c r="Q900" t="s">
        <v>37</v>
      </c>
      <c r="R900" t="s">
        <v>51</v>
      </c>
      <c r="S900" t="s">
        <v>871</v>
      </c>
      <c r="T900" t="s">
        <v>872</v>
      </c>
    </row>
    <row r="901" spans="1:20" x14ac:dyDescent="0.25">
      <c r="A901" t="s">
        <v>2888</v>
      </c>
      <c r="B901" t="str">
        <f>"9609"</f>
        <v>9609</v>
      </c>
      <c r="C901" t="str">
        <f>"286549609"</f>
        <v>286549609</v>
      </c>
      <c r="D901" t="s">
        <v>2889</v>
      </c>
      <c r="E901" t="s">
        <v>2890</v>
      </c>
      <c r="F901" t="s">
        <v>256</v>
      </c>
      <c r="G901" s="1">
        <v>20007</v>
      </c>
      <c r="H901" s="1">
        <v>41463</v>
      </c>
      <c r="I901" t="str">
        <f t="shared" si="17"/>
        <v>41</v>
      </c>
      <c r="J901" t="s">
        <v>24</v>
      </c>
      <c r="K901" t="s">
        <v>25</v>
      </c>
      <c r="L901" t="s">
        <v>26</v>
      </c>
      <c r="M901" t="s">
        <v>27</v>
      </c>
      <c r="N901" s="1">
        <v>18629</v>
      </c>
      <c r="O901">
        <v>0</v>
      </c>
      <c r="P901">
        <v>0</v>
      </c>
      <c r="Q901" t="s">
        <v>37</v>
      </c>
      <c r="R901" t="s">
        <v>29</v>
      </c>
      <c r="S901" t="s">
        <v>527</v>
      </c>
      <c r="T901" t="s">
        <v>528</v>
      </c>
    </row>
    <row r="902" spans="1:20" x14ac:dyDescent="0.25">
      <c r="A902" t="s">
        <v>2891</v>
      </c>
      <c r="B902" t="str">
        <f>"5390"</f>
        <v>5390</v>
      </c>
      <c r="C902" t="str">
        <f>"289865390"</f>
        <v>289865390</v>
      </c>
      <c r="D902" t="s">
        <v>2892</v>
      </c>
      <c r="E902" t="s">
        <v>944</v>
      </c>
      <c r="F902" t="s">
        <v>329</v>
      </c>
      <c r="G902" s="1">
        <v>29363</v>
      </c>
      <c r="H902" s="1">
        <v>41463</v>
      </c>
      <c r="I902" t="str">
        <f t="shared" si="17"/>
        <v>41</v>
      </c>
      <c r="J902" t="s">
        <v>24</v>
      </c>
      <c r="K902" t="s">
        <v>25</v>
      </c>
      <c r="L902" t="s">
        <v>26</v>
      </c>
      <c r="M902" t="s">
        <v>27</v>
      </c>
      <c r="N902" s="1">
        <v>18629</v>
      </c>
      <c r="O902">
        <v>0</v>
      </c>
      <c r="P902">
        <v>0</v>
      </c>
      <c r="Q902" t="s">
        <v>28</v>
      </c>
      <c r="R902" t="s">
        <v>29</v>
      </c>
      <c r="S902" t="s">
        <v>527</v>
      </c>
      <c r="T902" t="s">
        <v>528</v>
      </c>
    </row>
    <row r="903" spans="1:20" x14ac:dyDescent="0.25">
      <c r="A903" t="s">
        <v>2893</v>
      </c>
      <c r="B903" t="str">
        <f>"0852"</f>
        <v>0852</v>
      </c>
      <c r="C903" t="str">
        <f>"296480852"</f>
        <v>296480852</v>
      </c>
      <c r="D903" t="s">
        <v>2894</v>
      </c>
      <c r="E903" t="s">
        <v>2390</v>
      </c>
      <c r="F903" t="s">
        <v>2075</v>
      </c>
      <c r="G903" s="1">
        <v>19009</v>
      </c>
      <c r="H903" s="1">
        <v>41463</v>
      </c>
      <c r="I903" t="str">
        <f t="shared" si="17"/>
        <v>41</v>
      </c>
      <c r="J903" t="s">
        <v>24</v>
      </c>
      <c r="K903" t="s">
        <v>25</v>
      </c>
      <c r="L903" t="s">
        <v>26</v>
      </c>
      <c r="M903" t="s">
        <v>27</v>
      </c>
      <c r="N903" s="1">
        <v>18629</v>
      </c>
      <c r="O903">
        <v>0</v>
      </c>
      <c r="P903">
        <v>0</v>
      </c>
      <c r="Q903" t="s">
        <v>37</v>
      </c>
      <c r="R903" t="s">
        <v>258</v>
      </c>
      <c r="S903" t="s">
        <v>527</v>
      </c>
      <c r="T903" t="s">
        <v>528</v>
      </c>
    </row>
    <row r="904" spans="1:20" x14ac:dyDescent="0.25">
      <c r="A904" t="s">
        <v>2895</v>
      </c>
      <c r="B904" t="str">
        <f>"8217"</f>
        <v>8217</v>
      </c>
      <c r="C904" t="str">
        <f>"300708217"</f>
        <v>300708217</v>
      </c>
      <c r="D904" t="s">
        <v>470</v>
      </c>
      <c r="E904" t="s">
        <v>682</v>
      </c>
      <c r="F904" t="s">
        <v>308</v>
      </c>
      <c r="G904" s="1">
        <v>25101</v>
      </c>
      <c r="H904" s="1">
        <v>41463</v>
      </c>
      <c r="I904" t="str">
        <f>"30"</f>
        <v>30</v>
      </c>
      <c r="J904" t="s">
        <v>50</v>
      </c>
      <c r="K904" t="s">
        <v>25</v>
      </c>
      <c r="L904" t="s">
        <v>26</v>
      </c>
      <c r="M904" t="s">
        <v>27</v>
      </c>
      <c r="N904" s="1">
        <v>18629</v>
      </c>
      <c r="O904">
        <v>0</v>
      </c>
      <c r="P904">
        <v>0</v>
      </c>
      <c r="Q904" t="s">
        <v>37</v>
      </c>
      <c r="R904" t="s">
        <v>346</v>
      </c>
      <c r="S904" t="s">
        <v>655</v>
      </c>
      <c r="T904" t="s">
        <v>656</v>
      </c>
    </row>
    <row r="905" spans="1:20" x14ac:dyDescent="0.25">
      <c r="A905" t="s">
        <v>2896</v>
      </c>
      <c r="B905" t="str">
        <f>"1840"</f>
        <v>1840</v>
      </c>
      <c r="C905" t="str">
        <f>"219761840"</f>
        <v>219761840</v>
      </c>
      <c r="D905" t="s">
        <v>2897</v>
      </c>
      <c r="E905" t="s">
        <v>619</v>
      </c>
      <c r="F905" t="s">
        <v>165</v>
      </c>
      <c r="G905" s="1">
        <v>25880</v>
      </c>
      <c r="H905" s="1">
        <v>41463</v>
      </c>
      <c r="I905" t="str">
        <f>"41"</f>
        <v>41</v>
      </c>
      <c r="J905" t="s">
        <v>24</v>
      </c>
      <c r="K905" t="s">
        <v>25</v>
      </c>
      <c r="L905" t="s">
        <v>26</v>
      </c>
      <c r="M905" t="s">
        <v>27</v>
      </c>
      <c r="N905" s="1">
        <v>18629</v>
      </c>
      <c r="O905">
        <v>0</v>
      </c>
      <c r="P905">
        <v>0</v>
      </c>
      <c r="Q905" t="s">
        <v>37</v>
      </c>
      <c r="R905" t="s">
        <v>29</v>
      </c>
      <c r="S905" t="s">
        <v>527</v>
      </c>
      <c r="T905" t="s">
        <v>528</v>
      </c>
    </row>
    <row r="906" spans="1:20" x14ac:dyDescent="0.25">
      <c r="A906" t="s">
        <v>2898</v>
      </c>
      <c r="B906" t="str">
        <f>"8437"</f>
        <v>8437</v>
      </c>
      <c r="C906" t="str">
        <f>"293668437"</f>
        <v>293668437</v>
      </c>
      <c r="D906" t="s">
        <v>1583</v>
      </c>
      <c r="E906" t="s">
        <v>1883</v>
      </c>
      <c r="F906" t="s">
        <v>28</v>
      </c>
      <c r="G906" s="1">
        <v>27311</v>
      </c>
      <c r="H906" s="1">
        <v>41463</v>
      </c>
      <c r="I906" t="str">
        <f>"41"</f>
        <v>41</v>
      </c>
      <c r="J906" t="s">
        <v>24</v>
      </c>
      <c r="K906" t="s">
        <v>25</v>
      </c>
      <c r="L906" t="s">
        <v>26</v>
      </c>
      <c r="M906" t="s">
        <v>27</v>
      </c>
      <c r="N906" s="1">
        <v>18629</v>
      </c>
      <c r="O906">
        <v>0</v>
      </c>
      <c r="P906">
        <v>0</v>
      </c>
      <c r="Q906" t="s">
        <v>37</v>
      </c>
      <c r="R906" t="s">
        <v>29</v>
      </c>
      <c r="S906" t="s">
        <v>615</v>
      </c>
      <c r="T906" t="s">
        <v>616</v>
      </c>
    </row>
    <row r="907" spans="1:20" x14ac:dyDescent="0.25">
      <c r="A907" t="s">
        <v>2899</v>
      </c>
      <c r="B907" t="str">
        <f>"7959"</f>
        <v>7959</v>
      </c>
      <c r="C907" t="str">
        <f>"291947959"</f>
        <v>291947959</v>
      </c>
      <c r="D907" t="s">
        <v>2900</v>
      </c>
      <c r="E907" t="s">
        <v>322</v>
      </c>
      <c r="F907" t="s">
        <v>256</v>
      </c>
      <c r="G907" s="1">
        <v>32452</v>
      </c>
      <c r="H907" s="1">
        <v>41463</v>
      </c>
      <c r="I907" t="str">
        <f>"41"</f>
        <v>41</v>
      </c>
      <c r="J907" t="s">
        <v>24</v>
      </c>
      <c r="K907" t="s">
        <v>25</v>
      </c>
      <c r="L907" t="s">
        <v>26</v>
      </c>
      <c r="M907" t="s">
        <v>27</v>
      </c>
      <c r="N907" s="1">
        <v>18629</v>
      </c>
      <c r="O907">
        <v>0</v>
      </c>
      <c r="P907">
        <v>0</v>
      </c>
      <c r="Q907" t="s">
        <v>37</v>
      </c>
      <c r="R907" t="s">
        <v>29</v>
      </c>
      <c r="S907" t="s">
        <v>527</v>
      </c>
      <c r="T907" t="s">
        <v>528</v>
      </c>
    </row>
    <row r="908" spans="1:20" x14ac:dyDescent="0.25">
      <c r="A908" t="s">
        <v>2901</v>
      </c>
      <c r="B908" t="str">
        <f>"4472"</f>
        <v>4472</v>
      </c>
      <c r="C908" t="str">
        <f>"301684472"</f>
        <v>301684472</v>
      </c>
      <c r="D908" t="s">
        <v>2902</v>
      </c>
      <c r="E908" t="s">
        <v>1074</v>
      </c>
      <c r="F908" t="s">
        <v>2150</v>
      </c>
      <c r="G908" s="1">
        <v>21998</v>
      </c>
      <c r="H908" s="1">
        <v>41463</v>
      </c>
      <c r="I908" t="str">
        <f>"41"</f>
        <v>41</v>
      </c>
      <c r="J908" t="s">
        <v>24</v>
      </c>
      <c r="K908" t="s">
        <v>25</v>
      </c>
      <c r="L908" t="s">
        <v>26</v>
      </c>
      <c r="M908" t="s">
        <v>27</v>
      </c>
      <c r="N908" s="1">
        <v>18629</v>
      </c>
      <c r="O908">
        <v>0</v>
      </c>
      <c r="P908">
        <v>0</v>
      </c>
      <c r="Q908" t="s">
        <v>37</v>
      </c>
      <c r="R908" t="s">
        <v>29</v>
      </c>
      <c r="S908" t="s">
        <v>527</v>
      </c>
      <c r="T908" t="s">
        <v>528</v>
      </c>
    </row>
    <row r="909" spans="1:20" x14ac:dyDescent="0.25">
      <c r="A909" t="s">
        <v>2903</v>
      </c>
      <c r="B909" t="str">
        <f>"0324"</f>
        <v>0324</v>
      </c>
      <c r="C909" t="str">
        <f>"300540324"</f>
        <v>300540324</v>
      </c>
      <c r="D909" t="s">
        <v>2904</v>
      </c>
      <c r="E909" t="s">
        <v>2905</v>
      </c>
      <c r="G909" s="1">
        <v>19633</v>
      </c>
      <c r="H909" s="1">
        <v>41463</v>
      </c>
      <c r="I909" t="str">
        <f>"15"</f>
        <v>15</v>
      </c>
      <c r="J909" t="s">
        <v>36</v>
      </c>
      <c r="K909" t="s">
        <v>98</v>
      </c>
      <c r="L909" t="s">
        <v>37</v>
      </c>
      <c r="M909" t="s">
        <v>117</v>
      </c>
      <c r="N909" s="1">
        <v>41617</v>
      </c>
      <c r="O909">
        <v>4951.96</v>
      </c>
      <c r="P909">
        <v>1237.8599999999999</v>
      </c>
      <c r="Q909" t="s">
        <v>37</v>
      </c>
      <c r="R909" t="s">
        <v>29</v>
      </c>
      <c r="S909" t="s">
        <v>290</v>
      </c>
      <c r="T909" t="s">
        <v>291</v>
      </c>
    </row>
    <row r="910" spans="1:20" x14ac:dyDescent="0.25">
      <c r="A910" t="s">
        <v>2906</v>
      </c>
      <c r="B910" t="str">
        <f>"4871"</f>
        <v>4871</v>
      </c>
      <c r="C910" t="str">
        <f>"579524871"</f>
        <v>579524871</v>
      </c>
      <c r="D910" t="s">
        <v>2907</v>
      </c>
      <c r="E910" t="s">
        <v>2908</v>
      </c>
      <c r="F910" t="s">
        <v>165</v>
      </c>
      <c r="G910" s="1">
        <v>14509</v>
      </c>
      <c r="H910" s="1">
        <v>41463</v>
      </c>
      <c r="I910" t="str">
        <f>"41"</f>
        <v>41</v>
      </c>
      <c r="J910" t="s">
        <v>24</v>
      </c>
      <c r="K910" t="s">
        <v>25</v>
      </c>
      <c r="L910" t="s">
        <v>26</v>
      </c>
      <c r="M910" t="s">
        <v>27</v>
      </c>
      <c r="N910" s="1">
        <v>18629</v>
      </c>
      <c r="O910">
        <v>0</v>
      </c>
      <c r="P910">
        <v>0</v>
      </c>
      <c r="Q910" t="s">
        <v>37</v>
      </c>
      <c r="R910" t="s">
        <v>29</v>
      </c>
      <c r="S910" t="s">
        <v>527</v>
      </c>
      <c r="T910" t="s">
        <v>528</v>
      </c>
    </row>
    <row r="911" spans="1:20" x14ac:dyDescent="0.25">
      <c r="A911" t="s">
        <v>2909</v>
      </c>
      <c r="B911" t="str">
        <f>"3137"</f>
        <v>3137</v>
      </c>
      <c r="C911" t="str">
        <f>"276803137"</f>
        <v>276803137</v>
      </c>
      <c r="D911" t="s">
        <v>2910</v>
      </c>
      <c r="E911" t="s">
        <v>877</v>
      </c>
      <c r="F911" t="s">
        <v>2911</v>
      </c>
      <c r="G911" s="1">
        <v>25858</v>
      </c>
      <c r="H911" s="1">
        <v>41463</v>
      </c>
      <c r="I911" t="str">
        <f>"12"</f>
        <v>12</v>
      </c>
      <c r="J911" t="s">
        <v>245</v>
      </c>
      <c r="K911" t="s">
        <v>98</v>
      </c>
      <c r="L911" t="s">
        <v>37</v>
      </c>
      <c r="M911" t="s">
        <v>99</v>
      </c>
      <c r="N911" s="1">
        <v>41617</v>
      </c>
      <c r="O911">
        <v>14801.8</v>
      </c>
      <c r="P911">
        <v>3700.32</v>
      </c>
      <c r="Q911" t="s">
        <v>37</v>
      </c>
      <c r="R911" t="s">
        <v>38</v>
      </c>
      <c r="S911" t="s">
        <v>1842</v>
      </c>
      <c r="T911" t="s">
        <v>1843</v>
      </c>
    </row>
    <row r="912" spans="1:20" x14ac:dyDescent="0.25">
      <c r="A912" t="s">
        <v>2912</v>
      </c>
      <c r="B912" t="str">
        <f>"4436"</f>
        <v>4436</v>
      </c>
      <c r="C912" t="str">
        <f>"295504436"</f>
        <v>295504436</v>
      </c>
      <c r="D912" t="s">
        <v>2913</v>
      </c>
      <c r="E912" t="s">
        <v>526</v>
      </c>
      <c r="F912" t="s">
        <v>2914</v>
      </c>
      <c r="G912" s="1">
        <v>19138</v>
      </c>
      <c r="H912" s="1">
        <v>41463</v>
      </c>
      <c r="I912" t="str">
        <f>"41"</f>
        <v>41</v>
      </c>
      <c r="J912" t="s">
        <v>24</v>
      </c>
      <c r="K912" t="s">
        <v>25</v>
      </c>
      <c r="L912" t="s">
        <v>26</v>
      </c>
      <c r="M912" t="s">
        <v>27</v>
      </c>
      <c r="N912" s="1">
        <v>18629</v>
      </c>
      <c r="O912">
        <v>0</v>
      </c>
      <c r="P912">
        <v>0</v>
      </c>
      <c r="Q912" t="s">
        <v>37</v>
      </c>
      <c r="R912" t="s">
        <v>29</v>
      </c>
      <c r="S912" t="s">
        <v>527</v>
      </c>
      <c r="T912" t="s">
        <v>528</v>
      </c>
    </row>
    <row r="913" spans="1:20" x14ac:dyDescent="0.25">
      <c r="A913" t="s">
        <v>2915</v>
      </c>
      <c r="B913" t="str">
        <f>"4772"</f>
        <v>4772</v>
      </c>
      <c r="C913" t="str">
        <f>"296484772"</f>
        <v>296484772</v>
      </c>
      <c r="D913" t="s">
        <v>2916</v>
      </c>
      <c r="E913" t="s">
        <v>96</v>
      </c>
      <c r="F913" t="s">
        <v>2917</v>
      </c>
      <c r="G913" s="1">
        <v>18582</v>
      </c>
      <c r="H913" s="1">
        <v>41463</v>
      </c>
      <c r="I913" t="str">
        <f>"41"</f>
        <v>41</v>
      </c>
      <c r="J913" t="s">
        <v>24</v>
      </c>
      <c r="K913" t="s">
        <v>25</v>
      </c>
      <c r="L913" t="s">
        <v>26</v>
      </c>
      <c r="M913" t="s">
        <v>27</v>
      </c>
      <c r="N913" s="1">
        <v>18629</v>
      </c>
      <c r="O913">
        <v>0</v>
      </c>
      <c r="P913">
        <v>0</v>
      </c>
      <c r="Q913" t="s">
        <v>37</v>
      </c>
      <c r="R913" t="s">
        <v>29</v>
      </c>
      <c r="S913" t="s">
        <v>527</v>
      </c>
      <c r="T913" t="s">
        <v>528</v>
      </c>
    </row>
    <row r="914" spans="1:20" x14ac:dyDescent="0.25">
      <c r="A914" t="s">
        <v>2918</v>
      </c>
      <c r="B914" t="str">
        <f>"4743"</f>
        <v>4743</v>
      </c>
      <c r="C914" t="str">
        <f>"296924743"</f>
        <v>296924743</v>
      </c>
      <c r="D914" t="s">
        <v>2919</v>
      </c>
      <c r="E914" t="s">
        <v>1584</v>
      </c>
      <c r="F914" t="s">
        <v>165</v>
      </c>
      <c r="G914" s="1">
        <v>33271</v>
      </c>
      <c r="H914" s="1">
        <v>41463</v>
      </c>
      <c r="I914" t="str">
        <f>"33"</f>
        <v>33</v>
      </c>
      <c r="J914" t="s">
        <v>45</v>
      </c>
      <c r="K914" t="s">
        <v>25</v>
      </c>
      <c r="L914" t="s">
        <v>26</v>
      </c>
      <c r="M914" t="s">
        <v>27</v>
      </c>
      <c r="N914" s="1">
        <v>18629</v>
      </c>
      <c r="O914">
        <v>0</v>
      </c>
      <c r="P914">
        <v>0</v>
      </c>
      <c r="Q914" t="s">
        <v>28</v>
      </c>
      <c r="R914" t="s">
        <v>599</v>
      </c>
      <c r="S914" t="s">
        <v>600</v>
      </c>
      <c r="T914" t="s">
        <v>601</v>
      </c>
    </row>
    <row r="915" spans="1:20" x14ac:dyDescent="0.25">
      <c r="A915" t="s">
        <v>2920</v>
      </c>
      <c r="B915" t="str">
        <f>"1697"</f>
        <v>1697</v>
      </c>
      <c r="C915" t="str">
        <f>"300541697"</f>
        <v>300541697</v>
      </c>
      <c r="D915" t="s">
        <v>2921</v>
      </c>
      <c r="E915" t="s">
        <v>1287</v>
      </c>
      <c r="F915" t="s">
        <v>93</v>
      </c>
      <c r="G915" s="1">
        <v>20819</v>
      </c>
      <c r="H915" s="1">
        <v>41463</v>
      </c>
      <c r="I915" t="str">
        <f>"41"</f>
        <v>41</v>
      </c>
      <c r="J915" t="s">
        <v>24</v>
      </c>
      <c r="K915" t="s">
        <v>25</v>
      </c>
      <c r="L915" t="s">
        <v>26</v>
      </c>
      <c r="M915" t="s">
        <v>27</v>
      </c>
      <c r="N915" s="1">
        <v>18629</v>
      </c>
      <c r="O915">
        <v>0</v>
      </c>
      <c r="P915">
        <v>0</v>
      </c>
      <c r="Q915" t="s">
        <v>37</v>
      </c>
      <c r="R915" t="s">
        <v>29</v>
      </c>
      <c r="S915" t="s">
        <v>527</v>
      </c>
      <c r="T915" t="s">
        <v>528</v>
      </c>
    </row>
    <row r="916" spans="1:20" x14ac:dyDescent="0.25">
      <c r="A916" t="s">
        <v>2922</v>
      </c>
      <c r="B916" t="str">
        <f>"1109"</f>
        <v>1109</v>
      </c>
      <c r="C916" t="str">
        <f>"268861109"</f>
        <v>268861109</v>
      </c>
      <c r="D916" t="s">
        <v>2923</v>
      </c>
      <c r="E916" t="s">
        <v>194</v>
      </c>
      <c r="F916" t="s">
        <v>49</v>
      </c>
      <c r="G916" s="1">
        <v>30669</v>
      </c>
      <c r="H916" s="1">
        <v>41463</v>
      </c>
      <c r="I916" t="str">
        <f>"41"</f>
        <v>41</v>
      </c>
      <c r="J916" t="s">
        <v>24</v>
      </c>
      <c r="K916" t="s">
        <v>25</v>
      </c>
      <c r="L916" t="s">
        <v>26</v>
      </c>
      <c r="M916" t="s">
        <v>27</v>
      </c>
      <c r="N916" s="1">
        <v>18629</v>
      </c>
      <c r="O916">
        <v>0</v>
      </c>
      <c r="P916">
        <v>0</v>
      </c>
      <c r="Q916" t="s">
        <v>37</v>
      </c>
      <c r="R916" t="s">
        <v>29</v>
      </c>
      <c r="S916" t="s">
        <v>527</v>
      </c>
      <c r="T916" t="s">
        <v>528</v>
      </c>
    </row>
    <row r="917" spans="1:20" x14ac:dyDescent="0.25">
      <c r="A917" t="s">
        <v>2924</v>
      </c>
      <c r="B917" t="str">
        <f>"3486"</f>
        <v>3486</v>
      </c>
      <c r="C917" t="str">
        <f>"294663486"</f>
        <v>294663486</v>
      </c>
      <c r="D917" t="s">
        <v>2925</v>
      </c>
      <c r="E917" t="s">
        <v>2926</v>
      </c>
      <c r="F917" t="s">
        <v>438</v>
      </c>
      <c r="G917" s="1">
        <v>22192</v>
      </c>
      <c r="H917" s="1">
        <v>41463</v>
      </c>
      <c r="I917" t="str">
        <f>"41"</f>
        <v>41</v>
      </c>
      <c r="J917" t="s">
        <v>24</v>
      </c>
      <c r="K917" t="s">
        <v>25</v>
      </c>
      <c r="L917" t="s">
        <v>26</v>
      </c>
      <c r="M917" t="s">
        <v>27</v>
      </c>
      <c r="N917" s="1">
        <v>18629</v>
      </c>
      <c r="O917">
        <v>0</v>
      </c>
      <c r="P917">
        <v>0</v>
      </c>
      <c r="Q917" t="s">
        <v>37</v>
      </c>
      <c r="R917" t="s">
        <v>29</v>
      </c>
      <c r="S917" t="s">
        <v>527</v>
      </c>
      <c r="T917" t="s">
        <v>528</v>
      </c>
    </row>
    <row r="918" spans="1:20" x14ac:dyDescent="0.25">
      <c r="A918" t="s">
        <v>2927</v>
      </c>
      <c r="B918" t="str">
        <f>"2707"</f>
        <v>2707</v>
      </c>
      <c r="C918" t="str">
        <f>"273702707"</f>
        <v>273702707</v>
      </c>
      <c r="D918" t="s">
        <v>2928</v>
      </c>
      <c r="E918" t="s">
        <v>1007</v>
      </c>
      <c r="G918" s="1">
        <v>27836</v>
      </c>
      <c r="H918" s="1">
        <v>41463</v>
      </c>
      <c r="I918" t="str">
        <f>"41"</f>
        <v>41</v>
      </c>
      <c r="J918" t="s">
        <v>24</v>
      </c>
      <c r="K918" t="s">
        <v>25</v>
      </c>
      <c r="L918" t="s">
        <v>26</v>
      </c>
      <c r="M918" t="s">
        <v>27</v>
      </c>
      <c r="N918" s="1">
        <v>18629</v>
      </c>
      <c r="O918">
        <v>0</v>
      </c>
      <c r="P918">
        <v>0</v>
      </c>
      <c r="Q918" t="s">
        <v>37</v>
      </c>
      <c r="R918" t="s">
        <v>29</v>
      </c>
      <c r="S918" t="s">
        <v>527</v>
      </c>
      <c r="T918" t="s">
        <v>528</v>
      </c>
    </row>
    <row r="919" spans="1:20" x14ac:dyDescent="0.25">
      <c r="A919" t="s">
        <v>2929</v>
      </c>
      <c r="B919" t="str">
        <f>"3578"</f>
        <v>3578</v>
      </c>
      <c r="C919" t="str">
        <f>"299623578"</f>
        <v>299623578</v>
      </c>
      <c r="D919" t="s">
        <v>2930</v>
      </c>
      <c r="E919" t="s">
        <v>2931</v>
      </c>
      <c r="F919" t="s">
        <v>256</v>
      </c>
      <c r="G919" s="1">
        <v>26028</v>
      </c>
      <c r="H919" s="1">
        <v>41463</v>
      </c>
      <c r="I919" t="str">
        <f>"41"</f>
        <v>41</v>
      </c>
      <c r="J919" t="s">
        <v>24</v>
      </c>
      <c r="K919" t="s">
        <v>25</v>
      </c>
      <c r="L919" t="s">
        <v>26</v>
      </c>
      <c r="M919" t="s">
        <v>27</v>
      </c>
      <c r="N919" s="1">
        <v>18629</v>
      </c>
      <c r="O919">
        <v>0</v>
      </c>
      <c r="P919">
        <v>0</v>
      </c>
      <c r="Q919" t="s">
        <v>37</v>
      </c>
      <c r="R919" t="s">
        <v>29</v>
      </c>
      <c r="S919" t="s">
        <v>527</v>
      </c>
      <c r="T919" t="s">
        <v>528</v>
      </c>
    </row>
    <row r="920" spans="1:20" x14ac:dyDescent="0.25">
      <c r="A920" t="s">
        <v>2932</v>
      </c>
      <c r="B920" t="str">
        <f>"5468"</f>
        <v>5468</v>
      </c>
      <c r="C920" t="str">
        <f>"273525468"</f>
        <v>273525468</v>
      </c>
      <c r="D920" t="s">
        <v>2933</v>
      </c>
      <c r="E920" t="s">
        <v>2786</v>
      </c>
      <c r="F920" t="s">
        <v>2934</v>
      </c>
      <c r="G920" s="1">
        <v>18947</v>
      </c>
      <c r="H920" s="1">
        <v>41463</v>
      </c>
      <c r="I920" t="str">
        <f>"52"</f>
        <v>52</v>
      </c>
      <c r="J920" t="s">
        <v>330</v>
      </c>
      <c r="K920" t="s">
        <v>25</v>
      </c>
      <c r="L920" t="s">
        <v>26</v>
      </c>
      <c r="M920" t="s">
        <v>27</v>
      </c>
      <c r="N920" s="1">
        <v>18629</v>
      </c>
      <c r="O920">
        <v>0</v>
      </c>
      <c r="P920">
        <v>0</v>
      </c>
      <c r="Q920" t="s">
        <v>37</v>
      </c>
      <c r="R920" t="s">
        <v>258</v>
      </c>
      <c r="S920" t="s">
        <v>527</v>
      </c>
      <c r="T920" t="s">
        <v>528</v>
      </c>
    </row>
    <row r="921" spans="1:20" x14ac:dyDescent="0.25">
      <c r="A921" t="s">
        <v>2935</v>
      </c>
      <c r="B921" t="str">
        <f>"7383"</f>
        <v>7383</v>
      </c>
      <c r="C921" t="str">
        <f>"291567383"</f>
        <v>291567383</v>
      </c>
      <c r="D921" t="s">
        <v>2936</v>
      </c>
      <c r="E921" t="s">
        <v>109</v>
      </c>
      <c r="F921" t="s">
        <v>28</v>
      </c>
      <c r="G921" s="1">
        <v>24252</v>
      </c>
      <c r="H921" s="1">
        <v>41463</v>
      </c>
      <c r="I921" t="str">
        <f>"41"</f>
        <v>41</v>
      </c>
      <c r="J921" t="s">
        <v>24</v>
      </c>
      <c r="K921" t="s">
        <v>25</v>
      </c>
      <c r="L921" t="s">
        <v>26</v>
      </c>
      <c r="M921" t="s">
        <v>27</v>
      </c>
      <c r="N921" s="1">
        <v>18629</v>
      </c>
      <c r="O921">
        <v>0</v>
      </c>
      <c r="P921">
        <v>0</v>
      </c>
      <c r="Q921" t="s">
        <v>37</v>
      </c>
      <c r="R921" t="s">
        <v>29</v>
      </c>
      <c r="S921" t="s">
        <v>527</v>
      </c>
      <c r="T921" t="s">
        <v>528</v>
      </c>
    </row>
    <row r="922" spans="1:20" x14ac:dyDescent="0.25">
      <c r="A922" t="s">
        <v>2937</v>
      </c>
      <c r="B922" t="str">
        <f>"5900"</f>
        <v>5900</v>
      </c>
      <c r="C922" t="str">
        <f>"288785900"</f>
        <v>288785900</v>
      </c>
      <c r="D922" t="s">
        <v>2938</v>
      </c>
      <c r="E922" t="s">
        <v>583</v>
      </c>
      <c r="F922" t="s">
        <v>1784</v>
      </c>
      <c r="G922" s="1">
        <v>30011</v>
      </c>
      <c r="H922" s="1">
        <v>41463</v>
      </c>
      <c r="I922" t="str">
        <f>"41"</f>
        <v>41</v>
      </c>
      <c r="J922" t="s">
        <v>24</v>
      </c>
      <c r="K922" t="s">
        <v>25</v>
      </c>
      <c r="L922" t="s">
        <v>26</v>
      </c>
      <c r="M922" t="s">
        <v>27</v>
      </c>
      <c r="N922" s="1">
        <v>18629</v>
      </c>
      <c r="O922">
        <v>0</v>
      </c>
      <c r="P922">
        <v>0</v>
      </c>
      <c r="Q922" t="s">
        <v>37</v>
      </c>
      <c r="R922" t="s">
        <v>29</v>
      </c>
      <c r="S922" t="s">
        <v>527</v>
      </c>
      <c r="T922" t="s">
        <v>528</v>
      </c>
    </row>
    <row r="923" spans="1:20" x14ac:dyDescent="0.25">
      <c r="A923" t="s">
        <v>2939</v>
      </c>
      <c r="B923" t="str">
        <f>"6076"</f>
        <v>6076</v>
      </c>
      <c r="C923" t="str">
        <f>"531686076"</f>
        <v>531686076</v>
      </c>
      <c r="D923" t="s">
        <v>2940</v>
      </c>
      <c r="E923" t="s">
        <v>2618</v>
      </c>
      <c r="F923" t="s">
        <v>1287</v>
      </c>
      <c r="G923" s="1">
        <v>23295</v>
      </c>
      <c r="H923" s="1">
        <v>41463</v>
      </c>
      <c r="I923" t="str">
        <f>"41"</f>
        <v>41</v>
      </c>
      <c r="J923" t="s">
        <v>24</v>
      </c>
      <c r="K923" t="s">
        <v>25</v>
      </c>
      <c r="L923" t="s">
        <v>26</v>
      </c>
      <c r="M923" t="s">
        <v>27</v>
      </c>
      <c r="N923" s="1">
        <v>18629</v>
      </c>
      <c r="O923">
        <v>0</v>
      </c>
      <c r="P923">
        <v>0</v>
      </c>
      <c r="Q923" t="s">
        <v>37</v>
      </c>
      <c r="R923" t="s">
        <v>29</v>
      </c>
      <c r="S923" t="s">
        <v>527</v>
      </c>
      <c r="T923" t="s">
        <v>528</v>
      </c>
    </row>
    <row r="924" spans="1:20" x14ac:dyDescent="0.25">
      <c r="A924" t="s">
        <v>2941</v>
      </c>
      <c r="B924" t="str">
        <f>"9671"</f>
        <v>9671</v>
      </c>
      <c r="C924" t="str">
        <f>"023629671"</f>
        <v>023629671</v>
      </c>
      <c r="D924" t="s">
        <v>1374</v>
      </c>
      <c r="E924" t="s">
        <v>2385</v>
      </c>
      <c r="F924" t="s">
        <v>414</v>
      </c>
      <c r="G924" s="1">
        <v>23942</v>
      </c>
      <c r="H924" s="1">
        <v>41463</v>
      </c>
      <c r="I924" t="str">
        <f>"52"</f>
        <v>52</v>
      </c>
      <c r="J924" t="s">
        <v>330</v>
      </c>
      <c r="K924" t="s">
        <v>25</v>
      </c>
      <c r="L924" t="s">
        <v>26</v>
      </c>
      <c r="M924" t="s">
        <v>27</v>
      </c>
      <c r="N924" s="1">
        <v>18629</v>
      </c>
      <c r="O924">
        <v>0</v>
      </c>
      <c r="P924">
        <v>0</v>
      </c>
      <c r="Q924" t="s">
        <v>37</v>
      </c>
      <c r="R924" t="s">
        <v>51</v>
      </c>
      <c r="S924" t="s">
        <v>527</v>
      </c>
      <c r="T924" t="s">
        <v>528</v>
      </c>
    </row>
    <row r="925" spans="1:20" x14ac:dyDescent="0.25">
      <c r="A925" t="s">
        <v>2942</v>
      </c>
      <c r="B925" t="str">
        <f>"2310"</f>
        <v>2310</v>
      </c>
      <c r="C925" t="str">
        <f>"281842310"</f>
        <v>281842310</v>
      </c>
      <c r="D925" t="s">
        <v>2943</v>
      </c>
      <c r="E925" t="s">
        <v>2944</v>
      </c>
      <c r="F925" t="s">
        <v>2945</v>
      </c>
      <c r="G925" s="1">
        <v>26126</v>
      </c>
      <c r="H925" s="1">
        <v>41463</v>
      </c>
      <c r="I925" t="str">
        <f>"41"</f>
        <v>41</v>
      </c>
      <c r="J925" t="s">
        <v>24</v>
      </c>
      <c r="K925" t="s">
        <v>25</v>
      </c>
      <c r="L925" t="s">
        <v>26</v>
      </c>
      <c r="M925" t="s">
        <v>27</v>
      </c>
      <c r="N925" s="1">
        <v>18629</v>
      </c>
      <c r="O925">
        <v>0</v>
      </c>
      <c r="P925">
        <v>0</v>
      </c>
      <c r="Q925" t="s">
        <v>37</v>
      </c>
      <c r="R925" t="s">
        <v>29</v>
      </c>
      <c r="S925" t="s">
        <v>527</v>
      </c>
      <c r="T925" t="s">
        <v>528</v>
      </c>
    </row>
    <row r="926" spans="1:20" x14ac:dyDescent="0.25">
      <c r="A926" t="s">
        <v>2946</v>
      </c>
      <c r="B926" t="str">
        <f>"6817"</f>
        <v>6817</v>
      </c>
      <c r="C926" t="str">
        <f>"302466817"</f>
        <v>302466817</v>
      </c>
      <c r="D926" t="s">
        <v>2947</v>
      </c>
      <c r="E926" t="s">
        <v>2948</v>
      </c>
      <c r="F926" t="s">
        <v>28</v>
      </c>
      <c r="G926" s="1">
        <v>17363</v>
      </c>
      <c r="H926" s="1">
        <v>41463</v>
      </c>
      <c r="I926" t="str">
        <f>"41"</f>
        <v>41</v>
      </c>
      <c r="J926" t="s">
        <v>24</v>
      </c>
      <c r="K926" t="s">
        <v>25</v>
      </c>
      <c r="L926" t="s">
        <v>26</v>
      </c>
      <c r="M926" t="s">
        <v>27</v>
      </c>
      <c r="N926" s="1">
        <v>18629</v>
      </c>
      <c r="O926">
        <v>0</v>
      </c>
      <c r="P926">
        <v>0</v>
      </c>
      <c r="Q926" t="s">
        <v>37</v>
      </c>
      <c r="R926" t="s">
        <v>29</v>
      </c>
      <c r="S926" t="s">
        <v>527</v>
      </c>
      <c r="T926" t="s">
        <v>528</v>
      </c>
    </row>
    <row r="927" spans="1:20" x14ac:dyDescent="0.25">
      <c r="A927" t="s">
        <v>2949</v>
      </c>
      <c r="B927" t="str">
        <f>"1027"</f>
        <v>1027</v>
      </c>
      <c r="C927" t="str">
        <f>"220861027"</f>
        <v>220861027</v>
      </c>
      <c r="D927" t="s">
        <v>1127</v>
      </c>
      <c r="E927" t="s">
        <v>544</v>
      </c>
      <c r="F927" t="s">
        <v>2950</v>
      </c>
      <c r="G927" s="1">
        <v>26242</v>
      </c>
      <c r="H927" s="1">
        <v>41463</v>
      </c>
      <c r="I927" t="str">
        <f>"41"</f>
        <v>41</v>
      </c>
      <c r="J927" t="s">
        <v>24</v>
      </c>
      <c r="K927" t="s">
        <v>25</v>
      </c>
      <c r="L927" t="s">
        <v>26</v>
      </c>
      <c r="M927" t="s">
        <v>27</v>
      </c>
      <c r="N927" s="1">
        <v>18629</v>
      </c>
      <c r="O927">
        <v>0</v>
      </c>
      <c r="P927">
        <v>0</v>
      </c>
      <c r="Q927" t="s">
        <v>37</v>
      </c>
      <c r="R927" t="s">
        <v>29</v>
      </c>
      <c r="S927" t="s">
        <v>527</v>
      </c>
      <c r="T927" t="s">
        <v>528</v>
      </c>
    </row>
    <row r="928" spans="1:20" x14ac:dyDescent="0.25">
      <c r="A928" t="s">
        <v>2951</v>
      </c>
      <c r="B928" t="str">
        <f>"9792"</f>
        <v>9792</v>
      </c>
      <c r="C928" t="str">
        <f>"273689792"</f>
        <v>273689792</v>
      </c>
      <c r="D928" t="s">
        <v>2952</v>
      </c>
      <c r="E928" t="s">
        <v>2953</v>
      </c>
      <c r="F928" t="s">
        <v>329</v>
      </c>
      <c r="G928" s="1">
        <v>21867</v>
      </c>
      <c r="H928" s="1">
        <v>41463</v>
      </c>
      <c r="I928" t="str">
        <f>"15"</f>
        <v>15</v>
      </c>
      <c r="J928" t="s">
        <v>36</v>
      </c>
      <c r="L928" t="s">
        <v>37</v>
      </c>
      <c r="M928" t="s">
        <v>143</v>
      </c>
      <c r="N928" s="1">
        <v>41617</v>
      </c>
      <c r="O928">
        <v>185.9</v>
      </c>
      <c r="P928">
        <v>-185.9</v>
      </c>
      <c r="Q928" t="s">
        <v>37</v>
      </c>
      <c r="R928" t="s">
        <v>51</v>
      </c>
      <c r="S928" t="s">
        <v>527</v>
      </c>
      <c r="T928" t="s">
        <v>528</v>
      </c>
    </row>
    <row r="929" spans="1:20" x14ac:dyDescent="0.25">
      <c r="A929" t="s">
        <v>2954</v>
      </c>
      <c r="B929" t="str">
        <f>"7963"</f>
        <v>7963</v>
      </c>
      <c r="C929" t="str">
        <f>"581877963"</f>
        <v>581877963</v>
      </c>
      <c r="D929" t="s">
        <v>2955</v>
      </c>
      <c r="E929" t="s">
        <v>2956</v>
      </c>
      <c r="G929" s="1">
        <v>30092</v>
      </c>
      <c r="H929" s="1">
        <v>41456</v>
      </c>
      <c r="I929" t="str">
        <f>"15"</f>
        <v>15</v>
      </c>
      <c r="J929" t="s">
        <v>36</v>
      </c>
      <c r="K929" t="s">
        <v>98</v>
      </c>
      <c r="L929" t="s">
        <v>37</v>
      </c>
      <c r="M929" t="s">
        <v>257</v>
      </c>
      <c r="N929" s="1">
        <v>41617</v>
      </c>
      <c r="O929">
        <v>10753.08</v>
      </c>
      <c r="P929">
        <v>2688.4</v>
      </c>
      <c r="Q929" t="s">
        <v>37</v>
      </c>
      <c r="R929" t="s">
        <v>258</v>
      </c>
      <c r="S929" t="s">
        <v>527</v>
      </c>
      <c r="T929" t="s">
        <v>528</v>
      </c>
    </row>
    <row r="930" spans="1:20" x14ac:dyDescent="0.25">
      <c r="A930" t="s">
        <v>2957</v>
      </c>
      <c r="B930" t="str">
        <f>"2897"</f>
        <v>2897</v>
      </c>
      <c r="C930" t="str">
        <f>"272682897"</f>
        <v>272682897</v>
      </c>
      <c r="D930" t="s">
        <v>2154</v>
      </c>
      <c r="E930" t="s">
        <v>2958</v>
      </c>
      <c r="F930" t="s">
        <v>49</v>
      </c>
      <c r="G930" s="1">
        <v>27506</v>
      </c>
      <c r="H930" s="1">
        <v>41456</v>
      </c>
      <c r="I930" t="str">
        <f>"12"</f>
        <v>12</v>
      </c>
      <c r="J930" t="s">
        <v>245</v>
      </c>
      <c r="K930" t="s">
        <v>175</v>
      </c>
      <c r="L930" t="s">
        <v>37</v>
      </c>
      <c r="M930" t="s">
        <v>257</v>
      </c>
      <c r="N930" s="1">
        <v>41617</v>
      </c>
      <c r="O930">
        <v>11847.94</v>
      </c>
      <c r="P930">
        <v>2961.92</v>
      </c>
      <c r="Q930" t="s">
        <v>37</v>
      </c>
      <c r="R930" t="s">
        <v>38</v>
      </c>
      <c r="S930" t="s">
        <v>1264</v>
      </c>
      <c r="T930" t="s">
        <v>1265</v>
      </c>
    </row>
    <row r="931" spans="1:20" x14ac:dyDescent="0.25">
      <c r="A931" t="s">
        <v>2959</v>
      </c>
      <c r="B931" t="str">
        <f>"3991"</f>
        <v>3991</v>
      </c>
      <c r="C931" t="str">
        <f>"289783991"</f>
        <v>289783991</v>
      </c>
      <c r="D931" t="s">
        <v>2392</v>
      </c>
      <c r="E931" t="s">
        <v>2960</v>
      </c>
      <c r="F931" t="s">
        <v>93</v>
      </c>
      <c r="G931" s="1">
        <v>24643</v>
      </c>
      <c r="H931" s="1">
        <v>41456</v>
      </c>
      <c r="I931" t="str">
        <f>"53"</f>
        <v>53</v>
      </c>
      <c r="J931" t="s">
        <v>917</v>
      </c>
      <c r="K931" t="s">
        <v>25</v>
      </c>
      <c r="L931" t="s">
        <v>26</v>
      </c>
      <c r="M931" t="s">
        <v>27</v>
      </c>
      <c r="N931" s="1">
        <v>18629</v>
      </c>
      <c r="O931">
        <v>0</v>
      </c>
      <c r="P931">
        <v>0</v>
      </c>
      <c r="Q931" t="s">
        <v>37</v>
      </c>
      <c r="R931" t="s">
        <v>312</v>
      </c>
      <c r="S931" t="s">
        <v>2038</v>
      </c>
      <c r="T931" t="s">
        <v>2039</v>
      </c>
    </row>
    <row r="932" spans="1:20" x14ac:dyDescent="0.25">
      <c r="A932" t="s">
        <v>2961</v>
      </c>
      <c r="B932" t="str">
        <f>"1702"</f>
        <v>1702</v>
      </c>
      <c r="C932" t="str">
        <f>"280781702"</f>
        <v>280781702</v>
      </c>
      <c r="D932" t="s">
        <v>2392</v>
      </c>
      <c r="E932" t="s">
        <v>2201</v>
      </c>
      <c r="F932" t="s">
        <v>358</v>
      </c>
      <c r="G932" s="1">
        <v>23801</v>
      </c>
      <c r="H932" s="1">
        <v>41456</v>
      </c>
      <c r="I932" t="str">
        <f>"03"</f>
        <v>03</v>
      </c>
      <c r="J932" t="s">
        <v>70</v>
      </c>
      <c r="K932" t="s">
        <v>98</v>
      </c>
      <c r="L932" t="s">
        <v>37</v>
      </c>
      <c r="M932" t="s">
        <v>99</v>
      </c>
      <c r="N932" s="1">
        <v>41617</v>
      </c>
      <c r="O932">
        <v>14801.8</v>
      </c>
      <c r="P932">
        <v>3700.32</v>
      </c>
      <c r="Q932" t="s">
        <v>37</v>
      </c>
      <c r="R932" t="s">
        <v>38</v>
      </c>
      <c r="S932" t="s">
        <v>39</v>
      </c>
      <c r="T932" t="s">
        <v>40</v>
      </c>
    </row>
    <row r="933" spans="1:20" x14ac:dyDescent="0.25">
      <c r="A933" t="s">
        <v>2962</v>
      </c>
      <c r="B933" t="str">
        <f>"2806"</f>
        <v>2806</v>
      </c>
      <c r="C933" t="str">
        <f>"284502806"</f>
        <v>284502806</v>
      </c>
      <c r="D933" t="s">
        <v>2963</v>
      </c>
      <c r="E933" t="s">
        <v>256</v>
      </c>
      <c r="F933" t="s">
        <v>28</v>
      </c>
      <c r="G933" s="1">
        <v>20626</v>
      </c>
      <c r="H933" s="1">
        <v>41456</v>
      </c>
      <c r="I933" t="str">
        <f>"41"</f>
        <v>41</v>
      </c>
      <c r="J933" t="s">
        <v>24</v>
      </c>
      <c r="K933" t="s">
        <v>25</v>
      </c>
      <c r="L933" t="s">
        <v>26</v>
      </c>
      <c r="M933" t="s">
        <v>27</v>
      </c>
      <c r="N933" s="1">
        <v>18629</v>
      </c>
      <c r="O933">
        <v>0</v>
      </c>
      <c r="P933">
        <v>0</v>
      </c>
      <c r="Q933" t="s">
        <v>37</v>
      </c>
      <c r="R933" t="s">
        <v>29</v>
      </c>
      <c r="S933" t="s">
        <v>620</v>
      </c>
      <c r="T933" t="s">
        <v>621</v>
      </c>
    </row>
    <row r="934" spans="1:20" x14ac:dyDescent="0.25">
      <c r="A934" t="s">
        <v>2964</v>
      </c>
      <c r="B934" t="str">
        <f>"2434"</f>
        <v>2434</v>
      </c>
      <c r="C934" t="str">
        <f>"270722434"</f>
        <v>270722434</v>
      </c>
      <c r="D934" t="s">
        <v>2965</v>
      </c>
      <c r="E934" t="s">
        <v>2966</v>
      </c>
      <c r="F934" t="s">
        <v>2967</v>
      </c>
      <c r="G934" s="1">
        <v>23775</v>
      </c>
      <c r="H934" s="1">
        <v>41456</v>
      </c>
      <c r="I934" t="str">
        <f>"52"</f>
        <v>52</v>
      </c>
      <c r="J934" t="s">
        <v>330</v>
      </c>
      <c r="K934" t="s">
        <v>25</v>
      </c>
      <c r="L934" t="s">
        <v>26</v>
      </c>
      <c r="M934" t="s">
        <v>27</v>
      </c>
      <c r="N934" s="1">
        <v>18629</v>
      </c>
      <c r="O934">
        <v>0</v>
      </c>
      <c r="P934">
        <v>0</v>
      </c>
      <c r="Q934" t="s">
        <v>37</v>
      </c>
      <c r="R934" t="s">
        <v>312</v>
      </c>
      <c r="S934" t="s">
        <v>678</v>
      </c>
      <c r="T934" t="s">
        <v>679</v>
      </c>
    </row>
    <row r="935" spans="1:20" x14ac:dyDescent="0.25">
      <c r="A935" t="s">
        <v>2968</v>
      </c>
      <c r="B935" t="str">
        <f>"3854"</f>
        <v>3854</v>
      </c>
      <c r="C935" t="str">
        <f>"070403854"</f>
        <v>070403854</v>
      </c>
      <c r="D935" t="s">
        <v>1798</v>
      </c>
      <c r="E935" t="s">
        <v>2969</v>
      </c>
      <c r="F935" t="s">
        <v>239</v>
      </c>
      <c r="G935" s="1">
        <v>18512</v>
      </c>
      <c r="H935" s="1">
        <v>41456</v>
      </c>
      <c r="I935" t="str">
        <f>"01"</f>
        <v>01</v>
      </c>
      <c r="J935" t="s">
        <v>116</v>
      </c>
      <c r="K935" t="s">
        <v>98</v>
      </c>
      <c r="L935" t="s">
        <v>37</v>
      </c>
      <c r="M935" t="s">
        <v>257</v>
      </c>
      <c r="N935" s="1">
        <v>41617</v>
      </c>
      <c r="O935">
        <v>10753.08</v>
      </c>
      <c r="P935">
        <v>2688.4</v>
      </c>
      <c r="Q935" t="s">
        <v>28</v>
      </c>
      <c r="R935" t="s">
        <v>110</v>
      </c>
      <c r="S935" t="s">
        <v>1837</v>
      </c>
      <c r="T935" t="s">
        <v>1838</v>
      </c>
    </row>
    <row r="936" spans="1:20" x14ac:dyDescent="0.25">
      <c r="A936" t="s">
        <v>2970</v>
      </c>
      <c r="B936" t="str">
        <f>"7018"</f>
        <v>7018</v>
      </c>
      <c r="C936" t="str">
        <f>"268967018"</f>
        <v>268967018</v>
      </c>
      <c r="D936" t="s">
        <v>663</v>
      </c>
      <c r="E936" t="s">
        <v>2971</v>
      </c>
      <c r="F936" t="s">
        <v>69</v>
      </c>
      <c r="G936" s="1">
        <v>33747</v>
      </c>
      <c r="H936" s="1">
        <v>41456</v>
      </c>
      <c r="I936" t="str">
        <f>"34"</f>
        <v>34</v>
      </c>
      <c r="J936" t="s">
        <v>388</v>
      </c>
      <c r="K936" t="s">
        <v>25</v>
      </c>
      <c r="L936" t="s">
        <v>26</v>
      </c>
      <c r="M936" t="s">
        <v>27</v>
      </c>
      <c r="N936" s="1">
        <v>18629</v>
      </c>
      <c r="O936">
        <v>0</v>
      </c>
      <c r="P936">
        <v>0</v>
      </c>
      <c r="Q936" t="s">
        <v>37</v>
      </c>
      <c r="R936" t="s">
        <v>29</v>
      </c>
      <c r="S936" t="s">
        <v>389</v>
      </c>
      <c r="T936" t="s">
        <v>390</v>
      </c>
    </row>
    <row r="937" spans="1:20" x14ac:dyDescent="0.25">
      <c r="A937" t="s">
        <v>2972</v>
      </c>
      <c r="B937" t="str">
        <f>"4344"</f>
        <v>4344</v>
      </c>
      <c r="C937" t="str">
        <f>"282624344"</f>
        <v>282624344</v>
      </c>
      <c r="D937" t="s">
        <v>2973</v>
      </c>
      <c r="E937" t="s">
        <v>35</v>
      </c>
      <c r="F937" t="s">
        <v>93</v>
      </c>
      <c r="G937" s="1">
        <v>23498</v>
      </c>
      <c r="H937" s="1">
        <v>41456</v>
      </c>
      <c r="I937" t="str">
        <f>"52"</f>
        <v>52</v>
      </c>
      <c r="J937" t="s">
        <v>330</v>
      </c>
      <c r="K937" t="s">
        <v>25</v>
      </c>
      <c r="L937" t="s">
        <v>26</v>
      </c>
      <c r="M937" t="s">
        <v>27</v>
      </c>
      <c r="N937" s="1">
        <v>18629</v>
      </c>
      <c r="O937">
        <v>0</v>
      </c>
      <c r="P937">
        <v>0</v>
      </c>
      <c r="Q937" t="s">
        <v>28</v>
      </c>
      <c r="R937" t="s">
        <v>29</v>
      </c>
      <c r="S937" t="s">
        <v>2974</v>
      </c>
      <c r="T937" t="s">
        <v>2975</v>
      </c>
    </row>
    <row r="938" spans="1:20" x14ac:dyDescent="0.25">
      <c r="A938" t="s">
        <v>2976</v>
      </c>
      <c r="B938" t="str">
        <f>"6827"</f>
        <v>6827</v>
      </c>
      <c r="C938" t="str">
        <f>"286586827"</f>
        <v>286586827</v>
      </c>
      <c r="D938" t="s">
        <v>2977</v>
      </c>
      <c r="E938" t="s">
        <v>2978</v>
      </c>
      <c r="F938" t="s">
        <v>438</v>
      </c>
      <c r="G938" s="1">
        <v>24156</v>
      </c>
      <c r="H938" s="1">
        <v>41456</v>
      </c>
      <c r="I938" t="str">
        <f>"53"</f>
        <v>53</v>
      </c>
      <c r="J938" t="s">
        <v>917</v>
      </c>
      <c r="K938" t="s">
        <v>25</v>
      </c>
      <c r="L938" t="s">
        <v>26</v>
      </c>
      <c r="M938" t="s">
        <v>27</v>
      </c>
      <c r="N938" s="1">
        <v>18629</v>
      </c>
      <c r="O938">
        <v>0</v>
      </c>
      <c r="P938">
        <v>0</v>
      </c>
      <c r="Q938" t="s">
        <v>37</v>
      </c>
      <c r="R938" t="s">
        <v>312</v>
      </c>
      <c r="S938" t="s">
        <v>2038</v>
      </c>
      <c r="T938" t="s">
        <v>2039</v>
      </c>
    </row>
    <row r="939" spans="1:20" x14ac:dyDescent="0.25">
      <c r="A939" t="s">
        <v>2979</v>
      </c>
      <c r="B939" t="str">
        <f>"4574"</f>
        <v>4574</v>
      </c>
      <c r="C939" t="str">
        <f>"283524574"</f>
        <v>283524574</v>
      </c>
      <c r="D939" t="s">
        <v>2980</v>
      </c>
      <c r="E939" t="s">
        <v>96</v>
      </c>
      <c r="F939" t="s">
        <v>93</v>
      </c>
      <c r="G939" s="1">
        <v>19169</v>
      </c>
      <c r="H939" s="1">
        <v>41456</v>
      </c>
      <c r="I939" t="str">
        <f>"03"</f>
        <v>03</v>
      </c>
      <c r="J939" t="s">
        <v>70</v>
      </c>
      <c r="L939" t="s">
        <v>37</v>
      </c>
      <c r="M939" t="s">
        <v>143</v>
      </c>
      <c r="N939" s="1">
        <v>41617</v>
      </c>
      <c r="O939">
        <v>185.9</v>
      </c>
      <c r="P939">
        <v>-185.9</v>
      </c>
      <c r="Q939" t="s">
        <v>37</v>
      </c>
      <c r="R939" t="s">
        <v>258</v>
      </c>
      <c r="S939" t="s">
        <v>527</v>
      </c>
      <c r="T939" t="s">
        <v>528</v>
      </c>
    </row>
    <row r="940" spans="1:20" x14ac:dyDescent="0.25">
      <c r="A940" t="s">
        <v>2981</v>
      </c>
      <c r="B940" t="str">
        <f>"8389"</f>
        <v>8389</v>
      </c>
      <c r="C940" t="str">
        <f>"268748389"</f>
        <v>268748389</v>
      </c>
      <c r="D940" t="s">
        <v>2982</v>
      </c>
      <c r="E940" t="s">
        <v>430</v>
      </c>
      <c r="F940" t="s">
        <v>2983</v>
      </c>
      <c r="G940" s="1">
        <v>28247</v>
      </c>
      <c r="H940" s="1">
        <v>41456</v>
      </c>
      <c r="I940" t="str">
        <f>"41"</f>
        <v>41</v>
      </c>
      <c r="J940" t="s">
        <v>24</v>
      </c>
      <c r="K940" t="s">
        <v>25</v>
      </c>
      <c r="L940" t="s">
        <v>26</v>
      </c>
      <c r="M940" t="s">
        <v>27</v>
      </c>
      <c r="N940" s="1">
        <v>18629</v>
      </c>
      <c r="O940">
        <v>0</v>
      </c>
      <c r="P940">
        <v>0</v>
      </c>
      <c r="Q940" t="s">
        <v>28</v>
      </c>
      <c r="R940" t="s">
        <v>29</v>
      </c>
      <c r="S940" t="s">
        <v>533</v>
      </c>
      <c r="T940" t="s">
        <v>534</v>
      </c>
    </row>
    <row r="941" spans="1:20" x14ac:dyDescent="0.25">
      <c r="A941" t="s">
        <v>2984</v>
      </c>
      <c r="B941" t="str">
        <f>"3162"</f>
        <v>3162</v>
      </c>
      <c r="C941" t="str">
        <f>"299503162"</f>
        <v>299503162</v>
      </c>
      <c r="D941" t="s">
        <v>2985</v>
      </c>
      <c r="E941" t="s">
        <v>870</v>
      </c>
      <c r="G941" s="1">
        <v>20995</v>
      </c>
      <c r="H941" s="1">
        <v>41456</v>
      </c>
      <c r="I941" t="str">
        <f>"15"</f>
        <v>15</v>
      </c>
      <c r="J941" t="s">
        <v>36</v>
      </c>
      <c r="K941" t="s">
        <v>98</v>
      </c>
      <c r="L941" t="s">
        <v>37</v>
      </c>
      <c r="M941" t="s">
        <v>257</v>
      </c>
      <c r="N941" s="1">
        <v>41617</v>
      </c>
      <c r="O941">
        <v>10753.08</v>
      </c>
      <c r="P941">
        <v>2688.4</v>
      </c>
      <c r="Q941" t="s">
        <v>37</v>
      </c>
      <c r="R941" t="s">
        <v>51</v>
      </c>
      <c r="S941" t="s">
        <v>527</v>
      </c>
      <c r="T941" t="s">
        <v>528</v>
      </c>
    </row>
    <row r="942" spans="1:20" x14ac:dyDescent="0.25">
      <c r="A942" t="s">
        <v>2986</v>
      </c>
      <c r="B942" t="str">
        <f>"7275"</f>
        <v>7275</v>
      </c>
      <c r="C942" t="str">
        <f>"299547275"</f>
        <v>299547275</v>
      </c>
      <c r="D942" t="s">
        <v>2987</v>
      </c>
      <c r="E942" t="s">
        <v>2988</v>
      </c>
      <c r="F942" t="s">
        <v>556</v>
      </c>
      <c r="G942" s="1">
        <v>19364</v>
      </c>
      <c r="H942" s="1">
        <v>41456</v>
      </c>
      <c r="I942" t="str">
        <f>"52"</f>
        <v>52</v>
      </c>
      <c r="J942" t="s">
        <v>330</v>
      </c>
      <c r="K942" t="s">
        <v>25</v>
      </c>
      <c r="L942" t="s">
        <v>26</v>
      </c>
      <c r="M942" t="s">
        <v>27</v>
      </c>
      <c r="N942" s="1">
        <v>18629</v>
      </c>
      <c r="O942">
        <v>0</v>
      </c>
      <c r="P942">
        <v>0</v>
      </c>
      <c r="Q942" t="s">
        <v>28</v>
      </c>
      <c r="R942" t="s">
        <v>29</v>
      </c>
      <c r="S942" t="s">
        <v>2974</v>
      </c>
      <c r="T942" t="s">
        <v>2975</v>
      </c>
    </row>
    <row r="943" spans="1:20" x14ac:dyDescent="0.25">
      <c r="A943" t="s">
        <v>2989</v>
      </c>
      <c r="B943" t="str">
        <f>"3336"</f>
        <v>3336</v>
      </c>
      <c r="C943" t="str">
        <f>"224843336"</f>
        <v>224843336</v>
      </c>
      <c r="D943" t="s">
        <v>1620</v>
      </c>
      <c r="E943" t="s">
        <v>2990</v>
      </c>
      <c r="G943" s="1">
        <v>22004</v>
      </c>
      <c r="H943" s="1">
        <v>41456</v>
      </c>
      <c r="I943" t="str">
        <f>"53"</f>
        <v>53</v>
      </c>
      <c r="J943" t="s">
        <v>917</v>
      </c>
      <c r="K943" t="s">
        <v>25</v>
      </c>
      <c r="L943" t="s">
        <v>26</v>
      </c>
      <c r="M943" t="s">
        <v>27</v>
      </c>
      <c r="N943" s="1">
        <v>18629</v>
      </c>
      <c r="O943">
        <v>0</v>
      </c>
      <c r="P943">
        <v>0</v>
      </c>
      <c r="Q943" t="s">
        <v>37</v>
      </c>
      <c r="R943" t="s">
        <v>312</v>
      </c>
      <c r="S943" t="s">
        <v>2038</v>
      </c>
      <c r="T943" t="s">
        <v>2039</v>
      </c>
    </row>
    <row r="944" spans="1:20" x14ac:dyDescent="0.25">
      <c r="A944" t="s">
        <v>2991</v>
      </c>
      <c r="B944" t="str">
        <f>"5519"</f>
        <v>5519</v>
      </c>
      <c r="C944" t="str">
        <f>"301965519"</f>
        <v>301965519</v>
      </c>
      <c r="D944" t="s">
        <v>2992</v>
      </c>
      <c r="E944" t="s">
        <v>2993</v>
      </c>
      <c r="F944" t="s">
        <v>97</v>
      </c>
      <c r="G944" s="1">
        <v>34384</v>
      </c>
      <c r="H944" s="1">
        <v>41456</v>
      </c>
      <c r="I944" t="str">
        <f>"34"</f>
        <v>34</v>
      </c>
      <c r="J944" t="s">
        <v>388</v>
      </c>
      <c r="K944" t="s">
        <v>25</v>
      </c>
      <c r="L944" t="s">
        <v>26</v>
      </c>
      <c r="M944" t="s">
        <v>27</v>
      </c>
      <c r="N944" s="1">
        <v>18629</v>
      </c>
      <c r="O944">
        <v>0</v>
      </c>
      <c r="P944">
        <v>0</v>
      </c>
      <c r="Q944" t="s">
        <v>37</v>
      </c>
      <c r="R944" t="s">
        <v>29</v>
      </c>
      <c r="S944" t="s">
        <v>389</v>
      </c>
      <c r="T944" t="s">
        <v>390</v>
      </c>
    </row>
    <row r="945" spans="1:20" x14ac:dyDescent="0.25">
      <c r="A945" t="s">
        <v>2994</v>
      </c>
      <c r="B945" t="str">
        <f>"9642"</f>
        <v>9642</v>
      </c>
      <c r="C945" t="str">
        <f>"290769642"</f>
        <v>290769642</v>
      </c>
      <c r="D945" t="s">
        <v>2995</v>
      </c>
      <c r="E945" t="s">
        <v>1666</v>
      </c>
      <c r="F945" t="s">
        <v>93</v>
      </c>
      <c r="G945" s="1">
        <v>25503</v>
      </c>
      <c r="H945" s="1">
        <v>41456</v>
      </c>
      <c r="I945" t="str">
        <f>"53"</f>
        <v>53</v>
      </c>
      <c r="J945" t="s">
        <v>917</v>
      </c>
      <c r="K945" t="s">
        <v>25</v>
      </c>
      <c r="L945" t="s">
        <v>26</v>
      </c>
      <c r="M945" t="s">
        <v>27</v>
      </c>
      <c r="N945" s="1">
        <v>18629</v>
      </c>
      <c r="O945">
        <v>0</v>
      </c>
      <c r="P945">
        <v>0</v>
      </c>
      <c r="Q945" t="s">
        <v>37</v>
      </c>
      <c r="R945" t="s">
        <v>312</v>
      </c>
      <c r="S945" t="s">
        <v>2038</v>
      </c>
      <c r="T945" t="s">
        <v>2039</v>
      </c>
    </row>
    <row r="946" spans="1:20" x14ac:dyDescent="0.25">
      <c r="A946" t="s">
        <v>2996</v>
      </c>
      <c r="B946" t="str">
        <f>"5136"</f>
        <v>5136</v>
      </c>
      <c r="C946" t="str">
        <f>"286505136"</f>
        <v>286505136</v>
      </c>
      <c r="D946" t="s">
        <v>2997</v>
      </c>
      <c r="E946" t="s">
        <v>959</v>
      </c>
      <c r="F946" t="s">
        <v>97</v>
      </c>
      <c r="G946" s="1">
        <v>18599</v>
      </c>
      <c r="H946" s="1">
        <v>41456</v>
      </c>
      <c r="I946" t="str">
        <f>"41"</f>
        <v>41</v>
      </c>
      <c r="J946" t="s">
        <v>24</v>
      </c>
      <c r="K946" t="s">
        <v>25</v>
      </c>
      <c r="L946" t="s">
        <v>26</v>
      </c>
      <c r="M946" t="s">
        <v>27</v>
      </c>
      <c r="N946" s="1">
        <v>18629</v>
      </c>
      <c r="O946">
        <v>0</v>
      </c>
      <c r="P946">
        <v>0</v>
      </c>
      <c r="Q946" t="s">
        <v>28</v>
      </c>
      <c r="R946" t="s">
        <v>29</v>
      </c>
      <c r="S946" t="s">
        <v>2090</v>
      </c>
      <c r="T946" t="s">
        <v>2091</v>
      </c>
    </row>
    <row r="947" spans="1:20" x14ac:dyDescent="0.25">
      <c r="A947" t="s">
        <v>2998</v>
      </c>
      <c r="B947" t="str">
        <f>"4842"</f>
        <v>4842</v>
      </c>
      <c r="C947" t="str">
        <f>"245484842"</f>
        <v>245484842</v>
      </c>
      <c r="D947" t="s">
        <v>2999</v>
      </c>
      <c r="E947" t="s">
        <v>3000</v>
      </c>
      <c r="G947" s="1">
        <v>13020</v>
      </c>
      <c r="H947" s="1">
        <v>41456</v>
      </c>
      <c r="I947" t="str">
        <f>"41"</f>
        <v>41</v>
      </c>
      <c r="J947" t="s">
        <v>24</v>
      </c>
      <c r="K947" t="s">
        <v>25</v>
      </c>
      <c r="L947" t="s">
        <v>26</v>
      </c>
      <c r="M947" t="s">
        <v>27</v>
      </c>
      <c r="N947" s="1">
        <v>18629</v>
      </c>
      <c r="O947">
        <v>0</v>
      </c>
      <c r="P947">
        <v>0</v>
      </c>
      <c r="Q947" t="s">
        <v>28</v>
      </c>
      <c r="R947" t="s">
        <v>29</v>
      </c>
      <c r="S947" t="s">
        <v>533</v>
      </c>
      <c r="T947" t="s">
        <v>534</v>
      </c>
    </row>
    <row r="948" spans="1:20" x14ac:dyDescent="0.25">
      <c r="A948" t="s">
        <v>3001</v>
      </c>
      <c r="B948" t="str">
        <f>"9023"</f>
        <v>9023</v>
      </c>
      <c r="C948" t="str">
        <f>"285589023"</f>
        <v>285589023</v>
      </c>
      <c r="D948" t="s">
        <v>3002</v>
      </c>
      <c r="E948" t="s">
        <v>122</v>
      </c>
      <c r="F948" t="s">
        <v>37</v>
      </c>
      <c r="G948" s="1">
        <v>20643</v>
      </c>
      <c r="H948" s="1">
        <v>41456</v>
      </c>
      <c r="I948" t="str">
        <f>"41"</f>
        <v>41</v>
      </c>
      <c r="J948" t="s">
        <v>24</v>
      </c>
      <c r="K948" t="s">
        <v>25</v>
      </c>
      <c r="L948" t="s">
        <v>26</v>
      </c>
      <c r="M948" t="s">
        <v>27</v>
      </c>
      <c r="N948" s="1">
        <v>18629</v>
      </c>
      <c r="O948">
        <v>0</v>
      </c>
      <c r="P948">
        <v>0</v>
      </c>
      <c r="Q948" t="s">
        <v>28</v>
      </c>
      <c r="R948" t="s">
        <v>71</v>
      </c>
      <c r="S948" t="s">
        <v>3003</v>
      </c>
      <c r="T948" t="s">
        <v>3004</v>
      </c>
    </row>
    <row r="949" spans="1:20" x14ac:dyDescent="0.25">
      <c r="A949" t="s">
        <v>3005</v>
      </c>
      <c r="B949" t="str">
        <f>"7530"</f>
        <v>7530</v>
      </c>
      <c r="C949" t="str">
        <f>"274767530"</f>
        <v>274767530</v>
      </c>
      <c r="D949" t="s">
        <v>3006</v>
      </c>
      <c r="E949" t="s">
        <v>1350</v>
      </c>
      <c r="G949" s="1">
        <v>24599</v>
      </c>
      <c r="H949" s="1">
        <v>41456</v>
      </c>
      <c r="I949" t="str">
        <f>"12"</f>
        <v>12</v>
      </c>
      <c r="J949" t="s">
        <v>245</v>
      </c>
      <c r="K949" t="s">
        <v>98</v>
      </c>
      <c r="L949" t="s">
        <v>37</v>
      </c>
      <c r="M949" t="s">
        <v>99</v>
      </c>
      <c r="N949" s="1">
        <v>41617</v>
      </c>
      <c r="O949">
        <v>14801.8</v>
      </c>
      <c r="P949">
        <v>3700.32</v>
      </c>
      <c r="Q949" t="s">
        <v>37</v>
      </c>
      <c r="R949" t="s">
        <v>51</v>
      </c>
      <c r="S949" t="s">
        <v>527</v>
      </c>
      <c r="T949" t="s">
        <v>528</v>
      </c>
    </row>
    <row r="950" spans="1:20" x14ac:dyDescent="0.25">
      <c r="A950" t="s">
        <v>3007</v>
      </c>
      <c r="B950" t="str">
        <f>"7086"</f>
        <v>7086</v>
      </c>
      <c r="C950" t="str">
        <f>"280627086"</f>
        <v>280627086</v>
      </c>
      <c r="D950" t="s">
        <v>3008</v>
      </c>
      <c r="E950" t="s">
        <v>1453</v>
      </c>
      <c r="F950" t="s">
        <v>165</v>
      </c>
      <c r="G950" s="1">
        <v>22420</v>
      </c>
      <c r="H950" s="1">
        <v>41453</v>
      </c>
      <c r="I950" t="str">
        <f>"52"</f>
        <v>52</v>
      </c>
      <c r="J950" t="s">
        <v>330</v>
      </c>
      <c r="K950" t="s">
        <v>25</v>
      </c>
      <c r="L950" t="s">
        <v>26</v>
      </c>
      <c r="M950" t="s">
        <v>27</v>
      </c>
      <c r="N950" s="1">
        <v>18629</v>
      </c>
      <c r="O950">
        <v>0</v>
      </c>
      <c r="P950">
        <v>0</v>
      </c>
      <c r="Q950" t="s">
        <v>28</v>
      </c>
      <c r="R950" t="s">
        <v>29</v>
      </c>
      <c r="S950" t="s">
        <v>331</v>
      </c>
      <c r="T950" t="s">
        <v>332</v>
      </c>
    </row>
    <row r="951" spans="1:20" x14ac:dyDescent="0.25">
      <c r="A951" t="s">
        <v>3009</v>
      </c>
      <c r="B951" t="str">
        <f>"7031"</f>
        <v>7031</v>
      </c>
      <c r="C951" t="str">
        <f>"182567031"</f>
        <v>182567031</v>
      </c>
      <c r="D951" t="s">
        <v>3010</v>
      </c>
      <c r="E951" t="s">
        <v>1453</v>
      </c>
      <c r="F951" t="s">
        <v>37</v>
      </c>
      <c r="G951" s="1">
        <v>25472</v>
      </c>
      <c r="H951" s="1">
        <v>41449</v>
      </c>
      <c r="I951" t="str">
        <f>"41"</f>
        <v>41</v>
      </c>
      <c r="J951" t="s">
        <v>24</v>
      </c>
      <c r="K951" t="s">
        <v>25</v>
      </c>
      <c r="L951" t="s">
        <v>26</v>
      </c>
      <c r="M951" t="s">
        <v>27</v>
      </c>
      <c r="N951" s="1">
        <v>18629</v>
      </c>
      <c r="O951">
        <v>0</v>
      </c>
      <c r="P951">
        <v>0</v>
      </c>
      <c r="Q951" t="s">
        <v>28</v>
      </c>
      <c r="R951" t="s">
        <v>29</v>
      </c>
      <c r="S951" t="s">
        <v>615</v>
      </c>
      <c r="T951" t="s">
        <v>616</v>
      </c>
    </row>
    <row r="952" spans="1:20" x14ac:dyDescent="0.25">
      <c r="A952" t="s">
        <v>3011</v>
      </c>
      <c r="B952" t="str">
        <f>"2866"</f>
        <v>2866</v>
      </c>
      <c r="C952" t="str">
        <f>"218962866"</f>
        <v>218962866</v>
      </c>
      <c r="D952" t="s">
        <v>3012</v>
      </c>
      <c r="E952" t="s">
        <v>3013</v>
      </c>
      <c r="F952" t="s">
        <v>239</v>
      </c>
      <c r="G952" s="1">
        <v>24223</v>
      </c>
      <c r="H952" s="1">
        <v>41449</v>
      </c>
      <c r="I952" t="str">
        <f>"33"</f>
        <v>33</v>
      </c>
      <c r="J952" t="s">
        <v>45</v>
      </c>
      <c r="K952" t="s">
        <v>25</v>
      </c>
      <c r="L952" t="s">
        <v>26</v>
      </c>
      <c r="M952" t="s">
        <v>27</v>
      </c>
      <c r="N952" s="1">
        <v>18629</v>
      </c>
      <c r="O952">
        <v>0</v>
      </c>
      <c r="P952">
        <v>0</v>
      </c>
      <c r="Q952" t="s">
        <v>28</v>
      </c>
      <c r="R952" t="s">
        <v>51</v>
      </c>
      <c r="S952" t="s">
        <v>1828</v>
      </c>
      <c r="T952" t="s">
        <v>1829</v>
      </c>
    </row>
    <row r="953" spans="1:20" x14ac:dyDescent="0.25">
      <c r="A953" t="s">
        <v>3014</v>
      </c>
      <c r="B953" t="str">
        <f>"2550"</f>
        <v>2550</v>
      </c>
      <c r="C953" t="str">
        <f>"274422550"</f>
        <v>274422550</v>
      </c>
      <c r="D953" t="s">
        <v>3015</v>
      </c>
      <c r="E953" t="s">
        <v>877</v>
      </c>
      <c r="G953" s="1">
        <v>19756</v>
      </c>
      <c r="H953" s="1">
        <v>41449</v>
      </c>
      <c r="I953" t="str">
        <f>"50"</f>
        <v>50</v>
      </c>
      <c r="J953" t="s">
        <v>208</v>
      </c>
      <c r="K953" t="s">
        <v>25</v>
      </c>
      <c r="L953" t="s">
        <v>26</v>
      </c>
      <c r="M953" t="s">
        <v>27</v>
      </c>
      <c r="N953" s="1">
        <v>18629</v>
      </c>
      <c r="O953">
        <v>0</v>
      </c>
      <c r="P953">
        <v>0</v>
      </c>
      <c r="Q953" t="s">
        <v>37</v>
      </c>
      <c r="R953" t="s">
        <v>51</v>
      </c>
      <c r="S953" s="2" t="s">
        <v>198</v>
      </c>
      <c r="T953" t="s">
        <v>199</v>
      </c>
    </row>
    <row r="954" spans="1:20" x14ac:dyDescent="0.25">
      <c r="A954" t="s">
        <v>3016</v>
      </c>
      <c r="B954" t="str">
        <f>"2217"</f>
        <v>2217</v>
      </c>
      <c r="C954" t="str">
        <f>"321542217"</f>
        <v>321542217</v>
      </c>
      <c r="D954" t="s">
        <v>2702</v>
      </c>
      <c r="E954" t="s">
        <v>2290</v>
      </c>
      <c r="F954" t="s">
        <v>470</v>
      </c>
      <c r="G954" s="1">
        <v>21116</v>
      </c>
      <c r="H954" s="1">
        <v>41449</v>
      </c>
      <c r="I954" t="str">
        <f>"01"</f>
        <v>01</v>
      </c>
      <c r="J954" t="s">
        <v>116</v>
      </c>
      <c r="K954" t="s">
        <v>98</v>
      </c>
      <c r="L954" t="s">
        <v>37</v>
      </c>
      <c r="M954" t="s">
        <v>117</v>
      </c>
      <c r="N954" s="1">
        <v>41617</v>
      </c>
      <c r="O954">
        <v>4951.96</v>
      </c>
      <c r="P954">
        <v>1237.8599999999999</v>
      </c>
      <c r="Q954" t="s">
        <v>28</v>
      </c>
      <c r="R954" t="s">
        <v>258</v>
      </c>
      <c r="S954" t="s">
        <v>3017</v>
      </c>
      <c r="T954" t="s">
        <v>3018</v>
      </c>
    </row>
    <row r="955" spans="1:20" x14ac:dyDescent="0.25">
      <c r="A955" t="s">
        <v>3019</v>
      </c>
      <c r="B955" t="str">
        <f>"0388"</f>
        <v>0388</v>
      </c>
      <c r="C955" t="str">
        <f>"271840388"</f>
        <v>271840388</v>
      </c>
      <c r="D955" t="s">
        <v>3020</v>
      </c>
      <c r="E955" t="s">
        <v>3021</v>
      </c>
      <c r="F955" t="s">
        <v>264</v>
      </c>
      <c r="G955" s="1">
        <v>30812</v>
      </c>
      <c r="H955" s="1">
        <v>41449</v>
      </c>
      <c r="I955" t="str">
        <f>"12"</f>
        <v>12</v>
      </c>
      <c r="J955" t="s">
        <v>245</v>
      </c>
      <c r="K955" t="s">
        <v>98</v>
      </c>
      <c r="L955" t="s">
        <v>37</v>
      </c>
      <c r="M955" t="s">
        <v>117</v>
      </c>
      <c r="N955" s="1">
        <v>41617</v>
      </c>
      <c r="O955">
        <v>4951.96</v>
      </c>
      <c r="P955">
        <v>1237.8599999999999</v>
      </c>
      <c r="Q955" t="s">
        <v>37</v>
      </c>
      <c r="R955" t="s">
        <v>29</v>
      </c>
      <c r="S955" t="s">
        <v>240</v>
      </c>
      <c r="T955" t="s">
        <v>241</v>
      </c>
    </row>
    <row r="956" spans="1:20" x14ac:dyDescent="0.25">
      <c r="A956" t="s">
        <v>3022</v>
      </c>
      <c r="B956" t="str">
        <f>"0476"</f>
        <v>0476</v>
      </c>
      <c r="C956" t="str">
        <f>"289860476"</f>
        <v>289860476</v>
      </c>
      <c r="D956" t="s">
        <v>3023</v>
      </c>
      <c r="E956" t="s">
        <v>812</v>
      </c>
      <c r="F956" t="s">
        <v>219</v>
      </c>
      <c r="G956" s="1">
        <v>29763</v>
      </c>
      <c r="H956" s="1">
        <v>41449</v>
      </c>
      <c r="I956" t="str">
        <f>"50"</f>
        <v>50</v>
      </c>
      <c r="J956" t="s">
        <v>208</v>
      </c>
      <c r="K956" t="s">
        <v>25</v>
      </c>
      <c r="L956" t="s">
        <v>26</v>
      </c>
      <c r="M956" t="s">
        <v>27</v>
      </c>
      <c r="N956" s="1">
        <v>18629</v>
      </c>
      <c r="O956">
        <v>0</v>
      </c>
      <c r="P956">
        <v>0</v>
      </c>
      <c r="Q956" t="s">
        <v>37</v>
      </c>
      <c r="R956" t="s">
        <v>29</v>
      </c>
      <c r="S956" t="s">
        <v>240</v>
      </c>
      <c r="T956" t="s">
        <v>241</v>
      </c>
    </row>
    <row r="957" spans="1:20" x14ac:dyDescent="0.25">
      <c r="A957" t="s">
        <v>3024</v>
      </c>
      <c r="B957" t="str">
        <f>"6682"</f>
        <v>6682</v>
      </c>
      <c r="C957" t="str">
        <f>"292446682"</f>
        <v>292446682</v>
      </c>
      <c r="D957" t="s">
        <v>1381</v>
      </c>
      <c r="E957" t="s">
        <v>430</v>
      </c>
      <c r="F957" t="s">
        <v>282</v>
      </c>
      <c r="G957" s="1">
        <v>21772</v>
      </c>
      <c r="H957" s="1">
        <v>41443</v>
      </c>
      <c r="I957" t="str">
        <f>"53"</f>
        <v>53</v>
      </c>
      <c r="J957" t="s">
        <v>917</v>
      </c>
      <c r="K957" t="s">
        <v>25</v>
      </c>
      <c r="L957" t="s">
        <v>26</v>
      </c>
      <c r="M957" t="s">
        <v>27</v>
      </c>
      <c r="N957" s="1">
        <v>18629</v>
      </c>
      <c r="O957">
        <v>0</v>
      </c>
      <c r="P957">
        <v>0</v>
      </c>
      <c r="Q957" t="s">
        <v>28</v>
      </c>
      <c r="R957" t="s">
        <v>312</v>
      </c>
      <c r="S957" t="s">
        <v>1937</v>
      </c>
      <c r="T957" t="s">
        <v>951</v>
      </c>
    </row>
    <row r="958" spans="1:20" x14ac:dyDescent="0.25">
      <c r="A958" t="s">
        <v>3025</v>
      </c>
      <c r="B958" t="str">
        <f>"0423"</f>
        <v>0423</v>
      </c>
      <c r="C958" t="str">
        <f>"276960423"</f>
        <v>276960423</v>
      </c>
      <c r="D958" t="s">
        <v>3026</v>
      </c>
      <c r="E958" t="s">
        <v>466</v>
      </c>
      <c r="F958" t="s">
        <v>704</v>
      </c>
      <c r="G958" s="1">
        <v>34029</v>
      </c>
      <c r="H958" s="1">
        <v>41442</v>
      </c>
      <c r="I958" t="str">
        <f t="shared" ref="I958:I965" si="18">"34"</f>
        <v>34</v>
      </c>
      <c r="J958" t="s">
        <v>388</v>
      </c>
      <c r="K958" t="s">
        <v>25</v>
      </c>
      <c r="L958" t="s">
        <v>26</v>
      </c>
      <c r="M958" t="s">
        <v>27</v>
      </c>
      <c r="N958" s="1">
        <v>18629</v>
      </c>
      <c r="O958">
        <v>0</v>
      </c>
      <c r="P958">
        <v>0</v>
      </c>
      <c r="Q958" t="s">
        <v>28</v>
      </c>
      <c r="R958" t="s">
        <v>29</v>
      </c>
      <c r="S958" t="s">
        <v>615</v>
      </c>
      <c r="T958" t="s">
        <v>616</v>
      </c>
    </row>
    <row r="959" spans="1:20" x14ac:dyDescent="0.25">
      <c r="A959" t="s">
        <v>3027</v>
      </c>
      <c r="B959" t="str">
        <f>"0448"</f>
        <v>0448</v>
      </c>
      <c r="C959" t="str">
        <f>"292020448"</f>
        <v>292020448</v>
      </c>
      <c r="D959" t="s">
        <v>398</v>
      </c>
      <c r="E959" t="s">
        <v>3028</v>
      </c>
      <c r="F959" t="s">
        <v>3029</v>
      </c>
      <c r="G959" s="1">
        <v>35657</v>
      </c>
      <c r="H959" s="1">
        <v>41442</v>
      </c>
      <c r="I959" t="str">
        <f t="shared" si="18"/>
        <v>34</v>
      </c>
      <c r="J959" t="s">
        <v>388</v>
      </c>
      <c r="K959" t="s">
        <v>25</v>
      </c>
      <c r="L959" t="s">
        <v>26</v>
      </c>
      <c r="M959" t="s">
        <v>27</v>
      </c>
      <c r="N959" s="1">
        <v>18629</v>
      </c>
      <c r="O959">
        <v>0</v>
      </c>
      <c r="P959">
        <v>0</v>
      </c>
      <c r="Q959" t="s">
        <v>28</v>
      </c>
      <c r="R959" t="s">
        <v>29</v>
      </c>
      <c r="S959" t="s">
        <v>615</v>
      </c>
      <c r="T959" t="s">
        <v>616</v>
      </c>
    </row>
    <row r="960" spans="1:20" x14ac:dyDescent="0.25">
      <c r="A960" t="s">
        <v>3030</v>
      </c>
      <c r="B960" t="str">
        <f>"4691"</f>
        <v>4691</v>
      </c>
      <c r="C960" t="str">
        <f>"289024691"</f>
        <v>289024691</v>
      </c>
      <c r="D960" t="s">
        <v>2238</v>
      </c>
      <c r="E960" t="s">
        <v>3031</v>
      </c>
      <c r="F960" t="s">
        <v>3032</v>
      </c>
      <c r="G960" s="1">
        <v>35753</v>
      </c>
      <c r="H960" s="1">
        <v>41442</v>
      </c>
      <c r="I960" t="str">
        <f t="shared" si="18"/>
        <v>34</v>
      </c>
      <c r="J960" t="s">
        <v>388</v>
      </c>
      <c r="K960" t="s">
        <v>25</v>
      </c>
      <c r="L960" t="s">
        <v>26</v>
      </c>
      <c r="M960" t="s">
        <v>27</v>
      </c>
      <c r="N960" s="1">
        <v>18629</v>
      </c>
      <c r="O960">
        <v>0</v>
      </c>
      <c r="P960">
        <v>0</v>
      </c>
      <c r="Q960" t="s">
        <v>28</v>
      </c>
      <c r="R960" t="s">
        <v>29</v>
      </c>
      <c r="S960" t="s">
        <v>615</v>
      </c>
      <c r="T960" t="s">
        <v>616</v>
      </c>
    </row>
    <row r="961" spans="1:20" x14ac:dyDescent="0.25">
      <c r="A961" t="s">
        <v>3033</v>
      </c>
      <c r="B961" t="str">
        <f>"6189"</f>
        <v>6189</v>
      </c>
      <c r="C961" t="str">
        <f>"275986189"</f>
        <v>275986189</v>
      </c>
      <c r="D961" t="s">
        <v>3034</v>
      </c>
      <c r="E961" t="s">
        <v>3035</v>
      </c>
      <c r="F961" t="s">
        <v>1372</v>
      </c>
      <c r="G961" s="1">
        <v>34806</v>
      </c>
      <c r="H961" s="1">
        <v>41442</v>
      </c>
      <c r="I961" t="str">
        <f t="shared" si="18"/>
        <v>34</v>
      </c>
      <c r="J961" t="s">
        <v>388</v>
      </c>
      <c r="K961" t="s">
        <v>25</v>
      </c>
      <c r="L961" t="s">
        <v>26</v>
      </c>
      <c r="M961" t="s">
        <v>27</v>
      </c>
      <c r="N961" s="1">
        <v>18629</v>
      </c>
      <c r="O961">
        <v>0</v>
      </c>
      <c r="P961">
        <v>0</v>
      </c>
      <c r="Q961" t="s">
        <v>37</v>
      </c>
      <c r="R961" t="s">
        <v>29</v>
      </c>
      <c r="S961" t="s">
        <v>615</v>
      </c>
      <c r="T961" t="s">
        <v>616</v>
      </c>
    </row>
    <row r="962" spans="1:20" x14ac:dyDescent="0.25">
      <c r="A962" t="s">
        <v>3036</v>
      </c>
      <c r="B962" t="str">
        <f>"3988"</f>
        <v>3988</v>
      </c>
      <c r="C962" t="str">
        <f>"273943988"</f>
        <v>273943988</v>
      </c>
      <c r="D962" t="s">
        <v>3037</v>
      </c>
      <c r="E962" t="s">
        <v>3038</v>
      </c>
      <c r="F962" t="s">
        <v>165</v>
      </c>
      <c r="G962" s="1">
        <v>33471</v>
      </c>
      <c r="H962" s="1">
        <v>41442</v>
      </c>
      <c r="I962" t="str">
        <f t="shared" si="18"/>
        <v>34</v>
      </c>
      <c r="J962" t="s">
        <v>388</v>
      </c>
      <c r="K962" t="s">
        <v>25</v>
      </c>
      <c r="L962" t="s">
        <v>26</v>
      </c>
      <c r="M962" t="s">
        <v>27</v>
      </c>
      <c r="N962" s="1">
        <v>18629</v>
      </c>
      <c r="O962">
        <v>0</v>
      </c>
      <c r="P962">
        <v>0</v>
      </c>
      <c r="Q962" t="s">
        <v>28</v>
      </c>
      <c r="R962" t="s">
        <v>29</v>
      </c>
      <c r="S962" t="s">
        <v>615</v>
      </c>
      <c r="T962" t="s">
        <v>616</v>
      </c>
    </row>
    <row r="963" spans="1:20" x14ac:dyDescent="0.25">
      <c r="A963" t="s">
        <v>3039</v>
      </c>
      <c r="B963" t="str">
        <f>"1731"</f>
        <v>1731</v>
      </c>
      <c r="C963" t="str">
        <f>"297981731"</f>
        <v>297981731</v>
      </c>
      <c r="D963" t="s">
        <v>773</v>
      </c>
      <c r="E963" t="s">
        <v>3040</v>
      </c>
      <c r="F963" t="s">
        <v>3041</v>
      </c>
      <c r="G963" s="1">
        <v>35215</v>
      </c>
      <c r="H963" s="1">
        <v>41442</v>
      </c>
      <c r="I963" t="str">
        <f t="shared" si="18"/>
        <v>34</v>
      </c>
      <c r="J963" t="s">
        <v>388</v>
      </c>
      <c r="K963" t="s">
        <v>25</v>
      </c>
      <c r="L963" t="s">
        <v>26</v>
      </c>
      <c r="M963" t="s">
        <v>27</v>
      </c>
      <c r="N963" s="1">
        <v>18629</v>
      </c>
      <c r="O963">
        <v>0</v>
      </c>
      <c r="P963">
        <v>0</v>
      </c>
      <c r="Q963" t="s">
        <v>37</v>
      </c>
      <c r="R963" t="s">
        <v>29</v>
      </c>
      <c r="S963" t="s">
        <v>615</v>
      </c>
      <c r="T963" t="s">
        <v>616</v>
      </c>
    </row>
    <row r="964" spans="1:20" x14ac:dyDescent="0.25">
      <c r="A964" t="s">
        <v>3042</v>
      </c>
      <c r="B964" t="str">
        <f>"3993"</f>
        <v>3993</v>
      </c>
      <c r="C964" t="str">
        <f>"273023993"</f>
        <v>273023993</v>
      </c>
      <c r="D964" t="s">
        <v>3043</v>
      </c>
      <c r="E964" t="s">
        <v>3044</v>
      </c>
      <c r="F964" t="s">
        <v>3045</v>
      </c>
      <c r="G964" s="1">
        <v>35418</v>
      </c>
      <c r="H964" s="1">
        <v>41442</v>
      </c>
      <c r="I964" t="str">
        <f t="shared" si="18"/>
        <v>34</v>
      </c>
      <c r="J964" t="s">
        <v>388</v>
      </c>
      <c r="K964" t="s">
        <v>25</v>
      </c>
      <c r="L964" t="s">
        <v>26</v>
      </c>
      <c r="M964" t="s">
        <v>27</v>
      </c>
      <c r="N964" s="1">
        <v>18629</v>
      </c>
      <c r="O964">
        <v>0</v>
      </c>
      <c r="P964">
        <v>0</v>
      </c>
      <c r="Q964" t="s">
        <v>37</v>
      </c>
      <c r="R964" t="s">
        <v>29</v>
      </c>
      <c r="S964" t="s">
        <v>615</v>
      </c>
      <c r="T964" t="s">
        <v>616</v>
      </c>
    </row>
    <row r="965" spans="1:20" x14ac:dyDescent="0.25">
      <c r="A965" t="s">
        <v>3046</v>
      </c>
      <c r="B965" t="str">
        <f>"5083"</f>
        <v>5083</v>
      </c>
      <c r="C965" t="str">
        <f>"274965083"</f>
        <v>274965083</v>
      </c>
      <c r="D965" t="s">
        <v>753</v>
      </c>
      <c r="E965" t="s">
        <v>3047</v>
      </c>
      <c r="F965" t="s">
        <v>264</v>
      </c>
      <c r="G965" s="1">
        <v>34075</v>
      </c>
      <c r="H965" s="1">
        <v>41442</v>
      </c>
      <c r="I965" t="str">
        <f t="shared" si="18"/>
        <v>34</v>
      </c>
      <c r="J965" t="s">
        <v>388</v>
      </c>
      <c r="K965" t="s">
        <v>25</v>
      </c>
      <c r="L965" t="s">
        <v>26</v>
      </c>
      <c r="M965" t="s">
        <v>27</v>
      </c>
      <c r="N965" s="1">
        <v>18629</v>
      </c>
      <c r="O965">
        <v>0</v>
      </c>
      <c r="P965">
        <v>0</v>
      </c>
      <c r="Q965" t="s">
        <v>28</v>
      </c>
      <c r="R965" t="s">
        <v>29</v>
      </c>
      <c r="S965" t="s">
        <v>615</v>
      </c>
      <c r="T965" t="s">
        <v>616</v>
      </c>
    </row>
    <row r="966" spans="1:20" x14ac:dyDescent="0.25">
      <c r="A966" t="s">
        <v>3048</v>
      </c>
      <c r="B966" t="str">
        <f>"8363"</f>
        <v>8363</v>
      </c>
      <c r="C966" t="str">
        <f>"230158363"</f>
        <v>230158363</v>
      </c>
      <c r="D966" t="s">
        <v>3049</v>
      </c>
      <c r="E966" t="s">
        <v>3050</v>
      </c>
      <c r="G966" s="1">
        <v>23510</v>
      </c>
      <c r="H966" s="1">
        <v>41442</v>
      </c>
      <c r="I966" t="str">
        <f>"51"</f>
        <v>51</v>
      </c>
      <c r="J966" t="s">
        <v>471</v>
      </c>
      <c r="K966" t="s">
        <v>25</v>
      </c>
      <c r="L966" t="s">
        <v>26</v>
      </c>
      <c r="M966" t="s">
        <v>27</v>
      </c>
      <c r="N966" s="1">
        <v>18629</v>
      </c>
      <c r="O966">
        <v>0</v>
      </c>
      <c r="P966">
        <v>0</v>
      </c>
      <c r="Q966" t="s">
        <v>28</v>
      </c>
      <c r="R966" t="s">
        <v>29</v>
      </c>
      <c r="S966" t="s">
        <v>960</v>
      </c>
      <c r="T966" t="s">
        <v>314</v>
      </c>
    </row>
    <row r="967" spans="1:20" x14ac:dyDescent="0.25">
      <c r="A967" t="s">
        <v>3051</v>
      </c>
      <c r="B967" t="str">
        <f>"6178"</f>
        <v>6178</v>
      </c>
      <c r="C967" t="str">
        <f>"290986178"</f>
        <v>290986178</v>
      </c>
      <c r="D967" t="s">
        <v>860</v>
      </c>
      <c r="E967" t="s">
        <v>3052</v>
      </c>
      <c r="F967" t="s">
        <v>3053</v>
      </c>
      <c r="G967" s="1">
        <v>35101</v>
      </c>
      <c r="H967" s="1">
        <v>41442</v>
      </c>
      <c r="I967" t="str">
        <f t="shared" ref="I967:I972" si="19">"34"</f>
        <v>34</v>
      </c>
      <c r="J967" t="s">
        <v>388</v>
      </c>
      <c r="K967" t="s">
        <v>25</v>
      </c>
      <c r="L967" t="s">
        <v>26</v>
      </c>
      <c r="M967" t="s">
        <v>27</v>
      </c>
      <c r="N967" s="1">
        <v>18629</v>
      </c>
      <c r="O967">
        <v>0</v>
      </c>
      <c r="P967">
        <v>0</v>
      </c>
      <c r="Q967" t="s">
        <v>28</v>
      </c>
      <c r="R967" t="s">
        <v>29</v>
      </c>
      <c r="S967" t="s">
        <v>615</v>
      </c>
      <c r="T967" t="s">
        <v>616</v>
      </c>
    </row>
    <row r="968" spans="1:20" x14ac:dyDescent="0.25">
      <c r="A968" t="s">
        <v>3054</v>
      </c>
      <c r="B968" t="str">
        <f>"7271"</f>
        <v>7271</v>
      </c>
      <c r="C968" t="str">
        <f>"272987271"</f>
        <v>272987271</v>
      </c>
      <c r="D968" t="s">
        <v>866</v>
      </c>
      <c r="E968" t="s">
        <v>3055</v>
      </c>
      <c r="F968" t="s">
        <v>3056</v>
      </c>
      <c r="G968" s="1">
        <v>34727</v>
      </c>
      <c r="H968" s="1">
        <v>41442</v>
      </c>
      <c r="I968" t="str">
        <f t="shared" si="19"/>
        <v>34</v>
      </c>
      <c r="J968" t="s">
        <v>388</v>
      </c>
      <c r="K968" t="s">
        <v>25</v>
      </c>
      <c r="L968" t="s">
        <v>26</v>
      </c>
      <c r="M968" t="s">
        <v>27</v>
      </c>
      <c r="N968" s="1">
        <v>18629</v>
      </c>
      <c r="O968">
        <v>0</v>
      </c>
      <c r="P968">
        <v>0</v>
      </c>
      <c r="Q968" t="s">
        <v>28</v>
      </c>
      <c r="R968" t="s">
        <v>29</v>
      </c>
      <c r="S968" t="s">
        <v>615</v>
      </c>
      <c r="T968" t="s">
        <v>616</v>
      </c>
    </row>
    <row r="969" spans="1:20" x14ac:dyDescent="0.25">
      <c r="A969" t="s">
        <v>3057</v>
      </c>
      <c r="B969" t="str">
        <f>"7533"</f>
        <v>7533</v>
      </c>
      <c r="C969" t="str">
        <f>"269987533"</f>
        <v>269987533</v>
      </c>
      <c r="D969" t="s">
        <v>3058</v>
      </c>
      <c r="E969" t="s">
        <v>3059</v>
      </c>
      <c r="F969" t="s">
        <v>3060</v>
      </c>
      <c r="G969" s="1">
        <v>34526</v>
      </c>
      <c r="H969" s="1">
        <v>41442</v>
      </c>
      <c r="I969" t="str">
        <f t="shared" si="19"/>
        <v>34</v>
      </c>
      <c r="J969" t="s">
        <v>388</v>
      </c>
      <c r="K969" t="s">
        <v>25</v>
      </c>
      <c r="L969" t="s">
        <v>26</v>
      </c>
      <c r="M969" t="s">
        <v>27</v>
      </c>
      <c r="N969" s="1">
        <v>18629</v>
      </c>
      <c r="O969">
        <v>0</v>
      </c>
      <c r="P969">
        <v>0</v>
      </c>
      <c r="Q969" t="s">
        <v>28</v>
      </c>
      <c r="R969" t="s">
        <v>29</v>
      </c>
      <c r="S969" t="s">
        <v>615</v>
      </c>
      <c r="T969" t="s">
        <v>616</v>
      </c>
    </row>
    <row r="970" spans="1:20" x14ac:dyDescent="0.25">
      <c r="A970" t="s">
        <v>3061</v>
      </c>
      <c r="B970" t="str">
        <f>"0173"</f>
        <v>0173</v>
      </c>
      <c r="C970" t="str">
        <f>"300980173"</f>
        <v>300980173</v>
      </c>
      <c r="D970" t="s">
        <v>3062</v>
      </c>
      <c r="E970" t="s">
        <v>3063</v>
      </c>
      <c r="F970" t="s">
        <v>3064</v>
      </c>
      <c r="G970" s="1">
        <v>35239</v>
      </c>
      <c r="H970" s="1">
        <v>41442</v>
      </c>
      <c r="I970" t="str">
        <f t="shared" si="19"/>
        <v>34</v>
      </c>
      <c r="J970" t="s">
        <v>388</v>
      </c>
      <c r="K970" t="s">
        <v>25</v>
      </c>
      <c r="L970" t="s">
        <v>26</v>
      </c>
      <c r="M970" t="s">
        <v>27</v>
      </c>
      <c r="N970" s="1">
        <v>18629</v>
      </c>
      <c r="O970">
        <v>0</v>
      </c>
      <c r="P970">
        <v>0</v>
      </c>
      <c r="Q970" t="s">
        <v>37</v>
      </c>
      <c r="R970" t="s">
        <v>29</v>
      </c>
      <c r="S970" t="s">
        <v>615</v>
      </c>
      <c r="T970" t="s">
        <v>616</v>
      </c>
    </row>
    <row r="971" spans="1:20" x14ac:dyDescent="0.25">
      <c r="A971" t="s">
        <v>3065</v>
      </c>
      <c r="B971" t="str">
        <f>"6947"</f>
        <v>6947</v>
      </c>
      <c r="C971" t="str">
        <f>"269986947"</f>
        <v>269986947</v>
      </c>
      <c r="D971" t="s">
        <v>3066</v>
      </c>
      <c r="E971" t="s">
        <v>3067</v>
      </c>
      <c r="F971" t="s">
        <v>97</v>
      </c>
      <c r="G971" s="1">
        <v>34532</v>
      </c>
      <c r="H971" s="1">
        <v>41442</v>
      </c>
      <c r="I971" t="str">
        <f t="shared" si="19"/>
        <v>34</v>
      </c>
      <c r="J971" t="s">
        <v>388</v>
      </c>
      <c r="K971" t="s">
        <v>25</v>
      </c>
      <c r="L971" t="s">
        <v>26</v>
      </c>
      <c r="M971" t="s">
        <v>27</v>
      </c>
      <c r="N971" s="1">
        <v>18629</v>
      </c>
      <c r="O971">
        <v>0</v>
      </c>
      <c r="P971">
        <v>0</v>
      </c>
      <c r="Q971" t="s">
        <v>28</v>
      </c>
      <c r="R971" t="s">
        <v>29</v>
      </c>
      <c r="S971" t="s">
        <v>615</v>
      </c>
      <c r="T971" t="s">
        <v>616</v>
      </c>
    </row>
    <row r="972" spans="1:20" x14ac:dyDescent="0.25">
      <c r="A972" t="s">
        <v>3068</v>
      </c>
      <c r="B972" t="str">
        <f>"4241"</f>
        <v>4241</v>
      </c>
      <c r="C972" t="str">
        <f>"276084241"</f>
        <v>276084241</v>
      </c>
      <c r="D972" t="s">
        <v>3069</v>
      </c>
      <c r="E972" t="s">
        <v>3070</v>
      </c>
      <c r="F972" t="s">
        <v>44</v>
      </c>
      <c r="G972" s="1">
        <v>33913</v>
      </c>
      <c r="H972" s="1">
        <v>41442</v>
      </c>
      <c r="I972" t="str">
        <f t="shared" si="19"/>
        <v>34</v>
      </c>
      <c r="J972" t="s">
        <v>388</v>
      </c>
      <c r="K972" t="s">
        <v>25</v>
      </c>
      <c r="L972" t="s">
        <v>26</v>
      </c>
      <c r="M972" t="s">
        <v>27</v>
      </c>
      <c r="N972" s="1">
        <v>18629</v>
      </c>
      <c r="O972">
        <v>0</v>
      </c>
      <c r="P972">
        <v>0</v>
      </c>
      <c r="Q972" t="s">
        <v>28</v>
      </c>
      <c r="R972" t="s">
        <v>258</v>
      </c>
      <c r="S972" t="s">
        <v>615</v>
      </c>
      <c r="T972" t="s">
        <v>616</v>
      </c>
    </row>
    <row r="973" spans="1:20" x14ac:dyDescent="0.25">
      <c r="A973" t="s">
        <v>3071</v>
      </c>
      <c r="B973" t="str">
        <f>"8035"</f>
        <v>8035</v>
      </c>
      <c r="C973" t="str">
        <f>"052648035"</f>
        <v>052648035</v>
      </c>
      <c r="D973" t="s">
        <v>3072</v>
      </c>
      <c r="E973" t="s">
        <v>3073</v>
      </c>
      <c r="G973" s="1">
        <v>28367</v>
      </c>
      <c r="H973" s="1">
        <v>41440</v>
      </c>
      <c r="I973" t="str">
        <f>"53"</f>
        <v>53</v>
      </c>
      <c r="J973" t="s">
        <v>917</v>
      </c>
      <c r="K973" t="s">
        <v>25</v>
      </c>
      <c r="L973" t="s">
        <v>26</v>
      </c>
      <c r="M973" t="s">
        <v>27</v>
      </c>
      <c r="N973" s="1">
        <v>18629</v>
      </c>
      <c r="O973">
        <v>0</v>
      </c>
      <c r="P973">
        <v>0</v>
      </c>
      <c r="Q973" t="s">
        <v>37</v>
      </c>
      <c r="R973" t="s">
        <v>312</v>
      </c>
      <c r="S973" t="s">
        <v>1937</v>
      </c>
      <c r="T973" t="s">
        <v>951</v>
      </c>
    </row>
    <row r="974" spans="1:20" x14ac:dyDescent="0.25">
      <c r="A974" t="s">
        <v>3074</v>
      </c>
      <c r="B974" t="str">
        <f>"0823"</f>
        <v>0823</v>
      </c>
      <c r="C974" t="str">
        <f>"294620823"</f>
        <v>294620823</v>
      </c>
      <c r="D974" t="s">
        <v>3075</v>
      </c>
      <c r="E974" t="s">
        <v>1453</v>
      </c>
      <c r="F974" t="s">
        <v>93</v>
      </c>
      <c r="G974" s="1">
        <v>21333</v>
      </c>
      <c r="H974" s="1">
        <v>41439</v>
      </c>
      <c r="I974" t="str">
        <f>"51"</f>
        <v>51</v>
      </c>
      <c r="J974" t="s">
        <v>471</v>
      </c>
      <c r="K974" t="s">
        <v>25</v>
      </c>
      <c r="L974" t="s">
        <v>26</v>
      </c>
      <c r="M974" t="s">
        <v>27</v>
      </c>
      <c r="N974" s="1">
        <v>18629</v>
      </c>
      <c r="O974">
        <v>0</v>
      </c>
      <c r="P974">
        <v>0</v>
      </c>
      <c r="Q974" t="s">
        <v>28</v>
      </c>
      <c r="R974" t="s">
        <v>258</v>
      </c>
      <c r="S974" t="s">
        <v>960</v>
      </c>
      <c r="T974" t="s">
        <v>314</v>
      </c>
    </row>
    <row r="975" spans="1:20" x14ac:dyDescent="0.25">
      <c r="A975" t="s">
        <v>3076</v>
      </c>
      <c r="B975" t="str">
        <f>"6505"</f>
        <v>6505</v>
      </c>
      <c r="C975" t="str">
        <f>"440706505"</f>
        <v>440706505</v>
      </c>
      <c r="D975" t="s">
        <v>2305</v>
      </c>
      <c r="E975" t="s">
        <v>3077</v>
      </c>
      <c r="F975" t="s">
        <v>28</v>
      </c>
      <c r="G975" s="1">
        <v>24363</v>
      </c>
      <c r="H975" s="1">
        <v>41437</v>
      </c>
      <c r="I975" t="str">
        <f>"51"</f>
        <v>51</v>
      </c>
      <c r="J975" t="s">
        <v>471</v>
      </c>
      <c r="K975" t="s">
        <v>25</v>
      </c>
      <c r="L975" t="s">
        <v>26</v>
      </c>
      <c r="M975" t="s">
        <v>27</v>
      </c>
      <c r="N975" s="1">
        <v>18629</v>
      </c>
      <c r="O975">
        <v>0</v>
      </c>
      <c r="P975">
        <v>0</v>
      </c>
      <c r="Q975" t="s">
        <v>37</v>
      </c>
      <c r="R975" t="s">
        <v>71</v>
      </c>
      <c r="S975" t="s">
        <v>166</v>
      </c>
      <c r="T975" t="s">
        <v>167</v>
      </c>
    </row>
    <row r="976" spans="1:20" x14ac:dyDescent="0.25">
      <c r="A976" t="s">
        <v>3078</v>
      </c>
      <c r="B976" t="str">
        <f>"2338"</f>
        <v>2338</v>
      </c>
      <c r="C976" t="str">
        <f>"283982338"</f>
        <v>283982338</v>
      </c>
      <c r="D976" t="s">
        <v>3079</v>
      </c>
      <c r="E976" t="s">
        <v>3080</v>
      </c>
      <c r="F976" t="s">
        <v>544</v>
      </c>
      <c r="G976" s="1">
        <v>34797</v>
      </c>
      <c r="H976" s="1">
        <v>41437</v>
      </c>
      <c r="I976" t="str">
        <f>"34"</f>
        <v>34</v>
      </c>
      <c r="J976" t="s">
        <v>388</v>
      </c>
      <c r="K976" t="s">
        <v>25</v>
      </c>
      <c r="L976" t="s">
        <v>26</v>
      </c>
      <c r="M976" t="s">
        <v>27</v>
      </c>
      <c r="N976" s="1">
        <v>18629</v>
      </c>
      <c r="O976">
        <v>0</v>
      </c>
      <c r="P976">
        <v>0</v>
      </c>
      <c r="Q976" t="s">
        <v>37</v>
      </c>
      <c r="R976" t="s">
        <v>29</v>
      </c>
      <c r="S976" t="s">
        <v>615</v>
      </c>
      <c r="T976" t="s">
        <v>616</v>
      </c>
    </row>
    <row r="977" spans="1:20" x14ac:dyDescent="0.25">
      <c r="A977" t="s">
        <v>3081</v>
      </c>
      <c r="B977" t="str">
        <f>"0666"</f>
        <v>0666</v>
      </c>
      <c r="C977" t="str">
        <f>"287980666"</f>
        <v>287980666</v>
      </c>
      <c r="D977" t="s">
        <v>3082</v>
      </c>
      <c r="E977" t="s">
        <v>3083</v>
      </c>
      <c r="F977" t="s">
        <v>28</v>
      </c>
      <c r="G977" s="1">
        <v>35005</v>
      </c>
      <c r="H977" s="1">
        <v>41437</v>
      </c>
      <c r="I977" t="str">
        <f>"34"</f>
        <v>34</v>
      </c>
      <c r="J977" t="s">
        <v>388</v>
      </c>
      <c r="K977" t="s">
        <v>25</v>
      </c>
      <c r="L977" t="s">
        <v>26</v>
      </c>
      <c r="M977" t="s">
        <v>27</v>
      </c>
      <c r="N977" s="1">
        <v>18629</v>
      </c>
      <c r="O977">
        <v>0</v>
      </c>
      <c r="P977">
        <v>0</v>
      </c>
      <c r="Q977" t="s">
        <v>37</v>
      </c>
      <c r="R977" t="s">
        <v>29</v>
      </c>
      <c r="S977" t="s">
        <v>615</v>
      </c>
      <c r="T977" t="s">
        <v>616</v>
      </c>
    </row>
    <row r="978" spans="1:20" x14ac:dyDescent="0.25">
      <c r="A978" t="s">
        <v>3084</v>
      </c>
      <c r="B978" t="str">
        <f>"4137"</f>
        <v>4137</v>
      </c>
      <c r="C978" t="str">
        <f>"287064137"</f>
        <v>287064137</v>
      </c>
      <c r="D978" t="s">
        <v>2684</v>
      </c>
      <c r="E978" t="s">
        <v>3085</v>
      </c>
      <c r="G978" s="1">
        <v>35394</v>
      </c>
      <c r="H978" s="1">
        <v>41437</v>
      </c>
      <c r="I978" t="str">
        <f>"34"</f>
        <v>34</v>
      </c>
      <c r="J978" t="s">
        <v>388</v>
      </c>
      <c r="K978" t="s">
        <v>25</v>
      </c>
      <c r="L978" t="s">
        <v>26</v>
      </c>
      <c r="M978" t="s">
        <v>27</v>
      </c>
      <c r="N978" s="1">
        <v>18629</v>
      </c>
      <c r="O978">
        <v>0</v>
      </c>
      <c r="P978">
        <v>0</v>
      </c>
      <c r="Q978" t="s">
        <v>28</v>
      </c>
      <c r="R978" t="s">
        <v>29</v>
      </c>
      <c r="S978" t="s">
        <v>615</v>
      </c>
      <c r="T978" t="s">
        <v>616</v>
      </c>
    </row>
    <row r="979" spans="1:20" x14ac:dyDescent="0.25">
      <c r="A979" t="s">
        <v>3086</v>
      </c>
      <c r="B979" t="str">
        <f>"9182"</f>
        <v>9182</v>
      </c>
      <c r="C979" t="str">
        <f>"323569182"</f>
        <v>323569182</v>
      </c>
      <c r="D979" t="s">
        <v>3087</v>
      </c>
      <c r="E979" t="s">
        <v>463</v>
      </c>
      <c r="F979" t="s">
        <v>35</v>
      </c>
      <c r="G979" s="1">
        <v>20280</v>
      </c>
      <c r="H979" s="1">
        <v>41435</v>
      </c>
      <c r="I979" t="str">
        <f>"03"</f>
        <v>03</v>
      </c>
      <c r="J979" t="s">
        <v>70</v>
      </c>
      <c r="K979" t="s">
        <v>98</v>
      </c>
      <c r="L979" t="s">
        <v>37</v>
      </c>
      <c r="M979" t="s">
        <v>117</v>
      </c>
      <c r="N979" s="1">
        <v>41617</v>
      </c>
      <c r="O979">
        <v>4951.96</v>
      </c>
      <c r="P979">
        <v>1237.8599999999999</v>
      </c>
      <c r="Q979" t="s">
        <v>28</v>
      </c>
      <c r="R979" t="s">
        <v>29</v>
      </c>
      <c r="S979" t="s">
        <v>605</v>
      </c>
      <c r="T979" t="s">
        <v>606</v>
      </c>
    </row>
    <row r="980" spans="1:20" x14ac:dyDescent="0.25">
      <c r="A980" t="s">
        <v>3088</v>
      </c>
      <c r="B980" t="str">
        <f>"7358"</f>
        <v>7358</v>
      </c>
      <c r="C980" t="str">
        <f>"268767358"</f>
        <v>268767358</v>
      </c>
      <c r="D980" t="s">
        <v>3089</v>
      </c>
      <c r="E980" t="s">
        <v>544</v>
      </c>
      <c r="G980" s="1">
        <v>29188</v>
      </c>
      <c r="H980" s="1">
        <v>41435</v>
      </c>
      <c r="I980" t="str">
        <f>"12"</f>
        <v>12</v>
      </c>
      <c r="J980" t="s">
        <v>245</v>
      </c>
      <c r="K980" t="s">
        <v>98</v>
      </c>
      <c r="L980" t="s">
        <v>37</v>
      </c>
      <c r="M980" t="s">
        <v>117</v>
      </c>
      <c r="N980" s="1">
        <v>41617</v>
      </c>
      <c r="O980">
        <v>4951.96</v>
      </c>
      <c r="P980">
        <v>1237.8599999999999</v>
      </c>
      <c r="Q980" t="s">
        <v>37</v>
      </c>
      <c r="R980" t="s">
        <v>29</v>
      </c>
      <c r="S980" t="s">
        <v>3090</v>
      </c>
      <c r="T980" t="s">
        <v>3091</v>
      </c>
    </row>
    <row r="981" spans="1:20" x14ac:dyDescent="0.25">
      <c r="A981" t="s">
        <v>3092</v>
      </c>
      <c r="B981" t="str">
        <f>"2992"</f>
        <v>2992</v>
      </c>
      <c r="C981" t="str">
        <f>"270862992"</f>
        <v>270862992</v>
      </c>
      <c r="D981" t="s">
        <v>3093</v>
      </c>
      <c r="E981" t="s">
        <v>275</v>
      </c>
      <c r="F981" t="s">
        <v>3094</v>
      </c>
      <c r="G981" s="1">
        <v>25748</v>
      </c>
      <c r="H981" s="1">
        <v>41435</v>
      </c>
      <c r="I981" t="str">
        <f>"52"</f>
        <v>52</v>
      </c>
      <c r="J981" t="s">
        <v>330</v>
      </c>
      <c r="K981" t="s">
        <v>25</v>
      </c>
      <c r="L981" t="s">
        <v>26</v>
      </c>
      <c r="M981" t="s">
        <v>27</v>
      </c>
      <c r="N981" s="1">
        <v>18629</v>
      </c>
      <c r="O981">
        <v>0</v>
      </c>
      <c r="P981">
        <v>0</v>
      </c>
      <c r="Q981" t="s">
        <v>37</v>
      </c>
      <c r="R981" t="s">
        <v>29</v>
      </c>
      <c r="S981" t="s">
        <v>300</v>
      </c>
      <c r="T981" t="s">
        <v>301</v>
      </c>
    </row>
    <row r="982" spans="1:20" x14ac:dyDescent="0.25">
      <c r="A982" t="s">
        <v>3095</v>
      </c>
      <c r="B982" t="str">
        <f>"8993"</f>
        <v>8993</v>
      </c>
      <c r="C982" t="str">
        <f>"286728993"</f>
        <v>286728993</v>
      </c>
      <c r="D982" t="s">
        <v>3096</v>
      </c>
      <c r="E982" t="s">
        <v>856</v>
      </c>
      <c r="F982" t="s">
        <v>28</v>
      </c>
      <c r="G982" s="1">
        <v>22364</v>
      </c>
      <c r="H982" s="1">
        <v>41435</v>
      </c>
      <c r="I982" t="str">
        <f>"51"</f>
        <v>51</v>
      </c>
      <c r="J982" t="s">
        <v>471</v>
      </c>
      <c r="K982" t="s">
        <v>25</v>
      </c>
      <c r="L982" t="s">
        <v>26</v>
      </c>
      <c r="M982" t="s">
        <v>27</v>
      </c>
      <c r="N982" s="1">
        <v>18629</v>
      </c>
      <c r="O982">
        <v>0</v>
      </c>
      <c r="P982">
        <v>0</v>
      </c>
      <c r="Q982" t="s">
        <v>37</v>
      </c>
      <c r="R982" t="s">
        <v>100</v>
      </c>
      <c r="S982" t="s">
        <v>1462</v>
      </c>
      <c r="T982" t="s">
        <v>1463</v>
      </c>
    </row>
    <row r="983" spans="1:20" x14ac:dyDescent="0.25">
      <c r="A983" t="s">
        <v>3097</v>
      </c>
      <c r="B983" t="str">
        <f>"3506"</f>
        <v>3506</v>
      </c>
      <c r="C983" t="str">
        <f>"293983506"</f>
        <v>293983506</v>
      </c>
      <c r="D983" t="s">
        <v>3098</v>
      </c>
      <c r="E983" t="s">
        <v>3099</v>
      </c>
      <c r="F983" t="s">
        <v>35</v>
      </c>
      <c r="G983" s="1">
        <v>35119</v>
      </c>
      <c r="H983" s="1">
        <v>41435</v>
      </c>
      <c r="I983" t="str">
        <f>"34"</f>
        <v>34</v>
      </c>
      <c r="J983" t="s">
        <v>388</v>
      </c>
      <c r="K983" t="s">
        <v>25</v>
      </c>
      <c r="L983" t="s">
        <v>26</v>
      </c>
      <c r="M983" t="s">
        <v>27</v>
      </c>
      <c r="N983" s="1">
        <v>18629</v>
      </c>
      <c r="O983">
        <v>0</v>
      </c>
      <c r="P983">
        <v>0</v>
      </c>
      <c r="Q983" t="s">
        <v>28</v>
      </c>
      <c r="R983" t="s">
        <v>29</v>
      </c>
      <c r="S983" t="s">
        <v>615</v>
      </c>
      <c r="T983" t="s">
        <v>616</v>
      </c>
    </row>
    <row r="984" spans="1:20" x14ac:dyDescent="0.25">
      <c r="A984" t="s">
        <v>3100</v>
      </c>
      <c r="B984" t="str">
        <f>"1841"</f>
        <v>1841</v>
      </c>
      <c r="C984" t="str">
        <f>"274981841"</f>
        <v>274981841</v>
      </c>
      <c r="D984" t="s">
        <v>3101</v>
      </c>
      <c r="E984" t="s">
        <v>3102</v>
      </c>
      <c r="G984" s="1">
        <v>34747</v>
      </c>
      <c r="H984" s="1">
        <v>41435</v>
      </c>
      <c r="I984" t="str">
        <f>"34"</f>
        <v>34</v>
      </c>
      <c r="J984" t="s">
        <v>388</v>
      </c>
      <c r="K984" t="s">
        <v>25</v>
      </c>
      <c r="L984" t="s">
        <v>26</v>
      </c>
      <c r="M984" t="s">
        <v>27</v>
      </c>
      <c r="N984" s="1">
        <v>18629</v>
      </c>
      <c r="O984">
        <v>0</v>
      </c>
      <c r="P984">
        <v>0</v>
      </c>
      <c r="Q984" t="s">
        <v>37</v>
      </c>
      <c r="R984" t="s">
        <v>29</v>
      </c>
      <c r="S984" t="s">
        <v>615</v>
      </c>
      <c r="T984" t="s">
        <v>616</v>
      </c>
    </row>
    <row r="985" spans="1:20" x14ac:dyDescent="0.25">
      <c r="A985" t="s">
        <v>3103</v>
      </c>
      <c r="B985" t="str">
        <f>"7675"</f>
        <v>7675</v>
      </c>
      <c r="C985" t="str">
        <f>"281987675"</f>
        <v>281987675</v>
      </c>
      <c r="D985" t="s">
        <v>3104</v>
      </c>
      <c r="E985" t="s">
        <v>609</v>
      </c>
      <c r="F985" t="s">
        <v>179</v>
      </c>
      <c r="G985" s="1">
        <v>34784</v>
      </c>
      <c r="H985" s="1">
        <v>41435</v>
      </c>
      <c r="I985" t="str">
        <f>"34"</f>
        <v>34</v>
      </c>
      <c r="J985" t="s">
        <v>388</v>
      </c>
      <c r="K985" t="s">
        <v>25</v>
      </c>
      <c r="L985" t="s">
        <v>26</v>
      </c>
      <c r="M985" t="s">
        <v>27</v>
      </c>
      <c r="N985" s="1">
        <v>18629</v>
      </c>
      <c r="O985">
        <v>0</v>
      </c>
      <c r="P985">
        <v>0</v>
      </c>
      <c r="Q985" t="s">
        <v>28</v>
      </c>
      <c r="R985" t="s">
        <v>29</v>
      </c>
      <c r="S985" t="s">
        <v>615</v>
      </c>
      <c r="T985" t="s">
        <v>616</v>
      </c>
    </row>
    <row r="986" spans="1:20" x14ac:dyDescent="0.25">
      <c r="A986" t="s">
        <v>3105</v>
      </c>
      <c r="B986" t="str">
        <f>"6346"</f>
        <v>6346</v>
      </c>
      <c r="C986" t="str">
        <f>"290726346"</f>
        <v>290726346</v>
      </c>
      <c r="D986" t="s">
        <v>3106</v>
      </c>
      <c r="E986" t="s">
        <v>2390</v>
      </c>
      <c r="F986" t="s">
        <v>93</v>
      </c>
      <c r="G986" s="1">
        <v>26623</v>
      </c>
      <c r="H986" s="1">
        <v>41435</v>
      </c>
      <c r="I986" t="str">
        <f>"05"</f>
        <v>05</v>
      </c>
      <c r="J986" t="s">
        <v>58</v>
      </c>
      <c r="K986" t="s">
        <v>98</v>
      </c>
      <c r="L986" t="s">
        <v>37</v>
      </c>
      <c r="M986" t="s">
        <v>117</v>
      </c>
      <c r="N986" s="1">
        <v>41617</v>
      </c>
      <c r="O986">
        <v>4951.96</v>
      </c>
      <c r="P986">
        <v>1237.8599999999999</v>
      </c>
      <c r="Q986" t="s">
        <v>37</v>
      </c>
      <c r="R986" t="s">
        <v>51</v>
      </c>
      <c r="S986" s="2" t="s">
        <v>52</v>
      </c>
      <c r="T986" t="s">
        <v>53</v>
      </c>
    </row>
    <row r="987" spans="1:20" x14ac:dyDescent="0.25">
      <c r="A987" t="s">
        <v>3107</v>
      </c>
      <c r="B987" t="str">
        <f>"3731"</f>
        <v>3731</v>
      </c>
      <c r="C987" t="str">
        <f>"288843731"</f>
        <v>288843731</v>
      </c>
      <c r="D987" t="s">
        <v>928</v>
      </c>
      <c r="E987" t="s">
        <v>1120</v>
      </c>
      <c r="F987" t="s">
        <v>37</v>
      </c>
      <c r="G987" s="1">
        <v>31463</v>
      </c>
      <c r="H987" s="1">
        <v>41435</v>
      </c>
      <c r="I987" t="str">
        <f>"12"</f>
        <v>12</v>
      </c>
      <c r="J987" t="s">
        <v>245</v>
      </c>
      <c r="K987" t="s">
        <v>98</v>
      </c>
      <c r="L987" t="s">
        <v>37</v>
      </c>
      <c r="M987" t="s">
        <v>117</v>
      </c>
      <c r="N987" s="1">
        <v>41617</v>
      </c>
      <c r="O987">
        <v>4951.96</v>
      </c>
      <c r="P987">
        <v>1237.8599999999999</v>
      </c>
      <c r="Q987" t="s">
        <v>28</v>
      </c>
      <c r="R987" t="s">
        <v>29</v>
      </c>
      <c r="S987" t="s">
        <v>3090</v>
      </c>
      <c r="T987" t="s">
        <v>3091</v>
      </c>
    </row>
    <row r="988" spans="1:20" x14ac:dyDescent="0.25">
      <c r="A988" t="s">
        <v>3108</v>
      </c>
      <c r="B988" t="str">
        <f>"8048"</f>
        <v>8048</v>
      </c>
      <c r="C988" t="str">
        <f>"275028048"</f>
        <v>275028048</v>
      </c>
      <c r="D988" t="s">
        <v>2536</v>
      </c>
      <c r="E988" t="s">
        <v>490</v>
      </c>
      <c r="F988" t="s">
        <v>438</v>
      </c>
      <c r="G988" s="1">
        <v>35487</v>
      </c>
      <c r="H988" s="1">
        <v>41435</v>
      </c>
      <c r="I988" t="str">
        <f>"34"</f>
        <v>34</v>
      </c>
      <c r="J988" t="s">
        <v>388</v>
      </c>
      <c r="K988" t="s">
        <v>25</v>
      </c>
      <c r="L988" t="s">
        <v>26</v>
      </c>
      <c r="M988" t="s">
        <v>27</v>
      </c>
      <c r="N988" s="1">
        <v>18629</v>
      </c>
      <c r="O988">
        <v>0</v>
      </c>
      <c r="P988">
        <v>0</v>
      </c>
      <c r="Q988" t="s">
        <v>37</v>
      </c>
      <c r="R988" t="s">
        <v>29</v>
      </c>
      <c r="S988" t="s">
        <v>615</v>
      </c>
      <c r="T988" t="s">
        <v>616</v>
      </c>
    </row>
    <row r="989" spans="1:20" x14ac:dyDescent="0.25">
      <c r="A989" t="s">
        <v>3109</v>
      </c>
      <c r="B989" t="str">
        <f>"6981"</f>
        <v>6981</v>
      </c>
      <c r="C989" t="str">
        <f>"359606981"</f>
        <v>359606981</v>
      </c>
      <c r="D989" t="s">
        <v>3110</v>
      </c>
      <c r="E989" t="s">
        <v>122</v>
      </c>
      <c r="F989" t="s">
        <v>93</v>
      </c>
      <c r="G989" s="1">
        <v>23200</v>
      </c>
      <c r="H989" s="1">
        <v>41435</v>
      </c>
      <c r="I989" t="str">
        <f>"41"</f>
        <v>41</v>
      </c>
      <c r="J989" t="s">
        <v>24</v>
      </c>
      <c r="K989" t="s">
        <v>25</v>
      </c>
      <c r="L989" t="s">
        <v>26</v>
      </c>
      <c r="M989" t="s">
        <v>27</v>
      </c>
      <c r="N989" s="1">
        <v>18629</v>
      </c>
      <c r="O989">
        <v>0</v>
      </c>
      <c r="P989">
        <v>0</v>
      </c>
      <c r="Q989" t="s">
        <v>28</v>
      </c>
      <c r="R989" t="s">
        <v>51</v>
      </c>
      <c r="S989" s="2" t="s">
        <v>3111</v>
      </c>
      <c r="T989" t="s">
        <v>3112</v>
      </c>
    </row>
    <row r="990" spans="1:20" x14ac:dyDescent="0.25">
      <c r="A990" t="s">
        <v>3113</v>
      </c>
      <c r="B990" t="str">
        <f>"9315"</f>
        <v>9315</v>
      </c>
      <c r="C990" t="str">
        <f>"295889315"</f>
        <v>295889315</v>
      </c>
      <c r="D990" t="s">
        <v>3114</v>
      </c>
      <c r="E990" t="s">
        <v>3115</v>
      </c>
      <c r="F990" t="s">
        <v>609</v>
      </c>
      <c r="G990" s="1">
        <v>32285</v>
      </c>
      <c r="H990" s="1">
        <v>41435</v>
      </c>
      <c r="I990" t="str">
        <f>"05"</f>
        <v>05</v>
      </c>
      <c r="J990" t="s">
        <v>58</v>
      </c>
      <c r="K990" t="s">
        <v>98</v>
      </c>
      <c r="L990" t="s">
        <v>37</v>
      </c>
      <c r="M990" t="s">
        <v>117</v>
      </c>
      <c r="N990" s="1">
        <v>41617</v>
      </c>
      <c r="O990">
        <v>4951.96</v>
      </c>
      <c r="P990">
        <v>1237.8599999999999</v>
      </c>
      <c r="Q990" t="s">
        <v>28</v>
      </c>
      <c r="R990" t="s">
        <v>38</v>
      </c>
      <c r="S990" t="s">
        <v>1173</v>
      </c>
      <c r="T990" t="s">
        <v>1174</v>
      </c>
    </row>
    <row r="991" spans="1:20" x14ac:dyDescent="0.25">
      <c r="A991" t="s">
        <v>3116</v>
      </c>
      <c r="B991" t="str">
        <f>"1434"</f>
        <v>1434</v>
      </c>
      <c r="C991" t="str">
        <f>"300721434"</f>
        <v>300721434</v>
      </c>
      <c r="D991" t="s">
        <v>3117</v>
      </c>
      <c r="E991" t="s">
        <v>3118</v>
      </c>
      <c r="F991" t="s">
        <v>28</v>
      </c>
      <c r="G991" s="1">
        <v>27805</v>
      </c>
      <c r="H991" s="1">
        <v>41435</v>
      </c>
      <c r="I991" t="str">
        <f>"01"</f>
        <v>01</v>
      </c>
      <c r="J991" t="s">
        <v>116</v>
      </c>
      <c r="K991" t="s">
        <v>98</v>
      </c>
      <c r="L991" t="s">
        <v>37</v>
      </c>
      <c r="M991" t="s">
        <v>99</v>
      </c>
      <c r="N991" s="1">
        <v>41617</v>
      </c>
      <c r="O991">
        <v>14801.8</v>
      </c>
      <c r="P991">
        <v>3700.32</v>
      </c>
      <c r="Q991" t="s">
        <v>37</v>
      </c>
      <c r="R991" t="s">
        <v>346</v>
      </c>
      <c r="S991" t="s">
        <v>3119</v>
      </c>
      <c r="T991" t="s">
        <v>3120</v>
      </c>
    </row>
    <row r="992" spans="1:20" x14ac:dyDescent="0.25">
      <c r="A992" t="s">
        <v>3121</v>
      </c>
      <c r="B992" t="str">
        <f>"9414"</f>
        <v>9414</v>
      </c>
      <c r="C992" t="str">
        <f>"277969414"</f>
        <v>277969414</v>
      </c>
      <c r="D992" t="s">
        <v>3122</v>
      </c>
      <c r="E992" t="s">
        <v>3123</v>
      </c>
      <c r="F992" t="s">
        <v>358</v>
      </c>
      <c r="G992" s="1">
        <v>33990</v>
      </c>
      <c r="H992" s="1">
        <v>41435</v>
      </c>
      <c r="I992" t="str">
        <f>"34"</f>
        <v>34</v>
      </c>
      <c r="J992" t="s">
        <v>388</v>
      </c>
      <c r="K992" t="s">
        <v>25</v>
      </c>
      <c r="L992" t="s">
        <v>26</v>
      </c>
      <c r="M992" t="s">
        <v>27</v>
      </c>
      <c r="N992" s="1">
        <v>18629</v>
      </c>
      <c r="O992">
        <v>0</v>
      </c>
      <c r="P992">
        <v>0</v>
      </c>
      <c r="Q992" t="s">
        <v>37</v>
      </c>
      <c r="R992" t="s">
        <v>29</v>
      </c>
      <c r="S992" t="s">
        <v>615</v>
      </c>
      <c r="T992" t="s">
        <v>616</v>
      </c>
    </row>
    <row r="993" spans="1:20" x14ac:dyDescent="0.25">
      <c r="A993" t="s">
        <v>3124</v>
      </c>
      <c r="B993" t="str">
        <f>"5475"</f>
        <v>5475</v>
      </c>
      <c r="C993" t="str">
        <f>"278865475"</f>
        <v>278865475</v>
      </c>
      <c r="D993" t="s">
        <v>3125</v>
      </c>
      <c r="E993" t="s">
        <v>3126</v>
      </c>
      <c r="F993" t="s">
        <v>219</v>
      </c>
      <c r="G993" s="1">
        <v>25991</v>
      </c>
      <c r="H993" s="1">
        <v>41428</v>
      </c>
      <c r="I993" t="str">
        <f>"12"</f>
        <v>12</v>
      </c>
      <c r="J993" t="s">
        <v>245</v>
      </c>
      <c r="K993" t="s">
        <v>98</v>
      </c>
      <c r="L993" t="s">
        <v>37</v>
      </c>
      <c r="M993" t="s">
        <v>257</v>
      </c>
      <c r="N993" s="1">
        <v>41617</v>
      </c>
      <c r="O993">
        <v>10753.08</v>
      </c>
      <c r="P993">
        <v>2688.4</v>
      </c>
      <c r="Q993" t="s">
        <v>37</v>
      </c>
      <c r="R993" t="s">
        <v>110</v>
      </c>
      <c r="S993" t="s">
        <v>1346</v>
      </c>
      <c r="T993" t="s">
        <v>1347</v>
      </c>
    </row>
    <row r="994" spans="1:20" x14ac:dyDescent="0.25">
      <c r="A994" t="s">
        <v>3127</v>
      </c>
      <c r="B994" t="str">
        <f>"9907"</f>
        <v>9907</v>
      </c>
      <c r="C994" t="str">
        <f>"274159907"</f>
        <v>274159907</v>
      </c>
      <c r="D994" t="s">
        <v>3128</v>
      </c>
      <c r="E994" t="s">
        <v>3129</v>
      </c>
      <c r="F994" t="s">
        <v>556</v>
      </c>
      <c r="G994" s="1">
        <v>32745</v>
      </c>
      <c r="H994" s="1">
        <v>41428</v>
      </c>
      <c r="I994" t="str">
        <f>"41"</f>
        <v>41</v>
      </c>
      <c r="J994" t="s">
        <v>24</v>
      </c>
      <c r="K994" t="s">
        <v>25</v>
      </c>
      <c r="L994" t="s">
        <v>26</v>
      </c>
      <c r="M994" t="s">
        <v>27</v>
      </c>
      <c r="N994" s="1">
        <v>18629</v>
      </c>
      <c r="O994">
        <v>0</v>
      </c>
      <c r="P994">
        <v>0</v>
      </c>
      <c r="Q994" t="s">
        <v>28</v>
      </c>
      <c r="R994" t="s">
        <v>29</v>
      </c>
      <c r="S994" t="s">
        <v>978</v>
      </c>
      <c r="T994" t="s">
        <v>979</v>
      </c>
    </row>
    <row r="995" spans="1:20" x14ac:dyDescent="0.25">
      <c r="A995" t="s">
        <v>3130</v>
      </c>
      <c r="B995" t="str">
        <f>"4625"</f>
        <v>4625</v>
      </c>
      <c r="C995" t="str">
        <f>"294784625"</f>
        <v>294784625</v>
      </c>
      <c r="D995" t="s">
        <v>2183</v>
      </c>
      <c r="E995" t="s">
        <v>1854</v>
      </c>
      <c r="F995" t="s">
        <v>97</v>
      </c>
      <c r="G995" s="1">
        <v>25975</v>
      </c>
      <c r="H995" s="1">
        <v>41428</v>
      </c>
      <c r="I995" t="str">
        <f>"52"</f>
        <v>52</v>
      </c>
      <c r="J995" t="s">
        <v>330</v>
      </c>
      <c r="K995" t="s">
        <v>25</v>
      </c>
      <c r="L995" t="s">
        <v>26</v>
      </c>
      <c r="M995" t="s">
        <v>27</v>
      </c>
      <c r="N995" s="1">
        <v>18629</v>
      </c>
      <c r="O995">
        <v>0</v>
      </c>
      <c r="P995">
        <v>0</v>
      </c>
      <c r="Q995" t="s">
        <v>28</v>
      </c>
      <c r="R995" t="s">
        <v>29</v>
      </c>
      <c r="S995" t="s">
        <v>331</v>
      </c>
      <c r="T995" t="s">
        <v>332</v>
      </c>
    </row>
    <row r="996" spans="1:20" x14ac:dyDescent="0.25">
      <c r="A996" t="s">
        <v>3131</v>
      </c>
      <c r="B996" t="str">
        <f>"5389"</f>
        <v>5389</v>
      </c>
      <c r="C996" t="str">
        <f>"288155389"</f>
        <v>288155389</v>
      </c>
      <c r="D996" t="s">
        <v>3132</v>
      </c>
      <c r="E996" t="s">
        <v>3133</v>
      </c>
      <c r="G996" s="1">
        <v>27990</v>
      </c>
      <c r="H996" s="1">
        <v>41428</v>
      </c>
      <c r="I996" t="str">
        <f>"51"</f>
        <v>51</v>
      </c>
      <c r="J996" t="s">
        <v>471</v>
      </c>
      <c r="K996" t="s">
        <v>25</v>
      </c>
      <c r="L996" t="s">
        <v>26</v>
      </c>
      <c r="M996" t="s">
        <v>27</v>
      </c>
      <c r="N996" s="1">
        <v>18629</v>
      </c>
      <c r="O996">
        <v>0</v>
      </c>
      <c r="P996">
        <v>0</v>
      </c>
      <c r="Q996" t="s">
        <v>28</v>
      </c>
      <c r="R996" t="s">
        <v>51</v>
      </c>
      <c r="S996" s="2" t="s">
        <v>1656</v>
      </c>
      <c r="T996" t="s">
        <v>1657</v>
      </c>
    </row>
    <row r="997" spans="1:20" x14ac:dyDescent="0.25">
      <c r="A997" t="s">
        <v>3134</v>
      </c>
      <c r="B997" t="str">
        <f>"5848"</f>
        <v>5848</v>
      </c>
      <c r="C997" t="str">
        <f>"414655848"</f>
        <v>414655848</v>
      </c>
      <c r="D997" t="s">
        <v>3135</v>
      </c>
      <c r="E997" t="s">
        <v>197</v>
      </c>
      <c r="F997" t="s">
        <v>438</v>
      </c>
      <c r="G997" s="1">
        <v>23679</v>
      </c>
      <c r="H997" s="1">
        <v>41422</v>
      </c>
      <c r="I997" t="str">
        <f>"51"</f>
        <v>51</v>
      </c>
      <c r="J997" t="s">
        <v>471</v>
      </c>
      <c r="K997" t="s">
        <v>25</v>
      </c>
      <c r="L997" t="s">
        <v>26</v>
      </c>
      <c r="M997" t="s">
        <v>27</v>
      </c>
      <c r="N997" s="1">
        <v>18629</v>
      </c>
      <c r="O997">
        <v>0</v>
      </c>
      <c r="P997">
        <v>0</v>
      </c>
      <c r="Q997" t="s">
        <v>28</v>
      </c>
      <c r="R997" t="s">
        <v>51</v>
      </c>
      <c r="S997" s="2" t="s">
        <v>3136</v>
      </c>
      <c r="T997" t="s">
        <v>3137</v>
      </c>
    </row>
    <row r="998" spans="1:20" x14ac:dyDescent="0.25">
      <c r="A998" t="s">
        <v>3138</v>
      </c>
      <c r="B998" t="str">
        <f>"6452"</f>
        <v>6452</v>
      </c>
      <c r="C998" t="str">
        <f>"272686452"</f>
        <v>272686452</v>
      </c>
      <c r="D998" t="s">
        <v>2328</v>
      </c>
      <c r="E998" t="s">
        <v>1071</v>
      </c>
      <c r="F998" t="s">
        <v>69</v>
      </c>
      <c r="G998" s="1">
        <v>22635</v>
      </c>
      <c r="H998" s="1">
        <v>41422</v>
      </c>
      <c r="I998" t="str">
        <f>"34"</f>
        <v>34</v>
      </c>
      <c r="J998" t="s">
        <v>388</v>
      </c>
      <c r="K998" t="s">
        <v>25</v>
      </c>
      <c r="L998" t="s">
        <v>26</v>
      </c>
      <c r="M998" t="s">
        <v>27</v>
      </c>
      <c r="N998" s="1">
        <v>18629</v>
      </c>
      <c r="O998">
        <v>0</v>
      </c>
      <c r="P998">
        <v>0</v>
      </c>
      <c r="Q998" t="s">
        <v>37</v>
      </c>
      <c r="R998" t="s">
        <v>51</v>
      </c>
      <c r="S998" s="2" t="s">
        <v>1148</v>
      </c>
      <c r="T998" t="s">
        <v>1149</v>
      </c>
    </row>
    <row r="999" spans="1:20" x14ac:dyDescent="0.25">
      <c r="A999" t="s">
        <v>3139</v>
      </c>
      <c r="B999" t="str">
        <f>"4450"</f>
        <v>4450</v>
      </c>
      <c r="C999" t="str">
        <f>"263254450"</f>
        <v>263254450</v>
      </c>
      <c r="D999" t="s">
        <v>3140</v>
      </c>
      <c r="E999" t="s">
        <v>3141</v>
      </c>
      <c r="F999" t="s">
        <v>361</v>
      </c>
      <c r="G999" s="1">
        <v>19328</v>
      </c>
      <c r="H999" s="1">
        <v>41422</v>
      </c>
      <c r="I999" t="str">
        <f>"51"</f>
        <v>51</v>
      </c>
      <c r="J999" t="s">
        <v>471</v>
      </c>
      <c r="K999" t="s">
        <v>25</v>
      </c>
      <c r="L999" t="s">
        <v>26</v>
      </c>
      <c r="M999" t="s">
        <v>27</v>
      </c>
      <c r="N999" s="1">
        <v>18629</v>
      </c>
      <c r="O999">
        <v>0</v>
      </c>
      <c r="P999">
        <v>0</v>
      </c>
      <c r="Q999" t="s">
        <v>37</v>
      </c>
      <c r="R999" t="s">
        <v>29</v>
      </c>
      <c r="S999" t="s">
        <v>1160</v>
      </c>
      <c r="T999" t="s">
        <v>1161</v>
      </c>
    </row>
    <row r="1000" spans="1:20" x14ac:dyDescent="0.25">
      <c r="A1000" t="s">
        <v>3142</v>
      </c>
      <c r="B1000" t="str">
        <f>"2311"</f>
        <v>2311</v>
      </c>
      <c r="C1000" t="str">
        <f>"298502311"</f>
        <v>298502311</v>
      </c>
      <c r="D1000" t="s">
        <v>3143</v>
      </c>
      <c r="E1000" t="s">
        <v>184</v>
      </c>
      <c r="F1000" t="s">
        <v>219</v>
      </c>
      <c r="G1000" s="1">
        <v>19153</v>
      </c>
      <c r="H1000" s="1">
        <v>41422</v>
      </c>
      <c r="I1000" t="str">
        <f>"41"</f>
        <v>41</v>
      </c>
      <c r="J1000" t="s">
        <v>24</v>
      </c>
      <c r="K1000" t="s">
        <v>25</v>
      </c>
      <c r="L1000" t="s">
        <v>26</v>
      </c>
      <c r="M1000" t="s">
        <v>27</v>
      </c>
      <c r="N1000" s="1">
        <v>18629</v>
      </c>
      <c r="O1000">
        <v>0</v>
      </c>
      <c r="P1000">
        <v>0</v>
      </c>
      <c r="Q1000" t="s">
        <v>37</v>
      </c>
      <c r="R1000" t="s">
        <v>71</v>
      </c>
      <c r="S1000" t="s">
        <v>857</v>
      </c>
      <c r="T1000" t="s">
        <v>858</v>
      </c>
    </row>
    <row r="1001" spans="1:20" x14ac:dyDescent="0.25">
      <c r="A1001" t="s">
        <v>3144</v>
      </c>
      <c r="B1001" t="str">
        <f>"9874"</f>
        <v>9874</v>
      </c>
      <c r="C1001" t="str">
        <f>"161589874"</f>
        <v>161589874</v>
      </c>
      <c r="D1001" t="s">
        <v>3145</v>
      </c>
      <c r="E1001" t="s">
        <v>699</v>
      </c>
      <c r="F1001" t="s">
        <v>345</v>
      </c>
      <c r="G1001" s="1">
        <v>27795</v>
      </c>
      <c r="H1001" s="1">
        <v>41422</v>
      </c>
      <c r="I1001" t="str">
        <f>"52"</f>
        <v>52</v>
      </c>
      <c r="J1001" t="s">
        <v>330</v>
      </c>
      <c r="K1001" t="s">
        <v>25</v>
      </c>
      <c r="L1001" t="s">
        <v>26</v>
      </c>
      <c r="M1001" t="s">
        <v>27</v>
      </c>
      <c r="N1001" s="1">
        <v>18629</v>
      </c>
      <c r="O1001">
        <v>0</v>
      </c>
      <c r="P1001">
        <v>0</v>
      </c>
      <c r="Q1001" t="s">
        <v>37</v>
      </c>
      <c r="R1001" t="s">
        <v>29</v>
      </c>
      <c r="S1001" t="s">
        <v>691</v>
      </c>
      <c r="T1001" t="s">
        <v>692</v>
      </c>
    </row>
    <row r="1002" spans="1:20" x14ac:dyDescent="0.25">
      <c r="A1002" t="s">
        <v>3146</v>
      </c>
      <c r="B1002" t="str">
        <f>"5599"</f>
        <v>5599</v>
      </c>
      <c r="C1002" t="str">
        <f>"279865599"</f>
        <v>279865599</v>
      </c>
      <c r="D1002" t="s">
        <v>3147</v>
      </c>
      <c r="E1002" t="s">
        <v>619</v>
      </c>
      <c r="F1002" t="s">
        <v>2075</v>
      </c>
      <c r="G1002" s="1">
        <v>26597</v>
      </c>
      <c r="H1002" s="1">
        <v>41422</v>
      </c>
      <c r="I1002" t="str">
        <f>"52"</f>
        <v>52</v>
      </c>
      <c r="J1002" t="s">
        <v>330</v>
      </c>
      <c r="K1002" t="s">
        <v>25</v>
      </c>
      <c r="L1002" t="s">
        <v>26</v>
      </c>
      <c r="M1002" t="s">
        <v>27</v>
      </c>
      <c r="N1002" s="1">
        <v>18629</v>
      </c>
      <c r="O1002">
        <v>0</v>
      </c>
      <c r="P1002">
        <v>0</v>
      </c>
      <c r="Q1002" t="s">
        <v>37</v>
      </c>
      <c r="R1002" t="s">
        <v>29</v>
      </c>
      <c r="S1002" t="s">
        <v>300</v>
      </c>
      <c r="T1002" t="s">
        <v>301</v>
      </c>
    </row>
    <row r="1003" spans="1:20" x14ac:dyDescent="0.25">
      <c r="A1003" t="s">
        <v>3148</v>
      </c>
      <c r="B1003" t="str">
        <f>"5675"</f>
        <v>5675</v>
      </c>
      <c r="C1003" t="str">
        <f>"175785675"</f>
        <v>175785675</v>
      </c>
      <c r="D1003" t="s">
        <v>3149</v>
      </c>
      <c r="E1003" t="s">
        <v>3150</v>
      </c>
      <c r="G1003" s="1">
        <v>29261</v>
      </c>
      <c r="H1003" s="1">
        <v>41422</v>
      </c>
      <c r="I1003" t="str">
        <f>"41"</f>
        <v>41</v>
      </c>
      <c r="J1003" t="s">
        <v>24</v>
      </c>
      <c r="K1003" t="s">
        <v>25</v>
      </c>
      <c r="L1003" t="s">
        <v>26</v>
      </c>
      <c r="M1003" t="s">
        <v>27</v>
      </c>
      <c r="N1003" s="1">
        <v>18629</v>
      </c>
      <c r="O1003">
        <v>0</v>
      </c>
      <c r="P1003">
        <v>0</v>
      </c>
      <c r="Q1003" t="s">
        <v>28</v>
      </c>
      <c r="R1003" t="s">
        <v>29</v>
      </c>
      <c r="S1003" t="s">
        <v>300</v>
      </c>
      <c r="T1003" t="s">
        <v>301</v>
      </c>
    </row>
    <row r="1004" spans="1:20" x14ac:dyDescent="0.25">
      <c r="A1004" t="s">
        <v>3151</v>
      </c>
      <c r="B1004" t="str">
        <f>"5074"</f>
        <v>5074</v>
      </c>
      <c r="C1004" t="str">
        <f>"276945074"</f>
        <v>276945074</v>
      </c>
      <c r="D1004" t="s">
        <v>3152</v>
      </c>
      <c r="E1004" t="s">
        <v>197</v>
      </c>
      <c r="F1004" t="s">
        <v>28</v>
      </c>
      <c r="G1004" s="1">
        <v>33414</v>
      </c>
      <c r="H1004" s="1">
        <v>41422</v>
      </c>
      <c r="I1004" t="str">
        <f>"52"</f>
        <v>52</v>
      </c>
      <c r="J1004" t="s">
        <v>330</v>
      </c>
      <c r="K1004" t="s">
        <v>25</v>
      </c>
      <c r="L1004" t="s">
        <v>26</v>
      </c>
      <c r="M1004" t="s">
        <v>27</v>
      </c>
      <c r="N1004" s="1">
        <v>18629</v>
      </c>
      <c r="O1004">
        <v>0</v>
      </c>
      <c r="P1004">
        <v>0</v>
      </c>
      <c r="Q1004" t="s">
        <v>28</v>
      </c>
      <c r="R1004" t="s">
        <v>51</v>
      </c>
      <c r="S1004" s="2" t="s">
        <v>1148</v>
      </c>
      <c r="T1004" t="s">
        <v>1149</v>
      </c>
    </row>
    <row r="1005" spans="1:20" x14ac:dyDescent="0.25">
      <c r="A1005" t="s">
        <v>3153</v>
      </c>
      <c r="B1005" t="str">
        <f>"7746"</f>
        <v>7746</v>
      </c>
      <c r="C1005" t="str">
        <f>"313947746"</f>
        <v>313947746</v>
      </c>
      <c r="D1005" t="s">
        <v>3154</v>
      </c>
      <c r="E1005" t="s">
        <v>3155</v>
      </c>
      <c r="F1005" t="s">
        <v>329</v>
      </c>
      <c r="G1005" s="1">
        <v>24515</v>
      </c>
      <c r="H1005" s="1">
        <v>41422</v>
      </c>
      <c r="I1005" t="str">
        <f>"51"</f>
        <v>51</v>
      </c>
      <c r="J1005" t="s">
        <v>471</v>
      </c>
      <c r="K1005" t="s">
        <v>25</v>
      </c>
      <c r="L1005" t="s">
        <v>26</v>
      </c>
      <c r="M1005" t="s">
        <v>27</v>
      </c>
      <c r="N1005" s="1">
        <v>18629</v>
      </c>
      <c r="O1005">
        <v>0</v>
      </c>
      <c r="P1005">
        <v>0</v>
      </c>
      <c r="Q1005" t="s">
        <v>37</v>
      </c>
      <c r="R1005" t="s">
        <v>100</v>
      </c>
      <c r="S1005" t="s">
        <v>2206</v>
      </c>
      <c r="T1005" t="s">
        <v>2207</v>
      </c>
    </row>
    <row r="1006" spans="1:20" x14ac:dyDescent="0.25">
      <c r="A1006" t="s">
        <v>3156</v>
      </c>
      <c r="B1006" t="str">
        <f>"8273"</f>
        <v>8273</v>
      </c>
      <c r="C1006" t="str">
        <f>"296508273"</f>
        <v>296508273</v>
      </c>
      <c r="D1006" t="s">
        <v>3157</v>
      </c>
      <c r="E1006" t="s">
        <v>756</v>
      </c>
      <c r="F1006" t="s">
        <v>28</v>
      </c>
      <c r="G1006" s="1">
        <v>19075</v>
      </c>
      <c r="H1006" s="1">
        <v>41422</v>
      </c>
      <c r="I1006" t="str">
        <f>"05"</f>
        <v>05</v>
      </c>
      <c r="J1006" t="s">
        <v>58</v>
      </c>
      <c r="K1006" t="s">
        <v>98</v>
      </c>
      <c r="L1006" t="s">
        <v>37</v>
      </c>
      <c r="M1006" t="s">
        <v>257</v>
      </c>
      <c r="N1006" s="1">
        <v>41617</v>
      </c>
      <c r="O1006">
        <v>10753.08</v>
      </c>
      <c r="P1006">
        <v>2688.4</v>
      </c>
      <c r="Q1006" t="s">
        <v>37</v>
      </c>
      <c r="R1006" t="s">
        <v>51</v>
      </c>
      <c r="S1006" s="2" t="s">
        <v>198</v>
      </c>
      <c r="T1006" t="s">
        <v>199</v>
      </c>
    </row>
    <row r="1007" spans="1:20" x14ac:dyDescent="0.25">
      <c r="A1007" t="s">
        <v>3158</v>
      </c>
      <c r="B1007" t="str">
        <f>"3812"</f>
        <v>3812</v>
      </c>
      <c r="C1007" t="str">
        <f>"299843812"</f>
        <v>299843812</v>
      </c>
      <c r="D1007" t="s">
        <v>3159</v>
      </c>
      <c r="E1007" t="s">
        <v>933</v>
      </c>
      <c r="F1007" t="s">
        <v>3160</v>
      </c>
      <c r="G1007" s="1">
        <v>28405</v>
      </c>
      <c r="H1007" s="1">
        <v>41422</v>
      </c>
      <c r="I1007" t="str">
        <f>"51"</f>
        <v>51</v>
      </c>
      <c r="J1007" t="s">
        <v>471</v>
      </c>
      <c r="K1007" t="s">
        <v>25</v>
      </c>
      <c r="L1007" t="s">
        <v>26</v>
      </c>
      <c r="M1007" t="s">
        <v>27</v>
      </c>
      <c r="N1007" s="1">
        <v>18629</v>
      </c>
      <c r="O1007">
        <v>0</v>
      </c>
      <c r="P1007">
        <v>0</v>
      </c>
      <c r="Q1007" t="s">
        <v>28</v>
      </c>
      <c r="R1007" t="s">
        <v>71</v>
      </c>
      <c r="S1007" t="s">
        <v>2634</v>
      </c>
      <c r="T1007" t="s">
        <v>2635</v>
      </c>
    </row>
    <row r="1008" spans="1:20" x14ac:dyDescent="0.25">
      <c r="A1008" t="s">
        <v>3161</v>
      </c>
      <c r="B1008" t="str">
        <f>"4912"</f>
        <v>4912</v>
      </c>
      <c r="C1008" t="str">
        <f>"293704912"</f>
        <v>293704912</v>
      </c>
      <c r="D1008" t="s">
        <v>3162</v>
      </c>
      <c r="E1008" t="s">
        <v>3163</v>
      </c>
      <c r="G1008" s="1">
        <v>26908</v>
      </c>
      <c r="H1008" s="1">
        <v>41422</v>
      </c>
      <c r="I1008" t="str">
        <f>"52"</f>
        <v>52</v>
      </c>
      <c r="J1008" t="s">
        <v>330</v>
      </c>
      <c r="K1008" t="s">
        <v>25</v>
      </c>
      <c r="L1008" t="s">
        <v>26</v>
      </c>
      <c r="M1008" t="s">
        <v>27</v>
      </c>
      <c r="N1008" s="1">
        <v>18629</v>
      </c>
      <c r="O1008">
        <v>0</v>
      </c>
      <c r="P1008">
        <v>0</v>
      </c>
      <c r="Q1008" t="s">
        <v>37</v>
      </c>
      <c r="R1008" t="s">
        <v>71</v>
      </c>
      <c r="S1008" s="2" t="s">
        <v>1148</v>
      </c>
      <c r="T1008" t="s">
        <v>1149</v>
      </c>
    </row>
    <row r="1009" spans="1:20" x14ac:dyDescent="0.25">
      <c r="A1009" t="s">
        <v>3164</v>
      </c>
      <c r="B1009" t="str">
        <f>"9611"</f>
        <v>9611</v>
      </c>
      <c r="C1009" t="str">
        <f>"279949611"</f>
        <v>279949611</v>
      </c>
      <c r="D1009" t="s">
        <v>3165</v>
      </c>
      <c r="E1009" t="s">
        <v>3166</v>
      </c>
      <c r="G1009" s="1">
        <v>21916</v>
      </c>
      <c r="H1009" s="1">
        <v>41422</v>
      </c>
      <c r="I1009" t="str">
        <f>"41"</f>
        <v>41</v>
      </c>
      <c r="J1009" t="s">
        <v>24</v>
      </c>
      <c r="K1009" t="s">
        <v>25</v>
      </c>
      <c r="L1009" t="s">
        <v>26</v>
      </c>
      <c r="M1009" t="s">
        <v>27</v>
      </c>
      <c r="N1009" s="1">
        <v>18629</v>
      </c>
      <c r="O1009">
        <v>0</v>
      </c>
      <c r="P1009">
        <v>0</v>
      </c>
      <c r="Q1009" t="s">
        <v>37</v>
      </c>
      <c r="R1009" t="s">
        <v>51</v>
      </c>
      <c r="S1009" s="2" t="s">
        <v>64</v>
      </c>
      <c r="T1009" t="s">
        <v>65</v>
      </c>
    </row>
    <row r="1010" spans="1:20" x14ac:dyDescent="0.25">
      <c r="A1010" t="s">
        <v>3167</v>
      </c>
      <c r="B1010" t="str">
        <f>"3168"</f>
        <v>3168</v>
      </c>
      <c r="C1010" t="str">
        <f>"286863168"</f>
        <v>286863168</v>
      </c>
      <c r="D1010" t="s">
        <v>3168</v>
      </c>
      <c r="E1010" t="s">
        <v>1007</v>
      </c>
      <c r="F1010" t="s">
        <v>97</v>
      </c>
      <c r="G1010" s="1">
        <v>31125</v>
      </c>
      <c r="H1010" s="1">
        <v>41422</v>
      </c>
      <c r="I1010" t="str">
        <f>"51"</f>
        <v>51</v>
      </c>
      <c r="J1010" t="s">
        <v>471</v>
      </c>
      <c r="K1010" t="s">
        <v>25</v>
      </c>
      <c r="L1010" t="s">
        <v>26</v>
      </c>
      <c r="M1010" t="s">
        <v>27</v>
      </c>
      <c r="N1010" s="1">
        <v>18629</v>
      </c>
      <c r="O1010">
        <v>0</v>
      </c>
      <c r="P1010">
        <v>0</v>
      </c>
      <c r="Q1010" t="s">
        <v>37</v>
      </c>
      <c r="R1010" t="s">
        <v>29</v>
      </c>
      <c r="S1010" t="s">
        <v>2297</v>
      </c>
      <c r="T1010" t="s">
        <v>2298</v>
      </c>
    </row>
    <row r="1011" spans="1:20" x14ac:dyDescent="0.25">
      <c r="A1011" t="s">
        <v>3169</v>
      </c>
      <c r="B1011" t="str">
        <f>"4340"</f>
        <v>4340</v>
      </c>
      <c r="C1011" t="str">
        <f>"552994340"</f>
        <v>552994340</v>
      </c>
      <c r="D1011" t="s">
        <v>3170</v>
      </c>
      <c r="E1011" t="s">
        <v>1484</v>
      </c>
      <c r="G1011" s="1">
        <v>28585</v>
      </c>
      <c r="H1011" s="1">
        <v>41422</v>
      </c>
      <c r="I1011" t="str">
        <f>"03"</f>
        <v>03</v>
      </c>
      <c r="J1011" t="s">
        <v>70</v>
      </c>
      <c r="K1011" t="s">
        <v>98</v>
      </c>
      <c r="L1011" t="s">
        <v>37</v>
      </c>
      <c r="M1011" t="s">
        <v>99</v>
      </c>
      <c r="N1011" s="1">
        <v>41687</v>
      </c>
      <c r="O1011">
        <v>14801.8</v>
      </c>
      <c r="P1011">
        <v>3700.32</v>
      </c>
      <c r="Q1011" t="s">
        <v>37</v>
      </c>
      <c r="R1011" t="s">
        <v>312</v>
      </c>
      <c r="S1011" t="s">
        <v>3171</v>
      </c>
      <c r="T1011" t="s">
        <v>3172</v>
      </c>
    </row>
    <row r="1012" spans="1:20" x14ac:dyDescent="0.25">
      <c r="A1012" t="s">
        <v>3173</v>
      </c>
      <c r="B1012" t="str">
        <f>"2243"</f>
        <v>2243</v>
      </c>
      <c r="C1012" t="str">
        <f>"285902243"</f>
        <v>285902243</v>
      </c>
      <c r="D1012" t="s">
        <v>3174</v>
      </c>
      <c r="E1012" t="s">
        <v>2013</v>
      </c>
      <c r="F1012" t="s">
        <v>448</v>
      </c>
      <c r="G1012" s="1">
        <v>32658</v>
      </c>
      <c r="H1012" s="1">
        <v>41422</v>
      </c>
      <c r="I1012" t="str">
        <f>"52"</f>
        <v>52</v>
      </c>
      <c r="J1012" t="s">
        <v>330</v>
      </c>
      <c r="K1012" t="s">
        <v>25</v>
      </c>
      <c r="L1012" t="s">
        <v>26</v>
      </c>
      <c r="M1012" t="s">
        <v>27</v>
      </c>
      <c r="N1012" s="1">
        <v>18629</v>
      </c>
      <c r="O1012">
        <v>0</v>
      </c>
      <c r="P1012">
        <v>0</v>
      </c>
      <c r="Q1012" t="s">
        <v>37</v>
      </c>
      <c r="R1012" t="s">
        <v>29</v>
      </c>
      <c r="S1012" t="s">
        <v>300</v>
      </c>
      <c r="T1012" t="s">
        <v>301</v>
      </c>
    </row>
    <row r="1013" spans="1:20" x14ac:dyDescent="0.25">
      <c r="A1013" t="s">
        <v>3175</v>
      </c>
      <c r="B1013" t="str">
        <f>"0946"</f>
        <v>0946</v>
      </c>
      <c r="C1013" t="str">
        <f>"302580946"</f>
        <v>302580946</v>
      </c>
      <c r="D1013" t="s">
        <v>3176</v>
      </c>
      <c r="E1013" t="s">
        <v>526</v>
      </c>
      <c r="F1013" t="s">
        <v>28</v>
      </c>
      <c r="G1013" s="1">
        <v>22606</v>
      </c>
      <c r="H1013" s="1">
        <v>41422</v>
      </c>
      <c r="I1013" t="str">
        <f>"51"</f>
        <v>51</v>
      </c>
      <c r="J1013" t="s">
        <v>471</v>
      </c>
      <c r="K1013" t="s">
        <v>25</v>
      </c>
      <c r="L1013" t="s">
        <v>26</v>
      </c>
      <c r="M1013" t="s">
        <v>27</v>
      </c>
      <c r="N1013" s="1">
        <v>18629</v>
      </c>
      <c r="O1013">
        <v>0</v>
      </c>
      <c r="P1013">
        <v>0</v>
      </c>
      <c r="Q1013" t="s">
        <v>37</v>
      </c>
      <c r="R1013" t="s">
        <v>51</v>
      </c>
      <c r="S1013" s="2" t="s">
        <v>64</v>
      </c>
      <c r="T1013" t="s">
        <v>65</v>
      </c>
    </row>
    <row r="1014" spans="1:20" x14ac:dyDescent="0.25">
      <c r="A1014" t="s">
        <v>3177</v>
      </c>
      <c r="B1014" t="str">
        <f>"9072"</f>
        <v>9072</v>
      </c>
      <c r="C1014" t="str">
        <f>"296889072"</f>
        <v>296889072</v>
      </c>
      <c r="D1014" t="s">
        <v>3178</v>
      </c>
      <c r="E1014" t="s">
        <v>2177</v>
      </c>
      <c r="F1014" t="s">
        <v>256</v>
      </c>
      <c r="G1014" s="1">
        <v>32158</v>
      </c>
      <c r="H1014" s="1">
        <v>41422</v>
      </c>
      <c r="I1014" t="str">
        <f>"52"</f>
        <v>52</v>
      </c>
      <c r="J1014" t="s">
        <v>330</v>
      </c>
      <c r="K1014" t="s">
        <v>25</v>
      </c>
      <c r="L1014" t="s">
        <v>26</v>
      </c>
      <c r="M1014" t="s">
        <v>27</v>
      </c>
      <c r="N1014" s="1">
        <v>18629</v>
      </c>
      <c r="O1014">
        <v>0</v>
      </c>
      <c r="P1014">
        <v>0</v>
      </c>
      <c r="Q1014" t="s">
        <v>37</v>
      </c>
      <c r="R1014" t="s">
        <v>29</v>
      </c>
      <c r="S1014" t="s">
        <v>300</v>
      </c>
      <c r="T1014" t="s">
        <v>301</v>
      </c>
    </row>
    <row r="1015" spans="1:20" x14ac:dyDescent="0.25">
      <c r="A1015" t="s">
        <v>3179</v>
      </c>
      <c r="B1015" t="str">
        <f>"7983"</f>
        <v>7983</v>
      </c>
      <c r="C1015" t="str">
        <f>"277747983"</f>
        <v>277747983</v>
      </c>
      <c r="D1015" t="s">
        <v>3180</v>
      </c>
      <c r="E1015" t="s">
        <v>3181</v>
      </c>
      <c r="F1015" t="s">
        <v>97</v>
      </c>
      <c r="G1015" s="1">
        <v>26431</v>
      </c>
      <c r="H1015" s="1">
        <v>41422</v>
      </c>
      <c r="I1015" t="str">
        <f>"52"</f>
        <v>52</v>
      </c>
      <c r="J1015" t="s">
        <v>330</v>
      </c>
      <c r="K1015" t="s">
        <v>25</v>
      </c>
      <c r="L1015" t="s">
        <v>26</v>
      </c>
      <c r="M1015" t="s">
        <v>27</v>
      </c>
      <c r="N1015" s="1">
        <v>18629</v>
      </c>
      <c r="O1015">
        <v>0</v>
      </c>
      <c r="P1015">
        <v>0</v>
      </c>
      <c r="Q1015" t="s">
        <v>28</v>
      </c>
      <c r="R1015" t="s">
        <v>51</v>
      </c>
      <c r="S1015" s="2" t="s">
        <v>1148</v>
      </c>
      <c r="T1015" t="s">
        <v>1149</v>
      </c>
    </row>
    <row r="1016" spans="1:20" x14ac:dyDescent="0.25">
      <c r="A1016" t="s">
        <v>3182</v>
      </c>
      <c r="B1016" t="str">
        <f>"0078"</f>
        <v>0078</v>
      </c>
      <c r="C1016" t="str">
        <f>"282940078"</f>
        <v>282940078</v>
      </c>
      <c r="D1016" t="s">
        <v>3183</v>
      </c>
      <c r="E1016" t="s">
        <v>1546</v>
      </c>
      <c r="F1016" t="s">
        <v>544</v>
      </c>
      <c r="G1016" s="1">
        <v>33457</v>
      </c>
      <c r="H1016" s="1">
        <v>41422</v>
      </c>
      <c r="I1016" t="str">
        <f>"15"</f>
        <v>15</v>
      </c>
      <c r="J1016" t="s">
        <v>36</v>
      </c>
      <c r="K1016" t="s">
        <v>98</v>
      </c>
      <c r="L1016" t="s">
        <v>37</v>
      </c>
      <c r="M1016" t="s">
        <v>117</v>
      </c>
      <c r="N1016" s="1">
        <v>41617</v>
      </c>
      <c r="O1016">
        <v>4951.96</v>
      </c>
      <c r="P1016">
        <v>1237.8599999999999</v>
      </c>
      <c r="Q1016" t="s">
        <v>37</v>
      </c>
      <c r="R1016" t="s">
        <v>312</v>
      </c>
      <c r="S1016" t="s">
        <v>3171</v>
      </c>
      <c r="T1016" t="s">
        <v>3172</v>
      </c>
    </row>
    <row r="1017" spans="1:20" x14ac:dyDescent="0.25">
      <c r="A1017" t="s">
        <v>3184</v>
      </c>
      <c r="B1017" t="str">
        <f>"2657"</f>
        <v>2657</v>
      </c>
      <c r="C1017" t="str">
        <f>"277502657"</f>
        <v>277502657</v>
      </c>
      <c r="D1017" t="s">
        <v>3185</v>
      </c>
      <c r="E1017" t="s">
        <v>56</v>
      </c>
      <c r="F1017" t="s">
        <v>97</v>
      </c>
      <c r="G1017" s="1">
        <v>18686</v>
      </c>
      <c r="H1017" s="1">
        <v>41422</v>
      </c>
      <c r="I1017" t="str">
        <f>"52"</f>
        <v>52</v>
      </c>
      <c r="J1017" t="s">
        <v>330</v>
      </c>
      <c r="K1017" t="s">
        <v>25</v>
      </c>
      <c r="L1017" t="s">
        <v>26</v>
      </c>
      <c r="M1017" t="s">
        <v>27</v>
      </c>
      <c r="N1017" s="1">
        <v>18629</v>
      </c>
      <c r="O1017">
        <v>0</v>
      </c>
      <c r="P1017">
        <v>0</v>
      </c>
      <c r="Q1017" t="s">
        <v>28</v>
      </c>
      <c r="R1017" t="s">
        <v>29</v>
      </c>
      <c r="S1017" t="s">
        <v>1677</v>
      </c>
      <c r="T1017" t="s">
        <v>1678</v>
      </c>
    </row>
    <row r="1018" spans="1:20" x14ac:dyDescent="0.25">
      <c r="A1018" t="s">
        <v>3186</v>
      </c>
      <c r="B1018" t="str">
        <f>"0773"</f>
        <v>0773</v>
      </c>
      <c r="C1018" t="str">
        <f>"300560773"</f>
        <v>300560773</v>
      </c>
      <c r="D1018" t="s">
        <v>310</v>
      </c>
      <c r="E1018" t="s">
        <v>3187</v>
      </c>
      <c r="F1018" t="s">
        <v>69</v>
      </c>
      <c r="G1018" s="1">
        <v>20853</v>
      </c>
      <c r="H1018" s="1">
        <v>41422</v>
      </c>
      <c r="I1018" t="str">
        <f>"51"</f>
        <v>51</v>
      </c>
      <c r="J1018" t="s">
        <v>471</v>
      </c>
      <c r="K1018" t="s">
        <v>25</v>
      </c>
      <c r="L1018" t="s">
        <v>26</v>
      </c>
      <c r="M1018" t="s">
        <v>27</v>
      </c>
      <c r="N1018" s="1">
        <v>18629</v>
      </c>
      <c r="O1018">
        <v>0</v>
      </c>
      <c r="P1018">
        <v>0</v>
      </c>
      <c r="Q1018" t="s">
        <v>37</v>
      </c>
      <c r="R1018" t="s">
        <v>29</v>
      </c>
      <c r="S1018" t="s">
        <v>191</v>
      </c>
      <c r="T1018" t="s">
        <v>192</v>
      </c>
    </row>
    <row r="1019" spans="1:20" x14ac:dyDescent="0.25">
      <c r="A1019" t="s">
        <v>3188</v>
      </c>
      <c r="B1019" t="str">
        <f>"9031"</f>
        <v>9031</v>
      </c>
      <c r="C1019" t="str">
        <f>"285849031"</f>
        <v>285849031</v>
      </c>
      <c r="D1019" t="s">
        <v>3189</v>
      </c>
      <c r="E1019" t="s">
        <v>3190</v>
      </c>
      <c r="F1019" t="s">
        <v>438</v>
      </c>
      <c r="G1019" s="1">
        <v>30115</v>
      </c>
      <c r="H1019" s="1">
        <v>41422</v>
      </c>
      <c r="I1019" t="str">
        <f>"33"</f>
        <v>33</v>
      </c>
      <c r="J1019" t="s">
        <v>45</v>
      </c>
      <c r="K1019" t="s">
        <v>25</v>
      </c>
      <c r="L1019" t="s">
        <v>26</v>
      </c>
      <c r="M1019" t="s">
        <v>27</v>
      </c>
      <c r="N1019" s="1">
        <v>18629</v>
      </c>
      <c r="O1019">
        <v>0</v>
      </c>
      <c r="P1019">
        <v>0</v>
      </c>
      <c r="Q1019" t="s">
        <v>37</v>
      </c>
      <c r="R1019" t="s">
        <v>71</v>
      </c>
      <c r="S1019" t="s">
        <v>3191</v>
      </c>
      <c r="T1019" t="s">
        <v>3192</v>
      </c>
    </row>
    <row r="1020" spans="1:20" x14ac:dyDescent="0.25">
      <c r="A1020" t="s">
        <v>3193</v>
      </c>
      <c r="B1020" t="str">
        <f>"1026"</f>
        <v>1026</v>
      </c>
      <c r="C1020" t="str">
        <f>"295701026"</f>
        <v>295701026</v>
      </c>
      <c r="D1020" t="s">
        <v>3194</v>
      </c>
      <c r="E1020" t="s">
        <v>466</v>
      </c>
      <c r="F1020" t="s">
        <v>97</v>
      </c>
      <c r="G1020" s="1">
        <v>27379</v>
      </c>
      <c r="H1020" s="1">
        <v>41422</v>
      </c>
      <c r="I1020" t="str">
        <f>"03"</f>
        <v>03</v>
      </c>
      <c r="J1020" t="s">
        <v>70</v>
      </c>
      <c r="K1020" t="s">
        <v>98</v>
      </c>
      <c r="L1020" t="s">
        <v>37</v>
      </c>
      <c r="M1020" t="s">
        <v>99</v>
      </c>
      <c r="N1020" s="1">
        <v>41617</v>
      </c>
      <c r="O1020">
        <v>14801.8</v>
      </c>
      <c r="P1020">
        <v>3700.32</v>
      </c>
      <c r="Q1020" t="s">
        <v>28</v>
      </c>
      <c r="R1020" t="s">
        <v>110</v>
      </c>
      <c r="S1020" t="s">
        <v>3195</v>
      </c>
      <c r="T1020" t="s">
        <v>3196</v>
      </c>
    </row>
    <row r="1021" spans="1:20" x14ac:dyDescent="0.25">
      <c r="A1021" t="s">
        <v>3197</v>
      </c>
      <c r="B1021" t="str">
        <f>"0709"</f>
        <v>0709</v>
      </c>
      <c r="C1021" t="str">
        <f>"280700709"</f>
        <v>280700709</v>
      </c>
      <c r="D1021" t="s">
        <v>3198</v>
      </c>
      <c r="E1021" t="s">
        <v>2311</v>
      </c>
      <c r="F1021" t="s">
        <v>219</v>
      </c>
      <c r="G1021" s="1">
        <v>27757</v>
      </c>
      <c r="H1021" s="1">
        <v>41421</v>
      </c>
      <c r="I1021" t="str">
        <f>"03"</f>
        <v>03</v>
      </c>
      <c r="J1021" t="s">
        <v>70</v>
      </c>
      <c r="K1021" t="s">
        <v>510</v>
      </c>
      <c r="L1021" t="s">
        <v>37</v>
      </c>
      <c r="M1021" t="s">
        <v>257</v>
      </c>
      <c r="N1021" s="1">
        <v>41617</v>
      </c>
      <c r="O1021">
        <v>14110.72</v>
      </c>
      <c r="P1021">
        <v>3527.68</v>
      </c>
      <c r="Q1021" t="s">
        <v>37</v>
      </c>
      <c r="R1021" t="s">
        <v>100</v>
      </c>
      <c r="S1021" t="s">
        <v>382</v>
      </c>
      <c r="T1021" t="s">
        <v>383</v>
      </c>
    </row>
    <row r="1022" spans="1:20" x14ac:dyDescent="0.25">
      <c r="A1022" t="s">
        <v>3199</v>
      </c>
      <c r="B1022" t="str">
        <f>"0989"</f>
        <v>0989</v>
      </c>
      <c r="C1022" t="str">
        <f>"279820989"</f>
        <v>279820989</v>
      </c>
      <c r="D1022" t="s">
        <v>3200</v>
      </c>
      <c r="E1022" t="s">
        <v>3201</v>
      </c>
      <c r="F1022" t="s">
        <v>3202</v>
      </c>
      <c r="G1022" s="1">
        <v>25185</v>
      </c>
      <c r="H1022" s="1">
        <v>41421</v>
      </c>
      <c r="I1022" t="str">
        <f>"41"</f>
        <v>41</v>
      </c>
      <c r="J1022" t="s">
        <v>24</v>
      </c>
      <c r="K1022" t="s">
        <v>25</v>
      </c>
      <c r="L1022" t="s">
        <v>26</v>
      </c>
      <c r="M1022" t="s">
        <v>27</v>
      </c>
      <c r="N1022" s="1">
        <v>18629</v>
      </c>
      <c r="O1022">
        <v>0</v>
      </c>
      <c r="P1022">
        <v>0</v>
      </c>
      <c r="Q1022" t="s">
        <v>37</v>
      </c>
      <c r="R1022" t="s">
        <v>71</v>
      </c>
      <c r="S1022" t="s">
        <v>83</v>
      </c>
      <c r="T1022" t="s">
        <v>84</v>
      </c>
    </row>
    <row r="1023" spans="1:20" x14ac:dyDescent="0.25">
      <c r="A1023" t="s">
        <v>3203</v>
      </c>
      <c r="B1023" t="str">
        <f>"5410"</f>
        <v>5410</v>
      </c>
      <c r="C1023" t="str">
        <f>"279825410"</f>
        <v>279825410</v>
      </c>
      <c r="D1023" t="s">
        <v>3204</v>
      </c>
      <c r="E1023" t="s">
        <v>1711</v>
      </c>
      <c r="G1023" s="1">
        <v>28850</v>
      </c>
      <c r="H1023" s="1">
        <v>41421</v>
      </c>
      <c r="I1023" t="str">
        <f>"51"</f>
        <v>51</v>
      </c>
      <c r="J1023" t="s">
        <v>471</v>
      </c>
      <c r="K1023" t="s">
        <v>25</v>
      </c>
      <c r="L1023" t="s">
        <v>26</v>
      </c>
      <c r="M1023" t="s">
        <v>27</v>
      </c>
      <c r="N1023" s="1">
        <v>18629</v>
      </c>
      <c r="O1023">
        <v>0</v>
      </c>
      <c r="P1023">
        <v>0</v>
      </c>
      <c r="Q1023" t="s">
        <v>37</v>
      </c>
      <c r="R1023" t="s">
        <v>100</v>
      </c>
      <c r="S1023" t="s">
        <v>3205</v>
      </c>
      <c r="T1023" t="s">
        <v>3206</v>
      </c>
    </row>
    <row r="1024" spans="1:20" x14ac:dyDescent="0.25">
      <c r="A1024" t="s">
        <v>3207</v>
      </c>
      <c r="B1024" t="str">
        <f>"0911"</f>
        <v>0911</v>
      </c>
      <c r="C1024" t="str">
        <f>"278680911"</f>
        <v>278680911</v>
      </c>
      <c r="D1024" t="s">
        <v>3208</v>
      </c>
      <c r="E1024" t="s">
        <v>588</v>
      </c>
      <c r="F1024" t="s">
        <v>97</v>
      </c>
      <c r="G1024" s="1">
        <v>27531</v>
      </c>
      <c r="H1024" s="1">
        <v>41414</v>
      </c>
      <c r="I1024" t="str">
        <f>"52"</f>
        <v>52</v>
      </c>
      <c r="J1024" t="s">
        <v>330</v>
      </c>
      <c r="K1024" t="s">
        <v>25</v>
      </c>
      <c r="L1024" t="s">
        <v>26</v>
      </c>
      <c r="M1024" t="s">
        <v>27</v>
      </c>
      <c r="N1024" s="1">
        <v>18629</v>
      </c>
      <c r="O1024">
        <v>0</v>
      </c>
      <c r="P1024">
        <v>0</v>
      </c>
      <c r="Q1024" t="s">
        <v>28</v>
      </c>
      <c r="R1024" t="s">
        <v>258</v>
      </c>
      <c r="S1024" t="s">
        <v>336</v>
      </c>
      <c r="T1024" t="s">
        <v>337</v>
      </c>
    </row>
    <row r="1025" spans="1:20" x14ac:dyDescent="0.25">
      <c r="A1025" t="s">
        <v>3209</v>
      </c>
      <c r="B1025" t="str">
        <f>"9690"</f>
        <v>9690</v>
      </c>
      <c r="C1025" t="str">
        <f>"285969690"</f>
        <v>285969690</v>
      </c>
      <c r="D1025" t="s">
        <v>1279</v>
      </c>
      <c r="E1025" t="s">
        <v>3210</v>
      </c>
      <c r="F1025" t="s">
        <v>28</v>
      </c>
      <c r="G1025" s="1">
        <v>34186</v>
      </c>
      <c r="H1025" s="1">
        <v>41411</v>
      </c>
      <c r="I1025" t="str">
        <f>"34"</f>
        <v>34</v>
      </c>
      <c r="J1025" t="s">
        <v>388</v>
      </c>
      <c r="K1025" t="s">
        <v>25</v>
      </c>
      <c r="L1025" t="s">
        <v>26</v>
      </c>
      <c r="M1025" t="s">
        <v>27</v>
      </c>
      <c r="N1025" s="1">
        <v>18629</v>
      </c>
      <c r="O1025">
        <v>0</v>
      </c>
      <c r="P1025">
        <v>0</v>
      </c>
      <c r="Q1025" t="s">
        <v>37</v>
      </c>
      <c r="R1025" t="s">
        <v>29</v>
      </c>
      <c r="S1025" t="s">
        <v>615</v>
      </c>
      <c r="T1025" t="s">
        <v>616</v>
      </c>
    </row>
    <row r="1026" spans="1:20" x14ac:dyDescent="0.25">
      <c r="A1026" t="s">
        <v>3211</v>
      </c>
      <c r="B1026" t="str">
        <f>"5758"</f>
        <v>5758</v>
      </c>
      <c r="C1026" t="str">
        <f>"286825758"</f>
        <v>286825758</v>
      </c>
      <c r="D1026" t="s">
        <v>3212</v>
      </c>
      <c r="E1026" t="s">
        <v>609</v>
      </c>
      <c r="F1026" t="s">
        <v>122</v>
      </c>
      <c r="G1026" s="1">
        <v>30887</v>
      </c>
      <c r="H1026" s="1">
        <v>41407</v>
      </c>
      <c r="I1026" t="str">
        <f>"12"</f>
        <v>12</v>
      </c>
      <c r="J1026" t="s">
        <v>245</v>
      </c>
      <c r="K1026" t="s">
        <v>98</v>
      </c>
      <c r="L1026" t="s">
        <v>37</v>
      </c>
      <c r="M1026" t="s">
        <v>117</v>
      </c>
      <c r="N1026" s="1">
        <v>41617</v>
      </c>
      <c r="O1026">
        <v>4951.96</v>
      </c>
      <c r="P1026">
        <v>1237.8599999999999</v>
      </c>
      <c r="Q1026" t="s">
        <v>28</v>
      </c>
      <c r="R1026" t="s">
        <v>29</v>
      </c>
      <c r="S1026" t="s">
        <v>283</v>
      </c>
      <c r="T1026" t="s">
        <v>284</v>
      </c>
    </row>
    <row r="1027" spans="1:20" x14ac:dyDescent="0.25">
      <c r="A1027" t="s">
        <v>3213</v>
      </c>
      <c r="B1027" t="str">
        <f>"3634"</f>
        <v>3634</v>
      </c>
      <c r="C1027" t="str">
        <f>"297563634"</f>
        <v>297563634</v>
      </c>
      <c r="D1027" t="s">
        <v>3214</v>
      </c>
      <c r="E1027" t="s">
        <v>2917</v>
      </c>
      <c r="F1027" t="s">
        <v>69</v>
      </c>
      <c r="G1027" s="1">
        <v>20344</v>
      </c>
      <c r="H1027" s="1">
        <v>41407</v>
      </c>
      <c r="I1027" t="str">
        <f>"12"</f>
        <v>12</v>
      </c>
      <c r="J1027" t="s">
        <v>245</v>
      </c>
      <c r="K1027" t="s">
        <v>98</v>
      </c>
      <c r="L1027" t="s">
        <v>37</v>
      </c>
      <c r="M1027" t="s">
        <v>117</v>
      </c>
      <c r="N1027" s="1">
        <v>41617</v>
      </c>
      <c r="O1027">
        <v>4951.96</v>
      </c>
      <c r="P1027">
        <v>1237.8599999999999</v>
      </c>
      <c r="Q1027" t="s">
        <v>37</v>
      </c>
      <c r="R1027" t="s">
        <v>110</v>
      </c>
      <c r="S1027" t="s">
        <v>1346</v>
      </c>
      <c r="T1027" t="s">
        <v>1347</v>
      </c>
    </row>
    <row r="1028" spans="1:20" x14ac:dyDescent="0.25">
      <c r="A1028" t="s">
        <v>3215</v>
      </c>
      <c r="B1028" t="str">
        <f>"2391"</f>
        <v>2391</v>
      </c>
      <c r="C1028" t="str">
        <f>"284682391"</f>
        <v>284682391</v>
      </c>
      <c r="D1028" t="s">
        <v>3216</v>
      </c>
      <c r="E1028" t="s">
        <v>1248</v>
      </c>
      <c r="F1028" t="s">
        <v>28</v>
      </c>
      <c r="G1028" s="1">
        <v>24476</v>
      </c>
      <c r="H1028" s="1">
        <v>41407</v>
      </c>
      <c r="I1028" t="str">
        <f>"12"</f>
        <v>12</v>
      </c>
      <c r="J1028" t="s">
        <v>245</v>
      </c>
      <c r="K1028" t="s">
        <v>98</v>
      </c>
      <c r="L1028" t="s">
        <v>37</v>
      </c>
      <c r="M1028" t="s">
        <v>99</v>
      </c>
      <c r="N1028" s="1">
        <v>41617</v>
      </c>
      <c r="O1028">
        <v>14801.8</v>
      </c>
      <c r="P1028">
        <v>3700.32</v>
      </c>
      <c r="Q1028" t="s">
        <v>37</v>
      </c>
      <c r="R1028" t="s">
        <v>110</v>
      </c>
      <c r="S1028" t="s">
        <v>482</v>
      </c>
      <c r="T1028" t="s">
        <v>483</v>
      </c>
    </row>
    <row r="1029" spans="1:20" x14ac:dyDescent="0.25">
      <c r="A1029" t="s">
        <v>3217</v>
      </c>
      <c r="B1029" t="str">
        <f>"4668"</f>
        <v>4668</v>
      </c>
      <c r="C1029" t="str">
        <f>"273644668"</f>
        <v>273644668</v>
      </c>
      <c r="D1029" t="s">
        <v>3218</v>
      </c>
      <c r="E1029" t="s">
        <v>1248</v>
      </c>
      <c r="G1029" s="1">
        <v>21592</v>
      </c>
      <c r="H1029" s="1">
        <v>41407</v>
      </c>
      <c r="I1029" t="str">
        <f>"30"</f>
        <v>30</v>
      </c>
      <c r="J1029" t="s">
        <v>50</v>
      </c>
      <c r="K1029" t="s">
        <v>25</v>
      </c>
      <c r="L1029" t="s">
        <v>26</v>
      </c>
      <c r="M1029" t="s">
        <v>27</v>
      </c>
      <c r="N1029" s="1">
        <v>18629</v>
      </c>
      <c r="O1029">
        <v>0</v>
      </c>
      <c r="P1029">
        <v>0</v>
      </c>
      <c r="Q1029" t="s">
        <v>37</v>
      </c>
      <c r="R1029" t="s">
        <v>29</v>
      </c>
      <c r="S1029" t="s">
        <v>584</v>
      </c>
      <c r="T1029" t="s">
        <v>585</v>
      </c>
    </row>
    <row r="1030" spans="1:20" x14ac:dyDescent="0.25">
      <c r="A1030" t="s">
        <v>3219</v>
      </c>
      <c r="B1030" t="str">
        <f>"1887"</f>
        <v>1887</v>
      </c>
      <c r="C1030" t="str">
        <f>"301681887"</f>
        <v>301681887</v>
      </c>
      <c r="D1030" t="s">
        <v>1156</v>
      </c>
      <c r="E1030" t="s">
        <v>179</v>
      </c>
      <c r="F1030" t="s">
        <v>165</v>
      </c>
      <c r="G1030" s="1">
        <v>25328</v>
      </c>
      <c r="H1030" s="1">
        <v>41407</v>
      </c>
      <c r="I1030" t="str">
        <f>"01"</f>
        <v>01</v>
      </c>
      <c r="J1030" t="s">
        <v>116</v>
      </c>
      <c r="K1030" t="s">
        <v>98</v>
      </c>
      <c r="L1030" t="s">
        <v>37</v>
      </c>
      <c r="M1030" t="s">
        <v>117</v>
      </c>
      <c r="N1030" s="1">
        <v>41617</v>
      </c>
      <c r="O1030">
        <v>4951.96</v>
      </c>
      <c r="P1030">
        <v>1237.8599999999999</v>
      </c>
      <c r="Q1030" t="s">
        <v>28</v>
      </c>
      <c r="R1030" t="s">
        <v>29</v>
      </c>
      <c r="S1030" t="s">
        <v>283</v>
      </c>
      <c r="T1030" t="s">
        <v>284</v>
      </c>
    </row>
    <row r="1031" spans="1:20" x14ac:dyDescent="0.25">
      <c r="A1031" t="s">
        <v>3220</v>
      </c>
      <c r="B1031" t="str">
        <f>"9521"</f>
        <v>9521</v>
      </c>
      <c r="C1031" t="str">
        <f>"599349521"</f>
        <v>599349521</v>
      </c>
      <c r="D1031" t="s">
        <v>3221</v>
      </c>
      <c r="E1031" t="s">
        <v>722</v>
      </c>
      <c r="G1031" s="1">
        <v>33779</v>
      </c>
      <c r="H1031" s="1">
        <v>41407</v>
      </c>
      <c r="I1031" t="str">
        <f>"34"</f>
        <v>34</v>
      </c>
      <c r="J1031" t="s">
        <v>388</v>
      </c>
      <c r="K1031" t="s">
        <v>25</v>
      </c>
      <c r="L1031" t="s">
        <v>26</v>
      </c>
      <c r="M1031" t="s">
        <v>27</v>
      </c>
      <c r="N1031" s="1">
        <v>18629</v>
      </c>
      <c r="O1031">
        <v>0</v>
      </c>
      <c r="P1031">
        <v>0</v>
      </c>
      <c r="Q1031" t="s">
        <v>28</v>
      </c>
      <c r="R1031" t="s">
        <v>29</v>
      </c>
      <c r="S1031" t="s">
        <v>615</v>
      </c>
      <c r="T1031" t="s">
        <v>616</v>
      </c>
    </row>
    <row r="1032" spans="1:20" x14ac:dyDescent="0.25">
      <c r="A1032" t="s">
        <v>3222</v>
      </c>
      <c r="B1032" t="str">
        <f>"8485"</f>
        <v>8485</v>
      </c>
      <c r="C1032" t="str">
        <f>"290668485"</f>
        <v>290668485</v>
      </c>
      <c r="D1032" t="s">
        <v>3223</v>
      </c>
      <c r="E1032" t="s">
        <v>463</v>
      </c>
      <c r="G1032" s="1">
        <v>21592</v>
      </c>
      <c r="H1032" s="1">
        <v>41407</v>
      </c>
      <c r="I1032" t="str">
        <f>"01"</f>
        <v>01</v>
      </c>
      <c r="J1032" t="s">
        <v>116</v>
      </c>
      <c r="K1032" t="s">
        <v>98</v>
      </c>
      <c r="L1032" t="s">
        <v>37</v>
      </c>
      <c r="M1032" t="s">
        <v>117</v>
      </c>
      <c r="N1032" s="1">
        <v>41617</v>
      </c>
      <c r="O1032">
        <v>4951.96</v>
      </c>
      <c r="P1032">
        <v>1237.8599999999999</v>
      </c>
      <c r="Q1032" t="s">
        <v>28</v>
      </c>
      <c r="R1032" t="s">
        <v>258</v>
      </c>
      <c r="S1032" t="s">
        <v>557</v>
      </c>
      <c r="T1032" t="s">
        <v>558</v>
      </c>
    </row>
    <row r="1033" spans="1:20" x14ac:dyDescent="0.25">
      <c r="A1033" t="s">
        <v>3224</v>
      </c>
      <c r="B1033" t="str">
        <f>"6041"</f>
        <v>6041</v>
      </c>
      <c r="C1033" t="str">
        <f>"268966041"</f>
        <v>268966041</v>
      </c>
      <c r="D1033" t="s">
        <v>3225</v>
      </c>
      <c r="E1033" t="s">
        <v>3226</v>
      </c>
      <c r="F1033" t="s">
        <v>344</v>
      </c>
      <c r="G1033" s="1">
        <v>33802</v>
      </c>
      <c r="H1033" s="1">
        <v>41407</v>
      </c>
      <c r="I1033" t="str">
        <f>"34"</f>
        <v>34</v>
      </c>
      <c r="J1033" t="s">
        <v>388</v>
      </c>
      <c r="K1033" t="s">
        <v>25</v>
      </c>
      <c r="L1033" t="s">
        <v>26</v>
      </c>
      <c r="M1033" t="s">
        <v>27</v>
      </c>
      <c r="N1033" s="1">
        <v>18629</v>
      </c>
      <c r="O1033">
        <v>0</v>
      </c>
      <c r="P1033">
        <v>0</v>
      </c>
      <c r="Q1033" t="s">
        <v>37</v>
      </c>
      <c r="R1033" t="s">
        <v>29</v>
      </c>
      <c r="S1033" t="s">
        <v>615</v>
      </c>
      <c r="T1033" t="s">
        <v>616</v>
      </c>
    </row>
    <row r="1034" spans="1:20" x14ac:dyDescent="0.25">
      <c r="A1034" t="s">
        <v>3227</v>
      </c>
      <c r="B1034" t="str">
        <f>"3847"</f>
        <v>3847</v>
      </c>
      <c r="C1034" t="str">
        <f>"287963847"</f>
        <v>287963847</v>
      </c>
      <c r="D1034" t="s">
        <v>3228</v>
      </c>
      <c r="E1034" t="s">
        <v>949</v>
      </c>
      <c r="F1034" t="s">
        <v>3229</v>
      </c>
      <c r="G1034" s="1">
        <v>34198</v>
      </c>
      <c r="H1034" s="1">
        <v>41407</v>
      </c>
      <c r="I1034" t="str">
        <f>"34"</f>
        <v>34</v>
      </c>
      <c r="J1034" t="s">
        <v>388</v>
      </c>
      <c r="K1034" t="s">
        <v>25</v>
      </c>
      <c r="L1034" t="s">
        <v>26</v>
      </c>
      <c r="M1034" t="s">
        <v>27</v>
      </c>
      <c r="N1034" s="1">
        <v>18629</v>
      </c>
      <c r="O1034">
        <v>0</v>
      </c>
      <c r="P1034">
        <v>0</v>
      </c>
      <c r="Q1034" t="s">
        <v>28</v>
      </c>
      <c r="R1034" t="s">
        <v>29</v>
      </c>
      <c r="S1034" t="s">
        <v>615</v>
      </c>
      <c r="T1034" t="s">
        <v>616</v>
      </c>
    </row>
    <row r="1035" spans="1:20" x14ac:dyDescent="0.25">
      <c r="A1035" t="s">
        <v>3230</v>
      </c>
      <c r="B1035" t="str">
        <f>"3737"</f>
        <v>3737</v>
      </c>
      <c r="C1035" t="str">
        <f>"284943737"</f>
        <v>284943737</v>
      </c>
      <c r="D1035" t="s">
        <v>3231</v>
      </c>
      <c r="E1035" t="s">
        <v>3232</v>
      </c>
      <c r="F1035" t="s">
        <v>33</v>
      </c>
      <c r="G1035" s="1">
        <v>33523</v>
      </c>
      <c r="H1035" s="1">
        <v>41407</v>
      </c>
      <c r="I1035" t="str">
        <f>"34"</f>
        <v>34</v>
      </c>
      <c r="J1035" t="s">
        <v>388</v>
      </c>
      <c r="K1035" t="s">
        <v>25</v>
      </c>
      <c r="L1035" t="s">
        <v>26</v>
      </c>
      <c r="M1035" t="s">
        <v>27</v>
      </c>
      <c r="N1035" s="1">
        <v>18629</v>
      </c>
      <c r="O1035">
        <v>0</v>
      </c>
      <c r="P1035">
        <v>0</v>
      </c>
      <c r="Q1035" t="s">
        <v>28</v>
      </c>
      <c r="R1035" t="s">
        <v>29</v>
      </c>
      <c r="S1035" t="s">
        <v>615</v>
      </c>
      <c r="T1035" t="s">
        <v>616</v>
      </c>
    </row>
    <row r="1036" spans="1:20" x14ac:dyDescent="0.25">
      <c r="A1036" t="s">
        <v>3233</v>
      </c>
      <c r="B1036" t="str">
        <f>"1257"</f>
        <v>1257</v>
      </c>
      <c r="C1036" t="str">
        <f>"279881257"</f>
        <v>279881257</v>
      </c>
      <c r="D1036" t="s">
        <v>3234</v>
      </c>
      <c r="E1036" t="s">
        <v>2461</v>
      </c>
      <c r="F1036" t="s">
        <v>93</v>
      </c>
      <c r="G1036" s="1">
        <v>31764</v>
      </c>
      <c r="H1036" s="1">
        <v>41407</v>
      </c>
      <c r="I1036" t="str">
        <f>"05"</f>
        <v>05</v>
      </c>
      <c r="J1036" t="s">
        <v>58</v>
      </c>
      <c r="K1036" t="s">
        <v>98</v>
      </c>
      <c r="L1036" t="s">
        <v>37</v>
      </c>
      <c r="M1036" t="s">
        <v>257</v>
      </c>
      <c r="N1036" s="1">
        <v>41701</v>
      </c>
      <c r="O1036">
        <v>10753.08</v>
      </c>
      <c r="P1036">
        <v>2688.4</v>
      </c>
      <c r="Q1036" t="s">
        <v>37</v>
      </c>
      <c r="R1036" t="s">
        <v>29</v>
      </c>
      <c r="S1036" t="s">
        <v>259</v>
      </c>
      <c r="T1036" t="s">
        <v>260</v>
      </c>
    </row>
    <row r="1037" spans="1:20" x14ac:dyDescent="0.25">
      <c r="A1037" t="s">
        <v>3235</v>
      </c>
      <c r="B1037" t="str">
        <f>"1997"</f>
        <v>1997</v>
      </c>
      <c r="C1037" t="str">
        <f>"292841997"</f>
        <v>292841997</v>
      </c>
      <c r="D1037" t="s">
        <v>3236</v>
      </c>
      <c r="E1037" t="s">
        <v>2500</v>
      </c>
      <c r="G1037" s="1">
        <v>31594</v>
      </c>
      <c r="H1037" s="1">
        <v>41407</v>
      </c>
      <c r="I1037" t="str">
        <f>"12"</f>
        <v>12</v>
      </c>
      <c r="J1037" t="s">
        <v>245</v>
      </c>
      <c r="K1037" t="s">
        <v>98</v>
      </c>
      <c r="L1037" t="s">
        <v>37</v>
      </c>
      <c r="M1037" t="s">
        <v>117</v>
      </c>
      <c r="N1037" s="1">
        <v>41617</v>
      </c>
      <c r="O1037">
        <v>4951.96</v>
      </c>
      <c r="P1037">
        <v>1237.8599999999999</v>
      </c>
      <c r="Q1037" t="s">
        <v>37</v>
      </c>
      <c r="R1037" t="s">
        <v>38</v>
      </c>
      <c r="S1037" t="s">
        <v>1051</v>
      </c>
      <c r="T1037" t="s">
        <v>1052</v>
      </c>
    </row>
    <row r="1038" spans="1:20" x14ac:dyDescent="0.25">
      <c r="A1038" t="s">
        <v>3237</v>
      </c>
      <c r="B1038" t="str">
        <f>"4990"</f>
        <v>4990</v>
      </c>
      <c r="C1038" t="str">
        <f>"286964990"</f>
        <v>286964990</v>
      </c>
      <c r="D1038" t="s">
        <v>3238</v>
      </c>
      <c r="E1038" t="s">
        <v>3059</v>
      </c>
      <c r="F1038" t="s">
        <v>26</v>
      </c>
      <c r="G1038" s="1">
        <v>34150</v>
      </c>
      <c r="H1038" s="1">
        <v>41404</v>
      </c>
      <c r="I1038" t="str">
        <f>"34"</f>
        <v>34</v>
      </c>
      <c r="J1038" t="s">
        <v>388</v>
      </c>
      <c r="K1038" t="s">
        <v>25</v>
      </c>
      <c r="L1038" t="s">
        <v>26</v>
      </c>
      <c r="M1038" t="s">
        <v>27</v>
      </c>
      <c r="N1038" s="1">
        <v>18629</v>
      </c>
      <c r="O1038">
        <v>0</v>
      </c>
      <c r="P1038">
        <v>0</v>
      </c>
      <c r="Q1038" t="s">
        <v>28</v>
      </c>
      <c r="R1038" t="s">
        <v>71</v>
      </c>
      <c r="S1038" t="s">
        <v>1702</v>
      </c>
      <c r="T1038" t="s">
        <v>1703</v>
      </c>
    </row>
    <row r="1039" spans="1:20" x14ac:dyDescent="0.25">
      <c r="A1039" t="s">
        <v>3239</v>
      </c>
      <c r="B1039" t="str">
        <f>"6766"</f>
        <v>6766</v>
      </c>
      <c r="C1039" t="str">
        <f>"181446766"</f>
        <v>181446766</v>
      </c>
      <c r="D1039" t="s">
        <v>3240</v>
      </c>
      <c r="E1039" t="s">
        <v>3241</v>
      </c>
      <c r="F1039" t="s">
        <v>97</v>
      </c>
      <c r="G1039" s="1">
        <v>24374</v>
      </c>
      <c r="H1039" s="1">
        <v>41400</v>
      </c>
      <c r="I1039" t="str">
        <f>"41"</f>
        <v>41</v>
      </c>
      <c r="J1039" t="s">
        <v>24</v>
      </c>
      <c r="K1039" t="s">
        <v>25</v>
      </c>
      <c r="L1039" t="s">
        <v>26</v>
      </c>
      <c r="M1039" t="s">
        <v>27</v>
      </c>
      <c r="N1039" s="1">
        <v>18629</v>
      </c>
      <c r="O1039">
        <v>0</v>
      </c>
      <c r="P1039">
        <v>0</v>
      </c>
      <c r="Q1039" t="s">
        <v>37</v>
      </c>
      <c r="R1039" t="s">
        <v>71</v>
      </c>
      <c r="S1039" t="s">
        <v>2297</v>
      </c>
      <c r="T1039" t="s">
        <v>2298</v>
      </c>
    </row>
    <row r="1040" spans="1:20" x14ac:dyDescent="0.25">
      <c r="A1040" t="s">
        <v>3242</v>
      </c>
      <c r="B1040" t="str">
        <f>"5129"</f>
        <v>5129</v>
      </c>
      <c r="C1040" t="str">
        <f>"290465129"</f>
        <v>290465129</v>
      </c>
      <c r="D1040" t="s">
        <v>3243</v>
      </c>
      <c r="E1040" t="s">
        <v>381</v>
      </c>
      <c r="F1040" t="s">
        <v>44</v>
      </c>
      <c r="G1040" s="1">
        <v>17525</v>
      </c>
      <c r="H1040" s="1">
        <v>41395</v>
      </c>
      <c r="I1040" t="str">
        <f>"53"</f>
        <v>53</v>
      </c>
      <c r="J1040" t="s">
        <v>917</v>
      </c>
      <c r="K1040" t="s">
        <v>25</v>
      </c>
      <c r="L1040" t="s">
        <v>26</v>
      </c>
      <c r="M1040" t="s">
        <v>27</v>
      </c>
      <c r="N1040" s="1">
        <v>18629</v>
      </c>
      <c r="O1040">
        <v>0</v>
      </c>
      <c r="P1040">
        <v>0</v>
      </c>
      <c r="Q1040" t="s">
        <v>37</v>
      </c>
      <c r="R1040" t="s">
        <v>312</v>
      </c>
      <c r="S1040" t="s">
        <v>918</v>
      </c>
      <c r="T1040" t="s">
        <v>919</v>
      </c>
    </row>
    <row r="1041" spans="1:20" x14ac:dyDescent="0.25">
      <c r="A1041" t="s">
        <v>3244</v>
      </c>
      <c r="B1041" t="str">
        <f>"6419"</f>
        <v>6419</v>
      </c>
      <c r="C1041" t="str">
        <f>"280626419"</f>
        <v>280626419</v>
      </c>
      <c r="D1041" t="s">
        <v>3245</v>
      </c>
      <c r="E1041" t="s">
        <v>146</v>
      </c>
      <c r="F1041" t="s">
        <v>93</v>
      </c>
      <c r="G1041" s="1">
        <v>26631</v>
      </c>
      <c r="H1041" s="1">
        <v>41394</v>
      </c>
      <c r="I1041" t="str">
        <f>"33"</f>
        <v>33</v>
      </c>
      <c r="J1041" t="s">
        <v>45</v>
      </c>
      <c r="K1041" t="s">
        <v>25</v>
      </c>
      <c r="L1041" t="s">
        <v>26</v>
      </c>
      <c r="M1041" t="s">
        <v>27</v>
      </c>
      <c r="N1041" s="1">
        <v>18629</v>
      </c>
      <c r="O1041">
        <v>0</v>
      </c>
      <c r="P1041">
        <v>0</v>
      </c>
      <c r="Q1041" t="s">
        <v>37</v>
      </c>
      <c r="R1041" t="s">
        <v>100</v>
      </c>
      <c r="S1041" t="s">
        <v>757</v>
      </c>
      <c r="T1041" t="s">
        <v>758</v>
      </c>
    </row>
    <row r="1042" spans="1:20" x14ac:dyDescent="0.25">
      <c r="A1042" t="s">
        <v>3246</v>
      </c>
      <c r="B1042" t="str">
        <f>"2377"</f>
        <v>2377</v>
      </c>
      <c r="C1042" t="str">
        <f>"353662377"</f>
        <v>353662377</v>
      </c>
      <c r="D1042" t="s">
        <v>3247</v>
      </c>
      <c r="E1042" t="s">
        <v>3248</v>
      </c>
      <c r="G1042" s="1">
        <v>20977</v>
      </c>
      <c r="H1042" s="1">
        <v>41393</v>
      </c>
      <c r="I1042" t="str">
        <f>"01"</f>
        <v>01</v>
      </c>
      <c r="J1042" t="s">
        <v>116</v>
      </c>
      <c r="K1042" t="s">
        <v>175</v>
      </c>
      <c r="L1042" t="s">
        <v>37</v>
      </c>
      <c r="M1042" t="s">
        <v>257</v>
      </c>
      <c r="N1042" s="1">
        <v>41617</v>
      </c>
      <c r="O1042">
        <v>11847.94</v>
      </c>
      <c r="P1042">
        <v>2961.92</v>
      </c>
      <c r="Q1042" t="s">
        <v>28</v>
      </c>
      <c r="R1042" t="s">
        <v>258</v>
      </c>
      <c r="S1042" t="s">
        <v>1315</v>
      </c>
      <c r="T1042" t="s">
        <v>1316</v>
      </c>
    </row>
    <row r="1043" spans="1:20" x14ac:dyDescent="0.25">
      <c r="A1043" t="s">
        <v>3249</v>
      </c>
      <c r="B1043" t="str">
        <f>"6845"</f>
        <v>6845</v>
      </c>
      <c r="C1043" t="str">
        <f>"271646845"</f>
        <v>271646845</v>
      </c>
      <c r="D1043" t="s">
        <v>3250</v>
      </c>
      <c r="E1043" t="s">
        <v>35</v>
      </c>
      <c r="G1043" s="1">
        <v>22294</v>
      </c>
      <c r="H1043" s="1">
        <v>41393</v>
      </c>
      <c r="I1043" t="str">
        <f>"01"</f>
        <v>01</v>
      </c>
      <c r="J1043" t="s">
        <v>116</v>
      </c>
      <c r="K1043" t="s">
        <v>98</v>
      </c>
      <c r="L1043" t="s">
        <v>37</v>
      </c>
      <c r="M1043" t="s">
        <v>99</v>
      </c>
      <c r="N1043" s="1">
        <v>41617</v>
      </c>
      <c r="O1043">
        <v>14801.8</v>
      </c>
      <c r="P1043">
        <v>3700.32</v>
      </c>
      <c r="Q1043" t="s">
        <v>28</v>
      </c>
      <c r="R1043" t="s">
        <v>29</v>
      </c>
      <c r="S1043" t="s">
        <v>3251</v>
      </c>
      <c r="T1043" t="s">
        <v>3252</v>
      </c>
    </row>
    <row r="1044" spans="1:20" x14ac:dyDescent="0.25">
      <c r="A1044" t="s">
        <v>3253</v>
      </c>
      <c r="B1044" t="str">
        <f>"7656"</f>
        <v>7656</v>
      </c>
      <c r="C1044" t="str">
        <f>"282767656"</f>
        <v>282767656</v>
      </c>
      <c r="D1044" t="s">
        <v>3254</v>
      </c>
      <c r="E1044" t="s">
        <v>322</v>
      </c>
      <c r="F1044" t="s">
        <v>219</v>
      </c>
      <c r="G1044" s="1">
        <v>29408</v>
      </c>
      <c r="H1044" s="1">
        <v>41393</v>
      </c>
      <c r="I1044" t="str">
        <f>"51"</f>
        <v>51</v>
      </c>
      <c r="J1044" t="s">
        <v>471</v>
      </c>
      <c r="K1044" t="s">
        <v>25</v>
      </c>
      <c r="L1044" t="s">
        <v>26</v>
      </c>
      <c r="M1044" t="s">
        <v>27</v>
      </c>
      <c r="N1044" s="1">
        <v>18629</v>
      </c>
      <c r="O1044">
        <v>0</v>
      </c>
      <c r="P1044">
        <v>0</v>
      </c>
      <c r="Q1044" t="s">
        <v>37</v>
      </c>
      <c r="R1044" t="s">
        <v>1015</v>
      </c>
      <c r="S1044" t="s">
        <v>472</v>
      </c>
      <c r="T1044" t="s">
        <v>473</v>
      </c>
    </row>
    <row r="1045" spans="1:20" x14ac:dyDescent="0.25">
      <c r="A1045" t="s">
        <v>3255</v>
      </c>
      <c r="B1045" t="str">
        <f>"3570"</f>
        <v>3570</v>
      </c>
      <c r="C1045" t="str">
        <f>"277723570"</f>
        <v>277723570</v>
      </c>
      <c r="D1045" t="s">
        <v>3256</v>
      </c>
      <c r="E1045" t="s">
        <v>3257</v>
      </c>
      <c r="G1045" s="1">
        <v>25899</v>
      </c>
      <c r="H1045" s="1">
        <v>41393</v>
      </c>
      <c r="I1045" t="str">
        <f>"51"</f>
        <v>51</v>
      </c>
      <c r="J1045" t="s">
        <v>471</v>
      </c>
      <c r="K1045" t="s">
        <v>25</v>
      </c>
      <c r="L1045" t="s">
        <v>26</v>
      </c>
      <c r="M1045" t="s">
        <v>27</v>
      </c>
      <c r="N1045" s="1">
        <v>18629</v>
      </c>
      <c r="O1045">
        <v>0</v>
      </c>
      <c r="P1045">
        <v>0</v>
      </c>
      <c r="Q1045" t="s">
        <v>37</v>
      </c>
      <c r="R1045" t="s">
        <v>29</v>
      </c>
      <c r="S1045" t="s">
        <v>3258</v>
      </c>
      <c r="T1045" t="s">
        <v>3259</v>
      </c>
    </row>
    <row r="1046" spans="1:20" x14ac:dyDescent="0.25">
      <c r="A1046" t="s">
        <v>3260</v>
      </c>
      <c r="B1046" t="str">
        <f>"7616"</f>
        <v>7616</v>
      </c>
      <c r="C1046" t="str">
        <f>"480707616"</f>
        <v>480707616</v>
      </c>
      <c r="D1046" t="s">
        <v>3261</v>
      </c>
      <c r="E1046" t="s">
        <v>1799</v>
      </c>
      <c r="F1046" t="s">
        <v>28</v>
      </c>
      <c r="G1046" s="1">
        <v>24282</v>
      </c>
      <c r="H1046" s="1">
        <v>41393</v>
      </c>
      <c r="I1046" t="str">
        <f>"15"</f>
        <v>15</v>
      </c>
      <c r="J1046" t="s">
        <v>36</v>
      </c>
      <c r="K1046" t="s">
        <v>98</v>
      </c>
      <c r="L1046" t="s">
        <v>37</v>
      </c>
      <c r="M1046" t="s">
        <v>117</v>
      </c>
      <c r="N1046" s="1">
        <v>41617</v>
      </c>
      <c r="O1046">
        <v>4951.96</v>
      </c>
      <c r="P1046">
        <v>1237.8599999999999</v>
      </c>
      <c r="Q1046" t="s">
        <v>37</v>
      </c>
      <c r="R1046" t="s">
        <v>51</v>
      </c>
      <c r="S1046" s="2" t="s">
        <v>198</v>
      </c>
      <c r="T1046" t="s">
        <v>199</v>
      </c>
    </row>
    <row r="1047" spans="1:20" x14ac:dyDescent="0.25">
      <c r="A1047" t="s">
        <v>3262</v>
      </c>
      <c r="B1047" t="str">
        <f>"5658"</f>
        <v>5658</v>
      </c>
      <c r="C1047" t="str">
        <f>"269945658"</f>
        <v>269945658</v>
      </c>
      <c r="D1047" t="s">
        <v>3263</v>
      </c>
      <c r="E1047" t="s">
        <v>430</v>
      </c>
      <c r="G1047" s="1">
        <v>32681</v>
      </c>
      <c r="H1047" s="1">
        <v>41393</v>
      </c>
      <c r="I1047" t="str">
        <f>"30"</f>
        <v>30</v>
      </c>
      <c r="J1047" t="s">
        <v>50</v>
      </c>
      <c r="K1047" t="s">
        <v>25</v>
      </c>
      <c r="L1047" t="s">
        <v>26</v>
      </c>
      <c r="M1047" t="s">
        <v>27</v>
      </c>
      <c r="N1047" s="1">
        <v>18629</v>
      </c>
      <c r="O1047">
        <v>0</v>
      </c>
      <c r="P1047">
        <v>0</v>
      </c>
      <c r="Q1047" t="s">
        <v>28</v>
      </c>
      <c r="R1047" t="s">
        <v>51</v>
      </c>
      <c r="S1047" s="2" t="s">
        <v>198</v>
      </c>
      <c r="T1047" t="s">
        <v>199</v>
      </c>
    </row>
    <row r="1048" spans="1:20" x14ac:dyDescent="0.25">
      <c r="A1048" t="s">
        <v>3264</v>
      </c>
      <c r="B1048" t="str">
        <f>"4286"</f>
        <v>4286</v>
      </c>
      <c r="C1048" t="str">
        <f>"286784286"</f>
        <v>286784286</v>
      </c>
      <c r="D1048" t="s">
        <v>3265</v>
      </c>
      <c r="E1048" t="s">
        <v>1363</v>
      </c>
      <c r="F1048" t="s">
        <v>93</v>
      </c>
      <c r="G1048" s="1">
        <v>24415</v>
      </c>
      <c r="H1048" s="1">
        <v>41393</v>
      </c>
      <c r="I1048" t="str">
        <f>"52"</f>
        <v>52</v>
      </c>
      <c r="J1048" t="s">
        <v>330</v>
      </c>
      <c r="K1048" t="s">
        <v>25</v>
      </c>
      <c r="L1048" t="s">
        <v>26</v>
      </c>
      <c r="M1048" t="s">
        <v>27</v>
      </c>
      <c r="N1048" s="1">
        <v>18629</v>
      </c>
      <c r="O1048">
        <v>0</v>
      </c>
      <c r="P1048">
        <v>0</v>
      </c>
      <c r="Q1048" t="s">
        <v>37</v>
      </c>
      <c r="R1048" t="s">
        <v>29</v>
      </c>
      <c r="S1048" t="s">
        <v>678</v>
      </c>
      <c r="T1048" t="s">
        <v>679</v>
      </c>
    </row>
    <row r="1049" spans="1:20" x14ac:dyDescent="0.25">
      <c r="A1049" t="s">
        <v>3266</v>
      </c>
      <c r="B1049" t="str">
        <f>"7371"</f>
        <v>7371</v>
      </c>
      <c r="C1049" t="str">
        <f>"289707371"</f>
        <v>289707371</v>
      </c>
      <c r="D1049" t="s">
        <v>3267</v>
      </c>
      <c r="E1049" t="s">
        <v>682</v>
      </c>
      <c r="F1049" t="s">
        <v>93</v>
      </c>
      <c r="G1049" s="1">
        <v>22335</v>
      </c>
      <c r="H1049" s="1">
        <v>41393</v>
      </c>
      <c r="I1049" t="str">
        <f>"03"</f>
        <v>03</v>
      </c>
      <c r="J1049" t="s">
        <v>70</v>
      </c>
      <c r="K1049" t="s">
        <v>98</v>
      </c>
      <c r="L1049" t="s">
        <v>37</v>
      </c>
      <c r="M1049" t="s">
        <v>99</v>
      </c>
      <c r="N1049" s="1">
        <v>41617</v>
      </c>
      <c r="O1049">
        <v>14801.8</v>
      </c>
      <c r="P1049">
        <v>3700.32</v>
      </c>
      <c r="Q1049" t="s">
        <v>37</v>
      </c>
      <c r="R1049" t="s">
        <v>38</v>
      </c>
      <c r="S1049" t="s">
        <v>1819</v>
      </c>
      <c r="T1049" t="s">
        <v>1820</v>
      </c>
    </row>
    <row r="1050" spans="1:20" x14ac:dyDescent="0.25">
      <c r="A1050" t="s">
        <v>3268</v>
      </c>
      <c r="B1050" t="str">
        <f>"9964"</f>
        <v>9964</v>
      </c>
      <c r="C1050" t="str">
        <f>"300589964"</f>
        <v>300589964</v>
      </c>
      <c r="D1050" t="s">
        <v>3269</v>
      </c>
      <c r="E1050" t="s">
        <v>1287</v>
      </c>
      <c r="F1050" t="s">
        <v>93</v>
      </c>
      <c r="G1050" s="1">
        <v>20436</v>
      </c>
      <c r="H1050" s="1">
        <v>41393</v>
      </c>
      <c r="I1050" t="str">
        <f>"51"</f>
        <v>51</v>
      </c>
      <c r="J1050" t="s">
        <v>471</v>
      </c>
      <c r="K1050" t="s">
        <v>25</v>
      </c>
      <c r="L1050" t="s">
        <v>26</v>
      </c>
      <c r="M1050" t="s">
        <v>27</v>
      </c>
      <c r="N1050" s="1">
        <v>18629</v>
      </c>
      <c r="O1050">
        <v>0</v>
      </c>
      <c r="P1050">
        <v>0</v>
      </c>
      <c r="Q1050" t="s">
        <v>37</v>
      </c>
      <c r="R1050" t="s">
        <v>29</v>
      </c>
      <c r="S1050" t="s">
        <v>3258</v>
      </c>
      <c r="T1050" t="s">
        <v>3259</v>
      </c>
    </row>
    <row r="1051" spans="1:20" x14ac:dyDescent="0.25">
      <c r="A1051" t="s">
        <v>3270</v>
      </c>
      <c r="B1051" t="str">
        <f>"7743"</f>
        <v>7743</v>
      </c>
      <c r="C1051" t="str">
        <f>"277887743"</f>
        <v>277887743</v>
      </c>
      <c r="D1051" t="s">
        <v>3271</v>
      </c>
      <c r="E1051" t="s">
        <v>3272</v>
      </c>
      <c r="F1051" t="s">
        <v>69</v>
      </c>
      <c r="G1051" s="1">
        <v>28748</v>
      </c>
      <c r="H1051" s="1">
        <v>41393</v>
      </c>
      <c r="I1051" t="str">
        <f>"01"</f>
        <v>01</v>
      </c>
      <c r="J1051" t="s">
        <v>116</v>
      </c>
      <c r="K1051" t="s">
        <v>98</v>
      </c>
      <c r="L1051" t="s">
        <v>37</v>
      </c>
      <c r="M1051" t="s">
        <v>99</v>
      </c>
      <c r="N1051" s="1">
        <v>41617</v>
      </c>
      <c r="O1051">
        <v>14801.8</v>
      </c>
      <c r="P1051">
        <v>3700.32</v>
      </c>
      <c r="Q1051" t="s">
        <v>37</v>
      </c>
      <c r="R1051" t="s">
        <v>38</v>
      </c>
      <c r="S1051" t="s">
        <v>1194</v>
      </c>
      <c r="T1051" t="s">
        <v>1195</v>
      </c>
    </row>
    <row r="1052" spans="1:20" x14ac:dyDescent="0.25">
      <c r="A1052" t="s">
        <v>3273</v>
      </c>
      <c r="B1052" t="str">
        <f>"3575"</f>
        <v>3575</v>
      </c>
      <c r="C1052" t="str">
        <f>"285703575"</f>
        <v>285703575</v>
      </c>
      <c r="D1052" t="s">
        <v>3274</v>
      </c>
      <c r="E1052" t="s">
        <v>619</v>
      </c>
      <c r="F1052" t="s">
        <v>174</v>
      </c>
      <c r="G1052" s="1">
        <v>24724</v>
      </c>
      <c r="H1052" s="1">
        <v>41393</v>
      </c>
      <c r="I1052" t="str">
        <f>"30"</f>
        <v>30</v>
      </c>
      <c r="J1052" t="s">
        <v>50</v>
      </c>
      <c r="K1052" t="s">
        <v>25</v>
      </c>
      <c r="L1052" t="s">
        <v>26</v>
      </c>
      <c r="M1052" t="s">
        <v>27</v>
      </c>
      <c r="N1052" s="1">
        <v>18629</v>
      </c>
      <c r="O1052">
        <v>0</v>
      </c>
      <c r="P1052">
        <v>0</v>
      </c>
      <c r="Q1052" t="s">
        <v>37</v>
      </c>
      <c r="R1052" t="s">
        <v>29</v>
      </c>
      <c r="S1052" t="s">
        <v>3275</v>
      </c>
      <c r="T1052" t="s">
        <v>3276</v>
      </c>
    </row>
    <row r="1053" spans="1:20" x14ac:dyDescent="0.25">
      <c r="A1053" t="s">
        <v>3277</v>
      </c>
      <c r="B1053" t="str">
        <f>"5533"</f>
        <v>5533</v>
      </c>
      <c r="C1053" t="str">
        <f>"300425533"</f>
        <v>300425533</v>
      </c>
      <c r="D1053" t="s">
        <v>3278</v>
      </c>
      <c r="E1053" t="s">
        <v>704</v>
      </c>
      <c r="F1053" t="s">
        <v>329</v>
      </c>
      <c r="G1053" s="1">
        <v>17718</v>
      </c>
      <c r="H1053" s="1">
        <v>41389</v>
      </c>
      <c r="I1053" t="str">
        <f>"52"</f>
        <v>52</v>
      </c>
      <c r="J1053" t="s">
        <v>330</v>
      </c>
      <c r="K1053" t="s">
        <v>25</v>
      </c>
      <c r="L1053" t="s">
        <v>26</v>
      </c>
      <c r="M1053" t="s">
        <v>27</v>
      </c>
      <c r="N1053" s="1">
        <v>18629</v>
      </c>
      <c r="O1053">
        <v>0</v>
      </c>
      <c r="P1053">
        <v>0</v>
      </c>
      <c r="Q1053" t="s">
        <v>28</v>
      </c>
      <c r="R1053" t="s">
        <v>71</v>
      </c>
      <c r="S1053" t="s">
        <v>336</v>
      </c>
      <c r="T1053" t="s">
        <v>337</v>
      </c>
    </row>
    <row r="1054" spans="1:20" x14ac:dyDescent="0.25">
      <c r="A1054" t="s">
        <v>3279</v>
      </c>
      <c r="B1054" t="str">
        <f>"3002"</f>
        <v>3002</v>
      </c>
      <c r="C1054" t="str">
        <f>"283483002"</f>
        <v>283483002</v>
      </c>
      <c r="D1054" t="s">
        <v>3280</v>
      </c>
      <c r="E1054" t="s">
        <v>2152</v>
      </c>
      <c r="F1054" t="s">
        <v>44</v>
      </c>
      <c r="G1054" s="1">
        <v>17859</v>
      </c>
      <c r="H1054" s="1">
        <v>41386</v>
      </c>
      <c r="I1054" t="str">
        <f>"53"</f>
        <v>53</v>
      </c>
      <c r="J1054" t="s">
        <v>917</v>
      </c>
      <c r="K1054" t="s">
        <v>25</v>
      </c>
      <c r="L1054" t="s">
        <v>26</v>
      </c>
      <c r="M1054" t="s">
        <v>27</v>
      </c>
      <c r="N1054" s="1">
        <v>18629</v>
      </c>
      <c r="O1054">
        <v>0</v>
      </c>
      <c r="P1054">
        <v>0</v>
      </c>
      <c r="Q1054" t="s">
        <v>37</v>
      </c>
      <c r="R1054" t="s">
        <v>312</v>
      </c>
      <c r="S1054" t="s">
        <v>918</v>
      </c>
      <c r="T1054" t="s">
        <v>919</v>
      </c>
    </row>
    <row r="1055" spans="1:20" x14ac:dyDescent="0.25">
      <c r="A1055" t="s">
        <v>3281</v>
      </c>
      <c r="B1055" t="str">
        <f>"8323"</f>
        <v>8323</v>
      </c>
      <c r="C1055" t="str">
        <f>"297648323"</f>
        <v>297648323</v>
      </c>
      <c r="D1055" t="s">
        <v>3282</v>
      </c>
      <c r="E1055" t="s">
        <v>304</v>
      </c>
      <c r="F1055" t="s">
        <v>97</v>
      </c>
      <c r="G1055" s="1">
        <v>22119</v>
      </c>
      <c r="H1055" s="1">
        <v>41386</v>
      </c>
      <c r="I1055" t="str">
        <f>"33"</f>
        <v>33</v>
      </c>
      <c r="J1055" t="s">
        <v>45</v>
      </c>
      <c r="K1055" t="s">
        <v>25</v>
      </c>
      <c r="L1055" t="s">
        <v>26</v>
      </c>
      <c r="M1055" t="s">
        <v>27</v>
      </c>
      <c r="N1055" s="1">
        <v>18629</v>
      </c>
      <c r="O1055">
        <v>0</v>
      </c>
      <c r="P1055">
        <v>0</v>
      </c>
      <c r="Q1055" t="s">
        <v>28</v>
      </c>
      <c r="R1055" t="s">
        <v>100</v>
      </c>
      <c r="S1055" t="s">
        <v>757</v>
      </c>
      <c r="T1055" t="s">
        <v>758</v>
      </c>
    </row>
    <row r="1056" spans="1:20" x14ac:dyDescent="0.25">
      <c r="A1056" t="s">
        <v>3283</v>
      </c>
      <c r="B1056" t="str">
        <f>"0937"</f>
        <v>0937</v>
      </c>
      <c r="C1056" t="str">
        <f>"290720937"</f>
        <v>290720937</v>
      </c>
      <c r="D1056" t="s">
        <v>3284</v>
      </c>
      <c r="E1056" t="s">
        <v>1287</v>
      </c>
      <c r="F1056" t="s">
        <v>93</v>
      </c>
      <c r="G1056" s="1">
        <v>25283</v>
      </c>
      <c r="H1056" s="1">
        <v>41386</v>
      </c>
      <c r="I1056" t="str">
        <f>"12"</f>
        <v>12</v>
      </c>
      <c r="J1056" t="s">
        <v>245</v>
      </c>
      <c r="K1056" t="s">
        <v>175</v>
      </c>
      <c r="L1056" t="s">
        <v>37</v>
      </c>
      <c r="M1056" t="s">
        <v>117</v>
      </c>
      <c r="N1056" s="1">
        <v>41617</v>
      </c>
      <c r="O1056">
        <v>5288.66</v>
      </c>
      <c r="P1056">
        <v>1322.1</v>
      </c>
      <c r="Q1056" t="s">
        <v>37</v>
      </c>
      <c r="R1056" t="s">
        <v>38</v>
      </c>
      <c r="S1056" t="s">
        <v>1791</v>
      </c>
      <c r="T1056" t="s">
        <v>1792</v>
      </c>
    </row>
    <row r="1057" spans="1:20" x14ac:dyDescent="0.25">
      <c r="A1057" t="s">
        <v>3285</v>
      </c>
      <c r="B1057" t="str">
        <f>"5259"</f>
        <v>5259</v>
      </c>
      <c r="C1057" t="str">
        <f>"269805259"</f>
        <v>269805259</v>
      </c>
      <c r="D1057" t="s">
        <v>3286</v>
      </c>
      <c r="E1057" t="s">
        <v>3287</v>
      </c>
      <c r="F1057" t="s">
        <v>556</v>
      </c>
      <c r="G1057" s="1">
        <v>30257</v>
      </c>
      <c r="H1057" s="1">
        <v>41383</v>
      </c>
      <c r="I1057" t="str">
        <f>"51"</f>
        <v>51</v>
      </c>
      <c r="J1057" t="s">
        <v>471</v>
      </c>
      <c r="K1057" t="s">
        <v>25</v>
      </c>
      <c r="L1057" t="s">
        <v>26</v>
      </c>
      <c r="M1057" t="s">
        <v>27</v>
      </c>
      <c r="N1057" s="1">
        <v>18629</v>
      </c>
      <c r="O1057">
        <v>0</v>
      </c>
      <c r="P1057">
        <v>0</v>
      </c>
      <c r="Q1057" t="s">
        <v>37</v>
      </c>
      <c r="R1057" t="s">
        <v>29</v>
      </c>
      <c r="S1057" t="s">
        <v>960</v>
      </c>
      <c r="T1057" t="s">
        <v>314</v>
      </c>
    </row>
    <row r="1058" spans="1:20" x14ac:dyDescent="0.25">
      <c r="A1058" t="s">
        <v>3288</v>
      </c>
      <c r="B1058" t="str">
        <f>"0033"</f>
        <v>0033</v>
      </c>
      <c r="C1058" t="str">
        <f>"279660033"</f>
        <v>279660033</v>
      </c>
      <c r="D1058" t="s">
        <v>3289</v>
      </c>
      <c r="E1058" t="s">
        <v>2060</v>
      </c>
      <c r="F1058" t="s">
        <v>219</v>
      </c>
      <c r="G1058" s="1">
        <v>22048</v>
      </c>
      <c r="H1058" s="1">
        <v>41380</v>
      </c>
      <c r="I1058" t="str">
        <f>"52"</f>
        <v>52</v>
      </c>
      <c r="J1058" t="s">
        <v>330</v>
      </c>
      <c r="K1058" t="s">
        <v>25</v>
      </c>
      <c r="L1058" t="s">
        <v>26</v>
      </c>
      <c r="M1058" t="s">
        <v>27</v>
      </c>
      <c r="N1058" s="1">
        <v>18629</v>
      </c>
      <c r="O1058">
        <v>0</v>
      </c>
      <c r="P1058">
        <v>0</v>
      </c>
      <c r="Q1058" t="s">
        <v>28</v>
      </c>
      <c r="R1058" t="s">
        <v>29</v>
      </c>
      <c r="S1058" t="s">
        <v>678</v>
      </c>
      <c r="T1058" t="s">
        <v>679</v>
      </c>
    </row>
    <row r="1059" spans="1:20" x14ac:dyDescent="0.25">
      <c r="A1059" t="s">
        <v>3290</v>
      </c>
      <c r="B1059" t="str">
        <f>"5398"</f>
        <v>5398</v>
      </c>
      <c r="C1059" t="str">
        <f>"491325398"</f>
        <v>491325398</v>
      </c>
      <c r="D1059" t="s">
        <v>3291</v>
      </c>
      <c r="E1059" t="s">
        <v>3292</v>
      </c>
      <c r="G1059" s="1">
        <v>12018</v>
      </c>
      <c r="H1059" s="1">
        <v>41380</v>
      </c>
      <c r="I1059" t="str">
        <f>"33"</f>
        <v>33</v>
      </c>
      <c r="J1059" t="s">
        <v>45</v>
      </c>
      <c r="K1059" t="s">
        <v>25</v>
      </c>
      <c r="L1059" t="s">
        <v>26</v>
      </c>
      <c r="M1059" t="s">
        <v>27</v>
      </c>
      <c r="N1059" s="1">
        <v>18629</v>
      </c>
      <c r="O1059">
        <v>0</v>
      </c>
      <c r="P1059">
        <v>0</v>
      </c>
      <c r="Q1059" t="s">
        <v>28</v>
      </c>
      <c r="R1059" t="s">
        <v>346</v>
      </c>
      <c r="S1059" t="s">
        <v>757</v>
      </c>
      <c r="T1059" t="s">
        <v>758</v>
      </c>
    </row>
    <row r="1060" spans="1:20" x14ac:dyDescent="0.25">
      <c r="A1060" t="s">
        <v>3293</v>
      </c>
      <c r="B1060" t="str">
        <f>"4133"</f>
        <v>4133</v>
      </c>
      <c r="C1060" t="str">
        <f>"282784133"</f>
        <v>282784133</v>
      </c>
      <c r="D1060" t="s">
        <v>3294</v>
      </c>
      <c r="E1060" t="s">
        <v>598</v>
      </c>
      <c r="F1060" t="s">
        <v>28</v>
      </c>
      <c r="G1060" s="1">
        <v>29888</v>
      </c>
      <c r="H1060" s="1">
        <v>41379</v>
      </c>
      <c r="I1060" t="str">
        <f>"12"</f>
        <v>12</v>
      </c>
      <c r="J1060" t="s">
        <v>245</v>
      </c>
      <c r="K1060" t="s">
        <v>98</v>
      </c>
      <c r="L1060" t="s">
        <v>37</v>
      </c>
      <c r="M1060" t="s">
        <v>99</v>
      </c>
      <c r="N1060" s="1">
        <v>41617</v>
      </c>
      <c r="O1060">
        <v>14801.8</v>
      </c>
      <c r="P1060">
        <v>3700.32</v>
      </c>
      <c r="Q1060" t="s">
        <v>37</v>
      </c>
      <c r="R1060" t="s">
        <v>38</v>
      </c>
      <c r="S1060" t="s">
        <v>566</v>
      </c>
      <c r="T1060" t="s">
        <v>567</v>
      </c>
    </row>
    <row r="1061" spans="1:20" x14ac:dyDescent="0.25">
      <c r="A1061" t="s">
        <v>3295</v>
      </c>
      <c r="B1061" t="str">
        <f>"9070"</f>
        <v>9070</v>
      </c>
      <c r="C1061" t="str">
        <f>"301689070"</f>
        <v>301689070</v>
      </c>
      <c r="D1061" t="s">
        <v>3296</v>
      </c>
      <c r="E1061" t="s">
        <v>82</v>
      </c>
      <c r="F1061" t="s">
        <v>28</v>
      </c>
      <c r="G1061" s="1">
        <v>26560</v>
      </c>
      <c r="H1061" s="1">
        <v>41379</v>
      </c>
      <c r="I1061" t="str">
        <f>"15"</f>
        <v>15</v>
      </c>
      <c r="J1061" t="s">
        <v>36</v>
      </c>
      <c r="L1061" t="s">
        <v>37</v>
      </c>
      <c r="M1061" t="s">
        <v>143</v>
      </c>
      <c r="N1061" s="1">
        <v>41617</v>
      </c>
      <c r="O1061">
        <v>185.9</v>
      </c>
      <c r="P1061">
        <v>-185.9</v>
      </c>
      <c r="Q1061" t="s">
        <v>37</v>
      </c>
      <c r="R1061" t="s">
        <v>29</v>
      </c>
      <c r="S1061" t="s">
        <v>557</v>
      </c>
      <c r="T1061" t="s">
        <v>558</v>
      </c>
    </row>
    <row r="1062" spans="1:20" x14ac:dyDescent="0.25">
      <c r="A1062" t="s">
        <v>3297</v>
      </c>
      <c r="B1062" t="str">
        <f>"9571"</f>
        <v>9571</v>
      </c>
      <c r="C1062" t="str">
        <f>"299789571"</f>
        <v>299789571</v>
      </c>
      <c r="D1062" t="s">
        <v>3298</v>
      </c>
      <c r="E1062" t="s">
        <v>463</v>
      </c>
      <c r="F1062" t="s">
        <v>97</v>
      </c>
      <c r="G1062" s="1">
        <v>27260</v>
      </c>
      <c r="H1062" s="1">
        <v>41379</v>
      </c>
      <c r="I1062" t="str">
        <f>"52"</f>
        <v>52</v>
      </c>
      <c r="J1062" t="s">
        <v>330</v>
      </c>
      <c r="K1062" t="s">
        <v>25</v>
      </c>
      <c r="L1062" t="s">
        <v>26</v>
      </c>
      <c r="M1062" t="s">
        <v>27</v>
      </c>
      <c r="N1062" s="1">
        <v>18629</v>
      </c>
      <c r="O1062">
        <v>0</v>
      </c>
      <c r="P1062">
        <v>0</v>
      </c>
      <c r="Q1062" t="s">
        <v>28</v>
      </c>
      <c r="R1062" t="s">
        <v>29</v>
      </c>
      <c r="S1062" t="s">
        <v>331</v>
      </c>
      <c r="T1062" t="s">
        <v>332</v>
      </c>
    </row>
    <row r="1063" spans="1:20" x14ac:dyDescent="0.25">
      <c r="A1063" t="s">
        <v>3299</v>
      </c>
      <c r="B1063" t="str">
        <f>"7257"</f>
        <v>7257</v>
      </c>
      <c r="C1063" t="str">
        <f>"294867257"</f>
        <v>294867257</v>
      </c>
      <c r="D1063" t="s">
        <v>3300</v>
      </c>
      <c r="E1063" t="s">
        <v>233</v>
      </c>
      <c r="F1063" t="s">
        <v>69</v>
      </c>
      <c r="G1063" s="1">
        <v>29618</v>
      </c>
      <c r="H1063" s="1">
        <v>41372</v>
      </c>
      <c r="I1063" t="str">
        <f>"41"</f>
        <v>41</v>
      </c>
      <c r="J1063" t="s">
        <v>24</v>
      </c>
      <c r="K1063" t="s">
        <v>25</v>
      </c>
      <c r="L1063" t="s">
        <v>26</v>
      </c>
      <c r="M1063" t="s">
        <v>27</v>
      </c>
      <c r="N1063" s="1">
        <v>18629</v>
      </c>
      <c r="O1063">
        <v>0</v>
      </c>
      <c r="P1063">
        <v>0</v>
      </c>
      <c r="Q1063" t="s">
        <v>28</v>
      </c>
      <c r="R1063" t="s">
        <v>51</v>
      </c>
      <c r="S1063" s="2" t="s">
        <v>2496</v>
      </c>
      <c r="T1063" t="s">
        <v>2497</v>
      </c>
    </row>
    <row r="1064" spans="1:20" x14ac:dyDescent="0.25">
      <c r="A1064" t="s">
        <v>3301</v>
      </c>
      <c r="B1064" t="str">
        <f>"8150"</f>
        <v>8150</v>
      </c>
      <c r="C1064" t="str">
        <f>"268828150"</f>
        <v>268828150</v>
      </c>
      <c r="D1064" t="s">
        <v>3302</v>
      </c>
      <c r="E1064" t="s">
        <v>48</v>
      </c>
      <c r="F1064" t="s">
        <v>414</v>
      </c>
      <c r="G1064" s="1">
        <v>25760</v>
      </c>
      <c r="H1064" s="1">
        <v>41372</v>
      </c>
      <c r="I1064" t="str">
        <f>"01"</f>
        <v>01</v>
      </c>
      <c r="J1064" t="s">
        <v>116</v>
      </c>
      <c r="L1064" t="s">
        <v>37</v>
      </c>
      <c r="M1064" t="s">
        <v>143</v>
      </c>
      <c r="N1064" s="1">
        <v>41617</v>
      </c>
      <c r="O1064">
        <v>185.9</v>
      </c>
      <c r="P1064">
        <v>-185.9</v>
      </c>
      <c r="Q1064" t="s">
        <v>37</v>
      </c>
      <c r="R1064" t="s">
        <v>110</v>
      </c>
      <c r="S1064" t="s">
        <v>1346</v>
      </c>
      <c r="T1064" t="s">
        <v>1347</v>
      </c>
    </row>
    <row r="1065" spans="1:20" x14ac:dyDescent="0.25">
      <c r="A1065" t="s">
        <v>3303</v>
      </c>
      <c r="B1065" t="str">
        <f>"2321"</f>
        <v>2321</v>
      </c>
      <c r="C1065" t="str">
        <f>"301802321"</f>
        <v>301802321</v>
      </c>
      <c r="D1065" t="s">
        <v>470</v>
      </c>
      <c r="E1065" t="s">
        <v>1081</v>
      </c>
      <c r="F1065" t="s">
        <v>264</v>
      </c>
      <c r="G1065" s="1">
        <v>27099</v>
      </c>
      <c r="H1065" s="1">
        <v>41372</v>
      </c>
      <c r="I1065" t="str">
        <f>"52"</f>
        <v>52</v>
      </c>
      <c r="J1065" t="s">
        <v>330</v>
      </c>
      <c r="K1065" t="s">
        <v>25</v>
      </c>
      <c r="L1065" t="s">
        <v>26</v>
      </c>
      <c r="M1065" t="s">
        <v>27</v>
      </c>
      <c r="N1065" s="1">
        <v>18629</v>
      </c>
      <c r="O1065">
        <v>0</v>
      </c>
      <c r="P1065">
        <v>0</v>
      </c>
      <c r="Q1065" t="s">
        <v>28</v>
      </c>
      <c r="R1065" t="s">
        <v>71</v>
      </c>
      <c r="S1065" t="s">
        <v>402</v>
      </c>
      <c r="T1065" t="s">
        <v>403</v>
      </c>
    </row>
    <row r="1066" spans="1:20" x14ac:dyDescent="0.25">
      <c r="A1066" t="s">
        <v>3304</v>
      </c>
      <c r="B1066" t="str">
        <f>"4629"</f>
        <v>4629</v>
      </c>
      <c r="C1066" t="str">
        <f>"292624629"</f>
        <v>292624629</v>
      </c>
      <c r="D1066" t="s">
        <v>3305</v>
      </c>
      <c r="E1066" t="s">
        <v>832</v>
      </c>
      <c r="F1066" t="s">
        <v>97</v>
      </c>
      <c r="G1066" s="1">
        <v>26738</v>
      </c>
      <c r="H1066" s="1">
        <v>41372</v>
      </c>
      <c r="I1066" t="str">
        <f>"41"</f>
        <v>41</v>
      </c>
      <c r="J1066" t="s">
        <v>24</v>
      </c>
      <c r="K1066" t="s">
        <v>25</v>
      </c>
      <c r="L1066" t="s">
        <v>26</v>
      </c>
      <c r="M1066" t="s">
        <v>27</v>
      </c>
      <c r="N1066" s="1">
        <v>18629</v>
      </c>
      <c r="O1066">
        <v>0</v>
      </c>
      <c r="P1066">
        <v>0</v>
      </c>
      <c r="Q1066" t="s">
        <v>28</v>
      </c>
      <c r="R1066" t="s">
        <v>51</v>
      </c>
      <c r="S1066" s="2" t="s">
        <v>2496</v>
      </c>
      <c r="T1066" t="s">
        <v>2497</v>
      </c>
    </row>
    <row r="1067" spans="1:20" x14ac:dyDescent="0.25">
      <c r="A1067" t="s">
        <v>3306</v>
      </c>
      <c r="B1067" t="str">
        <f>"1916"</f>
        <v>1916</v>
      </c>
      <c r="C1067" t="str">
        <f>"289781916"</f>
        <v>289781916</v>
      </c>
      <c r="D1067" t="s">
        <v>3307</v>
      </c>
      <c r="E1067" t="s">
        <v>2339</v>
      </c>
      <c r="F1067" t="s">
        <v>44</v>
      </c>
      <c r="G1067" s="1">
        <v>30039</v>
      </c>
      <c r="H1067" s="1">
        <v>41370</v>
      </c>
      <c r="I1067" t="str">
        <f>"51"</f>
        <v>51</v>
      </c>
      <c r="J1067" t="s">
        <v>471</v>
      </c>
      <c r="K1067" t="s">
        <v>25</v>
      </c>
      <c r="L1067" t="s">
        <v>26</v>
      </c>
      <c r="M1067" t="s">
        <v>27</v>
      </c>
      <c r="N1067" s="1">
        <v>18629</v>
      </c>
      <c r="O1067">
        <v>0</v>
      </c>
      <c r="P1067">
        <v>0</v>
      </c>
      <c r="Q1067" t="s">
        <v>37</v>
      </c>
      <c r="R1067" t="s">
        <v>29</v>
      </c>
      <c r="S1067" t="s">
        <v>138</v>
      </c>
      <c r="T1067" t="s">
        <v>139</v>
      </c>
    </row>
    <row r="1068" spans="1:20" x14ac:dyDescent="0.25">
      <c r="A1068" t="s">
        <v>3308</v>
      </c>
      <c r="B1068" t="str">
        <f>"3264"</f>
        <v>3264</v>
      </c>
      <c r="C1068" t="str">
        <f>"271723264"</f>
        <v>271723264</v>
      </c>
      <c r="D1068" t="s">
        <v>3309</v>
      </c>
      <c r="E1068" t="s">
        <v>2177</v>
      </c>
      <c r="F1068" t="s">
        <v>28</v>
      </c>
      <c r="G1068" s="1">
        <v>25051</v>
      </c>
      <c r="H1068" s="1">
        <v>41370</v>
      </c>
      <c r="I1068" t="str">
        <f>"51"</f>
        <v>51</v>
      </c>
      <c r="J1068" t="s">
        <v>471</v>
      </c>
      <c r="K1068" t="s">
        <v>25</v>
      </c>
      <c r="L1068" t="s">
        <v>26</v>
      </c>
      <c r="M1068" t="s">
        <v>27</v>
      </c>
      <c r="N1068" s="1">
        <v>18629</v>
      </c>
      <c r="O1068">
        <v>0</v>
      </c>
      <c r="P1068">
        <v>0</v>
      </c>
      <c r="Q1068" t="s">
        <v>37</v>
      </c>
      <c r="R1068" t="s">
        <v>29</v>
      </c>
      <c r="S1068" t="s">
        <v>138</v>
      </c>
      <c r="T1068" t="s">
        <v>139</v>
      </c>
    </row>
    <row r="1069" spans="1:20" x14ac:dyDescent="0.25">
      <c r="A1069" t="s">
        <v>3310</v>
      </c>
      <c r="B1069" t="str">
        <f>"8112"</f>
        <v>8112</v>
      </c>
      <c r="C1069" t="str">
        <f>"271508112"</f>
        <v>271508112</v>
      </c>
      <c r="D1069" t="s">
        <v>3311</v>
      </c>
      <c r="E1069" t="s">
        <v>554</v>
      </c>
      <c r="F1069" t="s">
        <v>93</v>
      </c>
      <c r="G1069" s="1">
        <v>23865</v>
      </c>
      <c r="H1069" s="1">
        <v>41368</v>
      </c>
      <c r="I1069" t="str">
        <f>"51"</f>
        <v>51</v>
      </c>
      <c r="J1069" t="s">
        <v>471</v>
      </c>
      <c r="K1069" t="s">
        <v>25</v>
      </c>
      <c r="L1069" t="s">
        <v>26</v>
      </c>
      <c r="M1069" t="s">
        <v>27</v>
      </c>
      <c r="N1069" s="1">
        <v>18629</v>
      </c>
      <c r="O1069">
        <v>0</v>
      </c>
      <c r="P1069">
        <v>0</v>
      </c>
      <c r="Q1069" t="s">
        <v>37</v>
      </c>
      <c r="R1069" t="s">
        <v>29</v>
      </c>
      <c r="S1069" t="s">
        <v>138</v>
      </c>
      <c r="T1069" t="s">
        <v>139</v>
      </c>
    </row>
    <row r="1070" spans="1:20" x14ac:dyDescent="0.25">
      <c r="A1070" t="s">
        <v>3312</v>
      </c>
      <c r="B1070" t="str">
        <f>"9143"</f>
        <v>9143</v>
      </c>
      <c r="C1070" t="str">
        <f>"589019143"</f>
        <v>589019143</v>
      </c>
      <c r="D1070" t="s">
        <v>3313</v>
      </c>
      <c r="E1070" t="s">
        <v>381</v>
      </c>
      <c r="G1070" s="1">
        <v>27487</v>
      </c>
      <c r="H1070" s="1">
        <v>41366</v>
      </c>
      <c r="I1070" t="str">
        <f>"41"</f>
        <v>41</v>
      </c>
      <c r="J1070" t="s">
        <v>24</v>
      </c>
      <c r="K1070" t="s">
        <v>25</v>
      </c>
      <c r="L1070" t="s">
        <v>26</v>
      </c>
      <c r="M1070" t="s">
        <v>27</v>
      </c>
      <c r="N1070" s="1">
        <v>18629</v>
      </c>
      <c r="O1070">
        <v>0</v>
      </c>
      <c r="P1070">
        <v>0</v>
      </c>
      <c r="Q1070" t="s">
        <v>37</v>
      </c>
      <c r="R1070" t="s">
        <v>51</v>
      </c>
      <c r="S1070" s="2" t="s">
        <v>64</v>
      </c>
      <c r="T1070" t="s">
        <v>65</v>
      </c>
    </row>
    <row r="1071" spans="1:20" x14ac:dyDescent="0.25">
      <c r="A1071" t="s">
        <v>3314</v>
      </c>
      <c r="B1071" t="str">
        <f>"6456"</f>
        <v>6456</v>
      </c>
      <c r="C1071" t="str">
        <f>"281746456"</f>
        <v>281746456</v>
      </c>
      <c r="D1071" t="s">
        <v>3315</v>
      </c>
      <c r="E1071" t="s">
        <v>609</v>
      </c>
      <c r="F1071" t="s">
        <v>97</v>
      </c>
      <c r="G1071" s="1">
        <v>27313</v>
      </c>
      <c r="H1071" s="1">
        <v>41366</v>
      </c>
      <c r="I1071" t="str">
        <f>"52"</f>
        <v>52</v>
      </c>
      <c r="J1071" t="s">
        <v>330</v>
      </c>
      <c r="K1071" t="s">
        <v>25</v>
      </c>
      <c r="L1071" t="s">
        <v>26</v>
      </c>
      <c r="M1071" t="s">
        <v>27</v>
      </c>
      <c r="N1071" s="1">
        <v>18629</v>
      </c>
      <c r="O1071">
        <v>0</v>
      </c>
      <c r="P1071">
        <v>0</v>
      </c>
      <c r="Q1071" t="s">
        <v>28</v>
      </c>
      <c r="R1071" t="s">
        <v>29</v>
      </c>
      <c r="S1071" t="s">
        <v>472</v>
      </c>
      <c r="T1071" t="s">
        <v>473</v>
      </c>
    </row>
    <row r="1072" spans="1:20" x14ac:dyDescent="0.25">
      <c r="A1072" t="s">
        <v>3316</v>
      </c>
      <c r="B1072" t="str">
        <f>"9827"</f>
        <v>9827</v>
      </c>
      <c r="C1072" t="str">
        <f>"290469827"</f>
        <v>290469827</v>
      </c>
      <c r="D1072" t="s">
        <v>3317</v>
      </c>
      <c r="E1072" t="s">
        <v>3318</v>
      </c>
      <c r="F1072" t="s">
        <v>93</v>
      </c>
      <c r="G1072" s="1">
        <v>20026</v>
      </c>
      <c r="H1072" s="1">
        <v>41366</v>
      </c>
      <c r="I1072" t="str">
        <f>"51"</f>
        <v>51</v>
      </c>
      <c r="J1072" t="s">
        <v>471</v>
      </c>
      <c r="K1072" t="s">
        <v>25</v>
      </c>
      <c r="L1072" t="s">
        <v>26</v>
      </c>
      <c r="M1072" t="s">
        <v>27</v>
      </c>
      <c r="N1072" s="1">
        <v>18629</v>
      </c>
      <c r="O1072">
        <v>0</v>
      </c>
      <c r="P1072">
        <v>0</v>
      </c>
      <c r="Q1072" t="s">
        <v>37</v>
      </c>
      <c r="R1072" t="s">
        <v>29</v>
      </c>
      <c r="S1072" t="s">
        <v>138</v>
      </c>
      <c r="T1072" t="s">
        <v>139</v>
      </c>
    </row>
    <row r="1073" spans="1:20" x14ac:dyDescent="0.25">
      <c r="A1073" t="s">
        <v>3319</v>
      </c>
      <c r="B1073" t="str">
        <f>"3467"</f>
        <v>3467</v>
      </c>
      <c r="C1073" t="str">
        <f>"195663467"</f>
        <v>195663467</v>
      </c>
      <c r="D1073" t="s">
        <v>3320</v>
      </c>
      <c r="E1073" t="s">
        <v>944</v>
      </c>
      <c r="F1073" t="s">
        <v>26</v>
      </c>
      <c r="G1073" s="1">
        <v>31551</v>
      </c>
      <c r="H1073" s="1">
        <v>41365</v>
      </c>
      <c r="I1073" t="str">
        <f>"31"</f>
        <v>31</v>
      </c>
      <c r="J1073" t="s">
        <v>3321</v>
      </c>
      <c r="K1073" t="s">
        <v>25</v>
      </c>
      <c r="L1073" t="s">
        <v>26</v>
      </c>
      <c r="M1073" t="s">
        <v>27</v>
      </c>
      <c r="N1073" s="1">
        <v>18629</v>
      </c>
      <c r="O1073">
        <v>0</v>
      </c>
      <c r="P1073">
        <v>0</v>
      </c>
      <c r="Q1073" t="s">
        <v>28</v>
      </c>
      <c r="R1073" t="s">
        <v>29</v>
      </c>
      <c r="S1073" t="s">
        <v>3322</v>
      </c>
      <c r="T1073" t="s">
        <v>3323</v>
      </c>
    </row>
    <row r="1074" spans="1:20" x14ac:dyDescent="0.25">
      <c r="A1074" t="s">
        <v>3324</v>
      </c>
      <c r="B1074" t="str">
        <f>"9572"</f>
        <v>9572</v>
      </c>
      <c r="C1074" t="str">
        <f>"280669572"</f>
        <v>280669572</v>
      </c>
      <c r="D1074" t="s">
        <v>3325</v>
      </c>
      <c r="E1074" t="s">
        <v>609</v>
      </c>
      <c r="F1074" t="s">
        <v>165</v>
      </c>
      <c r="G1074" s="1">
        <v>22101</v>
      </c>
      <c r="H1074" s="1">
        <v>41365</v>
      </c>
      <c r="I1074" t="str">
        <f>"03"</f>
        <v>03</v>
      </c>
      <c r="J1074" t="s">
        <v>70</v>
      </c>
      <c r="L1074" t="s">
        <v>37</v>
      </c>
      <c r="M1074" t="s">
        <v>143</v>
      </c>
      <c r="N1074" s="1">
        <v>41617</v>
      </c>
      <c r="O1074">
        <v>185.9</v>
      </c>
      <c r="P1074">
        <v>-185.9</v>
      </c>
      <c r="Q1074" t="s">
        <v>28</v>
      </c>
      <c r="R1074" t="s">
        <v>29</v>
      </c>
      <c r="S1074" t="s">
        <v>605</v>
      </c>
      <c r="T1074" t="s">
        <v>606</v>
      </c>
    </row>
    <row r="1075" spans="1:20" x14ac:dyDescent="0.25">
      <c r="A1075" t="s">
        <v>3326</v>
      </c>
      <c r="B1075" t="str">
        <f>"9380"</f>
        <v>9380</v>
      </c>
      <c r="C1075" t="str">
        <f>"280869380"</f>
        <v>280869380</v>
      </c>
      <c r="D1075" t="s">
        <v>3327</v>
      </c>
      <c r="E1075" t="s">
        <v>2060</v>
      </c>
      <c r="F1075" t="s">
        <v>93</v>
      </c>
      <c r="G1075" s="1">
        <v>28318</v>
      </c>
      <c r="H1075" s="1">
        <v>41365</v>
      </c>
      <c r="I1075" t="str">
        <f>"31"</f>
        <v>31</v>
      </c>
      <c r="J1075" t="s">
        <v>3321</v>
      </c>
      <c r="K1075" t="s">
        <v>25</v>
      </c>
      <c r="L1075" t="s">
        <v>26</v>
      </c>
      <c r="M1075" t="s">
        <v>27</v>
      </c>
      <c r="N1075" s="1">
        <v>18629</v>
      </c>
      <c r="O1075">
        <v>0</v>
      </c>
      <c r="P1075">
        <v>0</v>
      </c>
      <c r="Q1075" t="s">
        <v>28</v>
      </c>
      <c r="R1075" t="s">
        <v>29</v>
      </c>
      <c r="S1075" t="s">
        <v>3322</v>
      </c>
      <c r="T1075" t="s">
        <v>3323</v>
      </c>
    </row>
    <row r="1076" spans="1:20" x14ac:dyDescent="0.25">
      <c r="A1076" t="s">
        <v>3328</v>
      </c>
      <c r="B1076" t="str">
        <f>"2998"</f>
        <v>2998</v>
      </c>
      <c r="C1076" t="str">
        <f>"277602998"</f>
        <v>277602998</v>
      </c>
      <c r="D1076" t="s">
        <v>3329</v>
      </c>
      <c r="E1076" t="s">
        <v>1934</v>
      </c>
      <c r="G1076" s="1">
        <v>20864</v>
      </c>
      <c r="H1076" s="1">
        <v>41365</v>
      </c>
      <c r="I1076" t="str">
        <f>"12"</f>
        <v>12</v>
      </c>
      <c r="J1076" t="s">
        <v>245</v>
      </c>
      <c r="K1076" t="s">
        <v>98</v>
      </c>
      <c r="L1076" t="s">
        <v>37</v>
      </c>
      <c r="M1076" t="s">
        <v>117</v>
      </c>
      <c r="N1076" s="1">
        <v>41617</v>
      </c>
      <c r="O1076">
        <v>4951.96</v>
      </c>
      <c r="P1076">
        <v>1237.8599999999999</v>
      </c>
      <c r="Q1076" t="s">
        <v>37</v>
      </c>
      <c r="R1076" t="s">
        <v>71</v>
      </c>
      <c r="S1076" t="s">
        <v>1774</v>
      </c>
      <c r="T1076" t="s">
        <v>1775</v>
      </c>
    </row>
    <row r="1077" spans="1:20" x14ac:dyDescent="0.25">
      <c r="A1077" t="s">
        <v>3330</v>
      </c>
      <c r="B1077" t="str">
        <f>"7393"</f>
        <v>7393</v>
      </c>
      <c r="C1077" t="str">
        <f>"268887393"</f>
        <v>268887393</v>
      </c>
      <c r="D1077" t="s">
        <v>3331</v>
      </c>
      <c r="E1077" t="s">
        <v>2115</v>
      </c>
      <c r="F1077" t="s">
        <v>44</v>
      </c>
      <c r="G1077" s="1">
        <v>27959</v>
      </c>
      <c r="H1077" s="1">
        <v>41365</v>
      </c>
      <c r="I1077" t="str">
        <f>"51"</f>
        <v>51</v>
      </c>
      <c r="J1077" t="s">
        <v>471</v>
      </c>
      <c r="K1077" t="s">
        <v>25</v>
      </c>
      <c r="L1077" t="s">
        <v>26</v>
      </c>
      <c r="M1077" t="s">
        <v>27</v>
      </c>
      <c r="N1077" s="1">
        <v>18629</v>
      </c>
      <c r="O1077">
        <v>0</v>
      </c>
      <c r="P1077">
        <v>0</v>
      </c>
      <c r="Q1077" t="s">
        <v>37</v>
      </c>
      <c r="R1077" t="s">
        <v>51</v>
      </c>
      <c r="S1077" s="2" t="s">
        <v>198</v>
      </c>
      <c r="T1077" t="s">
        <v>199</v>
      </c>
    </row>
    <row r="1078" spans="1:20" x14ac:dyDescent="0.25">
      <c r="A1078" t="s">
        <v>3332</v>
      </c>
      <c r="B1078" t="str">
        <f>"8272"</f>
        <v>8272</v>
      </c>
      <c r="C1078" t="str">
        <f>"286528272"</f>
        <v>286528272</v>
      </c>
      <c r="D1078" t="s">
        <v>3333</v>
      </c>
      <c r="E1078" t="s">
        <v>164</v>
      </c>
      <c r="F1078" t="s">
        <v>93</v>
      </c>
      <c r="G1078" s="1">
        <v>19581</v>
      </c>
      <c r="H1078" s="1">
        <v>41365</v>
      </c>
      <c r="I1078" t="str">
        <f>"52"</f>
        <v>52</v>
      </c>
      <c r="J1078" t="s">
        <v>330</v>
      </c>
      <c r="K1078" t="s">
        <v>25</v>
      </c>
      <c r="L1078" t="s">
        <v>26</v>
      </c>
      <c r="M1078" t="s">
        <v>27</v>
      </c>
      <c r="N1078" s="1">
        <v>18629</v>
      </c>
      <c r="O1078">
        <v>0</v>
      </c>
      <c r="P1078">
        <v>0</v>
      </c>
      <c r="Q1078" t="s">
        <v>37</v>
      </c>
      <c r="R1078" t="s">
        <v>71</v>
      </c>
      <c r="S1078" t="s">
        <v>336</v>
      </c>
      <c r="T1078" t="s">
        <v>337</v>
      </c>
    </row>
    <row r="1079" spans="1:20" x14ac:dyDescent="0.25">
      <c r="A1079" t="s">
        <v>3334</v>
      </c>
      <c r="B1079" t="str">
        <f>"7459"</f>
        <v>7459</v>
      </c>
      <c r="C1079" t="str">
        <f>"199707459"</f>
        <v>199707459</v>
      </c>
      <c r="D1079" t="s">
        <v>3335</v>
      </c>
      <c r="E1079" t="s">
        <v>1172</v>
      </c>
      <c r="G1079" s="1">
        <v>30386</v>
      </c>
      <c r="H1079" s="1">
        <v>41365</v>
      </c>
      <c r="I1079" t="str">
        <f>"30"</f>
        <v>30</v>
      </c>
      <c r="J1079" t="s">
        <v>50</v>
      </c>
      <c r="K1079" t="s">
        <v>25</v>
      </c>
      <c r="L1079" t="s">
        <v>26</v>
      </c>
      <c r="M1079" t="s">
        <v>27</v>
      </c>
      <c r="N1079" s="1">
        <v>18629</v>
      </c>
      <c r="O1079">
        <v>0</v>
      </c>
      <c r="P1079">
        <v>0</v>
      </c>
      <c r="Q1079" t="s">
        <v>28</v>
      </c>
      <c r="R1079" t="s">
        <v>29</v>
      </c>
      <c r="S1079" t="s">
        <v>1795</v>
      </c>
      <c r="T1079" t="s">
        <v>1796</v>
      </c>
    </row>
    <row r="1080" spans="1:20" x14ac:dyDescent="0.25">
      <c r="A1080" t="s">
        <v>3336</v>
      </c>
      <c r="B1080" t="str">
        <f>"0976"</f>
        <v>0976</v>
      </c>
      <c r="C1080" t="str">
        <f>"288900976"</f>
        <v>288900976</v>
      </c>
      <c r="D1080" t="s">
        <v>3337</v>
      </c>
      <c r="E1080" t="s">
        <v>3338</v>
      </c>
      <c r="F1080" t="s">
        <v>3339</v>
      </c>
      <c r="G1080" s="1">
        <v>32741</v>
      </c>
      <c r="H1080" s="1">
        <v>41365</v>
      </c>
      <c r="I1080" t="str">
        <f>"30"</f>
        <v>30</v>
      </c>
      <c r="J1080" t="s">
        <v>50</v>
      </c>
      <c r="K1080" t="s">
        <v>25</v>
      </c>
      <c r="L1080" t="s">
        <v>26</v>
      </c>
      <c r="M1080" t="s">
        <v>27</v>
      </c>
      <c r="N1080" s="1">
        <v>18629</v>
      </c>
      <c r="O1080">
        <v>0</v>
      </c>
      <c r="P1080">
        <v>0</v>
      </c>
      <c r="Q1080" t="s">
        <v>37</v>
      </c>
      <c r="R1080" t="s">
        <v>100</v>
      </c>
      <c r="S1080" t="s">
        <v>655</v>
      </c>
      <c r="T1080" t="s">
        <v>656</v>
      </c>
    </row>
    <row r="1081" spans="1:20" x14ac:dyDescent="0.25">
      <c r="A1081" t="s">
        <v>3340</v>
      </c>
      <c r="B1081" t="str">
        <f>"2128"</f>
        <v>2128</v>
      </c>
      <c r="C1081" t="str">
        <f>"297762128"</f>
        <v>297762128</v>
      </c>
      <c r="D1081" t="s">
        <v>3341</v>
      </c>
      <c r="E1081" t="s">
        <v>1094</v>
      </c>
      <c r="F1081" t="s">
        <v>28</v>
      </c>
      <c r="G1081" s="1">
        <v>28512</v>
      </c>
      <c r="H1081" s="1">
        <v>41365</v>
      </c>
      <c r="I1081" t="str">
        <f>"51"</f>
        <v>51</v>
      </c>
      <c r="J1081" t="s">
        <v>471</v>
      </c>
      <c r="K1081" t="s">
        <v>25</v>
      </c>
      <c r="L1081" t="s">
        <v>26</v>
      </c>
      <c r="M1081" t="s">
        <v>27</v>
      </c>
      <c r="N1081" s="1">
        <v>18629</v>
      </c>
      <c r="O1081">
        <v>0</v>
      </c>
      <c r="P1081">
        <v>0</v>
      </c>
      <c r="Q1081" t="s">
        <v>37</v>
      </c>
      <c r="R1081" t="s">
        <v>29</v>
      </c>
      <c r="S1081" s="2" t="s">
        <v>198</v>
      </c>
      <c r="T1081" t="s">
        <v>199</v>
      </c>
    </row>
    <row r="1082" spans="1:20" x14ac:dyDescent="0.25">
      <c r="A1082" t="s">
        <v>3342</v>
      </c>
      <c r="B1082" t="str">
        <f>"9421"</f>
        <v>9421</v>
      </c>
      <c r="C1082" t="str">
        <f>"300709421"</f>
        <v>300709421</v>
      </c>
      <c r="D1082" t="s">
        <v>3343</v>
      </c>
      <c r="E1082" t="s">
        <v>1802</v>
      </c>
      <c r="F1082" t="s">
        <v>165</v>
      </c>
      <c r="G1082" s="1">
        <v>25354</v>
      </c>
      <c r="H1082" s="1">
        <v>41365</v>
      </c>
      <c r="I1082" t="str">
        <f>"41"</f>
        <v>41</v>
      </c>
      <c r="J1082" t="s">
        <v>24</v>
      </c>
      <c r="K1082" t="s">
        <v>25</v>
      </c>
      <c r="L1082" t="s">
        <v>26</v>
      </c>
      <c r="M1082" t="s">
        <v>27</v>
      </c>
      <c r="N1082" s="1">
        <v>18629</v>
      </c>
      <c r="O1082">
        <v>0</v>
      </c>
      <c r="P1082">
        <v>0</v>
      </c>
      <c r="Q1082" t="s">
        <v>37</v>
      </c>
      <c r="R1082" t="s">
        <v>29</v>
      </c>
      <c r="S1082" t="s">
        <v>691</v>
      </c>
      <c r="T1082" t="s">
        <v>692</v>
      </c>
    </row>
    <row r="1083" spans="1:20" x14ac:dyDescent="0.25">
      <c r="A1083" t="s">
        <v>3344</v>
      </c>
      <c r="B1083" t="str">
        <f>"4897"</f>
        <v>4897</v>
      </c>
      <c r="C1083" t="str">
        <f>"117424897"</f>
        <v>117424897</v>
      </c>
      <c r="D1083" t="s">
        <v>3345</v>
      </c>
      <c r="E1083" t="s">
        <v>3346</v>
      </c>
      <c r="G1083" s="1">
        <v>19220</v>
      </c>
      <c r="H1083" s="1">
        <v>41362</v>
      </c>
      <c r="I1083" t="str">
        <f>"52"</f>
        <v>52</v>
      </c>
      <c r="J1083" t="s">
        <v>330</v>
      </c>
      <c r="K1083" t="s">
        <v>25</v>
      </c>
      <c r="L1083" t="s">
        <v>26</v>
      </c>
      <c r="M1083" t="s">
        <v>27</v>
      </c>
      <c r="N1083" s="1">
        <v>18629</v>
      </c>
      <c r="O1083">
        <v>0</v>
      </c>
      <c r="P1083">
        <v>0</v>
      </c>
      <c r="Q1083" t="s">
        <v>28</v>
      </c>
      <c r="R1083" t="s">
        <v>71</v>
      </c>
      <c r="S1083" s="2" t="s">
        <v>362</v>
      </c>
      <c r="T1083" t="s">
        <v>363</v>
      </c>
    </row>
    <row r="1084" spans="1:20" x14ac:dyDescent="0.25">
      <c r="A1084" t="s">
        <v>3347</v>
      </c>
      <c r="B1084" t="str">
        <f>"1462"</f>
        <v>1462</v>
      </c>
      <c r="C1084" t="str">
        <f>"278541462"</f>
        <v>278541462</v>
      </c>
      <c r="D1084" t="s">
        <v>3348</v>
      </c>
      <c r="E1084" t="s">
        <v>197</v>
      </c>
      <c r="G1084" s="1">
        <v>20420</v>
      </c>
      <c r="H1084" s="1">
        <v>41358</v>
      </c>
      <c r="I1084" t="str">
        <f>"52"</f>
        <v>52</v>
      </c>
      <c r="J1084" t="s">
        <v>330</v>
      </c>
      <c r="K1084" t="s">
        <v>25</v>
      </c>
      <c r="L1084" t="s">
        <v>26</v>
      </c>
      <c r="M1084" t="s">
        <v>27</v>
      </c>
      <c r="N1084" s="1">
        <v>18629</v>
      </c>
      <c r="O1084">
        <v>0</v>
      </c>
      <c r="P1084">
        <v>0</v>
      </c>
      <c r="Q1084" t="s">
        <v>28</v>
      </c>
      <c r="R1084" t="s">
        <v>51</v>
      </c>
      <c r="S1084" t="s">
        <v>1696</v>
      </c>
      <c r="T1084" t="s">
        <v>1697</v>
      </c>
    </row>
    <row r="1085" spans="1:20" x14ac:dyDescent="0.25">
      <c r="A1085" t="s">
        <v>3349</v>
      </c>
      <c r="B1085" t="str">
        <f>"4250"</f>
        <v>4250</v>
      </c>
      <c r="C1085" t="str">
        <f>"273484250"</f>
        <v>273484250</v>
      </c>
      <c r="D1085" t="s">
        <v>3350</v>
      </c>
      <c r="E1085" t="s">
        <v>1081</v>
      </c>
      <c r="F1085" t="s">
        <v>174</v>
      </c>
      <c r="G1085" s="1">
        <v>18739</v>
      </c>
      <c r="H1085" s="1">
        <v>41358</v>
      </c>
      <c r="I1085" t="str">
        <f>"41"</f>
        <v>41</v>
      </c>
      <c r="J1085" t="s">
        <v>24</v>
      </c>
      <c r="K1085" t="s">
        <v>25</v>
      </c>
      <c r="L1085" t="s">
        <v>26</v>
      </c>
      <c r="M1085" t="s">
        <v>27</v>
      </c>
      <c r="N1085" s="1">
        <v>18629</v>
      </c>
      <c r="O1085">
        <v>0</v>
      </c>
      <c r="P1085">
        <v>0</v>
      </c>
      <c r="Q1085" t="s">
        <v>28</v>
      </c>
      <c r="R1085" t="s">
        <v>71</v>
      </c>
      <c r="S1085" t="s">
        <v>533</v>
      </c>
      <c r="T1085" t="s">
        <v>534</v>
      </c>
    </row>
    <row r="1086" spans="1:20" x14ac:dyDescent="0.25">
      <c r="A1086" t="s">
        <v>3351</v>
      </c>
      <c r="B1086" t="str">
        <f>"2251"</f>
        <v>2251</v>
      </c>
      <c r="C1086" t="str">
        <f>"620192251"</f>
        <v>620192251</v>
      </c>
      <c r="D1086" t="s">
        <v>3352</v>
      </c>
      <c r="E1086" t="s">
        <v>3353</v>
      </c>
      <c r="F1086" t="s">
        <v>329</v>
      </c>
      <c r="G1086" s="1">
        <v>27860</v>
      </c>
      <c r="H1086" s="1">
        <v>41358</v>
      </c>
      <c r="I1086" t="str">
        <f>"41"</f>
        <v>41</v>
      </c>
      <c r="J1086" t="s">
        <v>24</v>
      </c>
      <c r="K1086" t="s">
        <v>25</v>
      </c>
      <c r="L1086" t="s">
        <v>26</v>
      </c>
      <c r="M1086" t="s">
        <v>27</v>
      </c>
      <c r="N1086" s="1">
        <v>18629</v>
      </c>
      <c r="O1086">
        <v>0</v>
      </c>
      <c r="P1086">
        <v>0</v>
      </c>
      <c r="Q1086" t="s">
        <v>28</v>
      </c>
      <c r="R1086" t="s">
        <v>29</v>
      </c>
      <c r="S1086" t="s">
        <v>533</v>
      </c>
      <c r="T1086" t="s">
        <v>534</v>
      </c>
    </row>
    <row r="1087" spans="1:20" x14ac:dyDescent="0.25">
      <c r="A1087" t="s">
        <v>3354</v>
      </c>
      <c r="B1087" t="str">
        <f>"7925"</f>
        <v>7925</v>
      </c>
      <c r="C1087" t="str">
        <f>"285967925"</f>
        <v>285967925</v>
      </c>
      <c r="D1087" t="s">
        <v>3355</v>
      </c>
      <c r="E1087" t="s">
        <v>33</v>
      </c>
      <c r="F1087" t="s">
        <v>93</v>
      </c>
      <c r="G1087" s="1">
        <v>32958</v>
      </c>
      <c r="H1087" s="1">
        <v>41356</v>
      </c>
      <c r="I1087" t="str">
        <f>"51"</f>
        <v>51</v>
      </c>
      <c r="J1087" t="s">
        <v>471</v>
      </c>
      <c r="K1087" t="s">
        <v>25</v>
      </c>
      <c r="L1087" t="s">
        <v>26</v>
      </c>
      <c r="M1087" t="s">
        <v>27</v>
      </c>
      <c r="N1087" s="1">
        <v>18629</v>
      </c>
      <c r="O1087">
        <v>0</v>
      </c>
      <c r="P1087">
        <v>0</v>
      </c>
      <c r="Q1087" t="s">
        <v>28</v>
      </c>
      <c r="R1087" t="s">
        <v>51</v>
      </c>
      <c r="S1087" s="2" t="s">
        <v>1656</v>
      </c>
      <c r="T1087" t="s">
        <v>1657</v>
      </c>
    </row>
    <row r="1088" spans="1:20" x14ac:dyDescent="0.25">
      <c r="A1088" t="s">
        <v>3356</v>
      </c>
      <c r="B1088" t="str">
        <f>"4782"</f>
        <v>4782</v>
      </c>
      <c r="C1088" t="str">
        <f>"297684782"</f>
        <v>297684782</v>
      </c>
      <c r="D1088" t="s">
        <v>3357</v>
      </c>
      <c r="E1088" t="s">
        <v>3358</v>
      </c>
      <c r="F1088" t="s">
        <v>93</v>
      </c>
      <c r="G1088" s="1">
        <v>22903</v>
      </c>
      <c r="H1088" s="1">
        <v>41353</v>
      </c>
      <c r="I1088" t="str">
        <f>"52"</f>
        <v>52</v>
      </c>
      <c r="J1088" t="s">
        <v>330</v>
      </c>
      <c r="K1088" t="s">
        <v>25</v>
      </c>
      <c r="L1088" t="s">
        <v>26</v>
      </c>
      <c r="M1088" t="s">
        <v>27</v>
      </c>
      <c r="N1088" s="1">
        <v>18629</v>
      </c>
      <c r="O1088">
        <v>0</v>
      </c>
      <c r="P1088">
        <v>0</v>
      </c>
      <c r="Q1088" t="s">
        <v>28</v>
      </c>
      <c r="R1088" t="s">
        <v>29</v>
      </c>
      <c r="S1088" t="s">
        <v>331</v>
      </c>
      <c r="T1088" t="s">
        <v>332</v>
      </c>
    </row>
    <row r="1089" spans="1:20" x14ac:dyDescent="0.25">
      <c r="A1089" t="s">
        <v>3359</v>
      </c>
      <c r="B1089" t="str">
        <f>"8556"</f>
        <v>8556</v>
      </c>
      <c r="C1089" t="str">
        <f>"271848556"</f>
        <v>271848556</v>
      </c>
      <c r="D1089" t="s">
        <v>3360</v>
      </c>
      <c r="E1089" t="s">
        <v>609</v>
      </c>
      <c r="F1089" t="s">
        <v>345</v>
      </c>
      <c r="G1089" s="1">
        <v>25243</v>
      </c>
      <c r="H1089" s="1">
        <v>41353</v>
      </c>
      <c r="I1089" t="str">
        <f>"52"</f>
        <v>52</v>
      </c>
      <c r="J1089" t="s">
        <v>330</v>
      </c>
      <c r="K1089" t="s">
        <v>25</v>
      </c>
      <c r="L1089" t="s">
        <v>26</v>
      </c>
      <c r="M1089" t="s">
        <v>27</v>
      </c>
      <c r="N1089" s="1">
        <v>18629</v>
      </c>
      <c r="O1089">
        <v>0</v>
      </c>
      <c r="P1089">
        <v>0</v>
      </c>
      <c r="Q1089" t="s">
        <v>28</v>
      </c>
      <c r="R1089" t="s">
        <v>29</v>
      </c>
      <c r="S1089" t="s">
        <v>331</v>
      </c>
      <c r="T1089" t="s">
        <v>332</v>
      </c>
    </row>
    <row r="1090" spans="1:20" x14ac:dyDescent="0.25">
      <c r="A1090" t="s">
        <v>3361</v>
      </c>
      <c r="B1090" t="str">
        <f>"1835"</f>
        <v>1835</v>
      </c>
      <c r="C1090" t="str">
        <f>"302321835"</f>
        <v>302321835</v>
      </c>
      <c r="D1090" t="s">
        <v>3362</v>
      </c>
      <c r="E1090" t="s">
        <v>649</v>
      </c>
      <c r="F1090" t="s">
        <v>28</v>
      </c>
      <c r="G1090" s="1">
        <v>14184</v>
      </c>
      <c r="H1090" s="1">
        <v>41352</v>
      </c>
      <c r="I1090" t="str">
        <f>"52"</f>
        <v>52</v>
      </c>
      <c r="J1090" t="s">
        <v>330</v>
      </c>
      <c r="K1090" t="s">
        <v>25</v>
      </c>
      <c r="L1090" t="s">
        <v>26</v>
      </c>
      <c r="M1090" t="s">
        <v>27</v>
      </c>
      <c r="N1090" s="1">
        <v>18629</v>
      </c>
      <c r="O1090">
        <v>0</v>
      </c>
      <c r="P1090">
        <v>0</v>
      </c>
      <c r="Q1090" t="s">
        <v>28</v>
      </c>
      <c r="R1090" t="s">
        <v>51</v>
      </c>
      <c r="S1090" s="2" t="s">
        <v>362</v>
      </c>
      <c r="T1090" t="s">
        <v>363</v>
      </c>
    </row>
    <row r="1091" spans="1:20" x14ac:dyDescent="0.25">
      <c r="A1091" t="s">
        <v>3363</v>
      </c>
      <c r="B1091" t="str">
        <f>"9638"</f>
        <v>9638</v>
      </c>
      <c r="C1091" t="str">
        <f>"301709638"</f>
        <v>301709638</v>
      </c>
      <c r="D1091" t="s">
        <v>3364</v>
      </c>
      <c r="E1091" t="s">
        <v>3365</v>
      </c>
      <c r="F1091" t="s">
        <v>69</v>
      </c>
      <c r="G1091" s="1">
        <v>27679</v>
      </c>
      <c r="H1091" s="1">
        <v>41352</v>
      </c>
      <c r="I1091" t="str">
        <f>"51"</f>
        <v>51</v>
      </c>
      <c r="J1091" t="s">
        <v>471</v>
      </c>
      <c r="K1091" t="s">
        <v>25</v>
      </c>
      <c r="L1091" t="s">
        <v>26</v>
      </c>
      <c r="M1091" t="s">
        <v>27</v>
      </c>
      <c r="N1091" s="1">
        <v>18629</v>
      </c>
      <c r="O1091">
        <v>0</v>
      </c>
      <c r="P1091">
        <v>0</v>
      </c>
      <c r="Q1091" t="s">
        <v>37</v>
      </c>
      <c r="R1091" t="s">
        <v>29</v>
      </c>
      <c r="S1091" t="s">
        <v>138</v>
      </c>
      <c r="T1091" t="s">
        <v>139</v>
      </c>
    </row>
    <row r="1092" spans="1:20" x14ac:dyDescent="0.25">
      <c r="A1092" t="s">
        <v>3366</v>
      </c>
      <c r="B1092" t="str">
        <f>"5275"</f>
        <v>5275</v>
      </c>
      <c r="C1092" t="str">
        <f>"295805275"</f>
        <v>295805275</v>
      </c>
      <c r="D1092" t="s">
        <v>3367</v>
      </c>
      <c r="E1092" t="s">
        <v>1415</v>
      </c>
      <c r="F1092" t="s">
        <v>93</v>
      </c>
      <c r="G1092" s="1">
        <v>24932</v>
      </c>
      <c r="H1092" s="1">
        <v>41351</v>
      </c>
      <c r="I1092" t="str">
        <f>"52"</f>
        <v>52</v>
      </c>
      <c r="J1092" t="s">
        <v>330</v>
      </c>
      <c r="K1092" t="s">
        <v>25</v>
      </c>
      <c r="L1092" t="s">
        <v>26</v>
      </c>
      <c r="M1092" t="s">
        <v>27</v>
      </c>
      <c r="N1092" s="1">
        <v>18629</v>
      </c>
      <c r="O1092">
        <v>0</v>
      </c>
      <c r="P1092">
        <v>0</v>
      </c>
      <c r="Q1092" t="s">
        <v>37</v>
      </c>
      <c r="R1092" t="s">
        <v>29</v>
      </c>
      <c r="S1092" t="s">
        <v>3368</v>
      </c>
      <c r="T1092" t="s">
        <v>3369</v>
      </c>
    </row>
    <row r="1093" spans="1:20" x14ac:dyDescent="0.25">
      <c r="A1093" t="s">
        <v>3370</v>
      </c>
      <c r="B1093" t="str">
        <f>"6940"</f>
        <v>6940</v>
      </c>
      <c r="C1093" t="str">
        <f>"288886940"</f>
        <v>288886940</v>
      </c>
      <c r="D1093" t="s">
        <v>3371</v>
      </c>
      <c r="E1093" t="s">
        <v>3372</v>
      </c>
      <c r="G1093" s="1">
        <v>29817</v>
      </c>
      <c r="H1093" s="1">
        <v>41351</v>
      </c>
      <c r="I1093" t="str">
        <f>"33"</f>
        <v>33</v>
      </c>
      <c r="J1093" t="s">
        <v>45</v>
      </c>
      <c r="K1093" t="s">
        <v>25</v>
      </c>
      <c r="L1093" t="s">
        <v>26</v>
      </c>
      <c r="M1093" t="s">
        <v>27</v>
      </c>
      <c r="N1093" s="1">
        <v>18629</v>
      </c>
      <c r="O1093">
        <v>0</v>
      </c>
      <c r="P1093">
        <v>0</v>
      </c>
      <c r="Q1093" t="s">
        <v>37</v>
      </c>
      <c r="R1093" t="s">
        <v>29</v>
      </c>
      <c r="S1093" t="s">
        <v>594</v>
      </c>
      <c r="T1093" t="s">
        <v>595</v>
      </c>
    </row>
    <row r="1094" spans="1:20" x14ac:dyDescent="0.25">
      <c r="A1094" t="s">
        <v>3373</v>
      </c>
      <c r="B1094" t="str">
        <f>"2201"</f>
        <v>2201</v>
      </c>
      <c r="C1094" t="str">
        <f>"286742201"</f>
        <v>286742201</v>
      </c>
      <c r="D1094" t="s">
        <v>3374</v>
      </c>
      <c r="E1094" t="s">
        <v>2364</v>
      </c>
      <c r="F1094" t="s">
        <v>44</v>
      </c>
      <c r="G1094" s="1">
        <v>22445</v>
      </c>
      <c r="H1094" s="1">
        <v>41351</v>
      </c>
      <c r="I1094" t="str">
        <f>"51"</f>
        <v>51</v>
      </c>
      <c r="J1094" t="s">
        <v>471</v>
      </c>
      <c r="K1094" t="s">
        <v>25</v>
      </c>
      <c r="L1094" t="s">
        <v>26</v>
      </c>
      <c r="M1094" t="s">
        <v>27</v>
      </c>
      <c r="N1094" s="1">
        <v>18629</v>
      </c>
      <c r="O1094">
        <v>0</v>
      </c>
      <c r="P1094">
        <v>0</v>
      </c>
      <c r="Q1094" t="s">
        <v>37</v>
      </c>
      <c r="R1094" t="s">
        <v>71</v>
      </c>
      <c r="S1094" t="s">
        <v>72</v>
      </c>
      <c r="T1094" t="s">
        <v>73</v>
      </c>
    </row>
    <row r="1095" spans="1:20" x14ac:dyDescent="0.25">
      <c r="A1095" t="s">
        <v>3375</v>
      </c>
      <c r="B1095" t="str">
        <f>"4805"</f>
        <v>4805</v>
      </c>
      <c r="C1095" t="str">
        <f>"403744805"</f>
        <v>403744805</v>
      </c>
      <c r="D1095" t="s">
        <v>3376</v>
      </c>
      <c r="E1095" t="s">
        <v>3377</v>
      </c>
      <c r="F1095" t="s">
        <v>219</v>
      </c>
      <c r="G1095" s="1">
        <v>19147</v>
      </c>
      <c r="H1095" s="1">
        <v>41351</v>
      </c>
      <c r="I1095" t="str">
        <f>"42"</f>
        <v>42</v>
      </c>
      <c r="J1095" t="s">
        <v>367</v>
      </c>
      <c r="K1095" t="s">
        <v>25</v>
      </c>
      <c r="L1095" t="s">
        <v>26</v>
      </c>
      <c r="M1095" t="s">
        <v>27</v>
      </c>
      <c r="N1095" s="1">
        <v>18629</v>
      </c>
      <c r="O1095">
        <v>0</v>
      </c>
      <c r="P1095">
        <v>0</v>
      </c>
      <c r="Q1095" t="s">
        <v>37</v>
      </c>
      <c r="R1095" t="s">
        <v>29</v>
      </c>
      <c r="S1095" t="s">
        <v>885</v>
      </c>
      <c r="T1095" t="s">
        <v>886</v>
      </c>
    </row>
    <row r="1096" spans="1:20" x14ac:dyDescent="0.25">
      <c r="A1096" t="s">
        <v>3378</v>
      </c>
      <c r="B1096" t="str">
        <f>"3177"</f>
        <v>3177</v>
      </c>
      <c r="C1096" t="str">
        <f>"281663177"</f>
        <v>281663177</v>
      </c>
      <c r="D1096" t="s">
        <v>2739</v>
      </c>
      <c r="E1096" t="s">
        <v>308</v>
      </c>
      <c r="F1096" t="s">
        <v>174</v>
      </c>
      <c r="G1096" s="1">
        <v>24442</v>
      </c>
      <c r="H1096" s="1">
        <v>41351</v>
      </c>
      <c r="I1096" t="str">
        <f>"12"</f>
        <v>12</v>
      </c>
      <c r="J1096" t="s">
        <v>245</v>
      </c>
      <c r="K1096" t="s">
        <v>98</v>
      </c>
      <c r="L1096" t="s">
        <v>37</v>
      </c>
      <c r="M1096" t="s">
        <v>99</v>
      </c>
      <c r="N1096" s="1">
        <v>41617</v>
      </c>
      <c r="O1096">
        <v>14801.8</v>
      </c>
      <c r="P1096">
        <v>3700.32</v>
      </c>
      <c r="Q1096" t="s">
        <v>37</v>
      </c>
      <c r="R1096" t="s">
        <v>71</v>
      </c>
      <c r="S1096" t="s">
        <v>277</v>
      </c>
      <c r="T1096" t="s">
        <v>278</v>
      </c>
    </row>
    <row r="1097" spans="1:20" x14ac:dyDescent="0.25">
      <c r="A1097" t="s">
        <v>3379</v>
      </c>
      <c r="B1097" t="str">
        <f>"9679"</f>
        <v>9679</v>
      </c>
      <c r="C1097" t="str">
        <f>"295649679"</f>
        <v>295649679</v>
      </c>
      <c r="D1097" t="s">
        <v>1885</v>
      </c>
      <c r="E1097" t="s">
        <v>588</v>
      </c>
      <c r="F1097" t="s">
        <v>190</v>
      </c>
      <c r="G1097" s="1">
        <v>24523</v>
      </c>
      <c r="H1097" s="1">
        <v>41351</v>
      </c>
      <c r="I1097" t="str">
        <f>"41"</f>
        <v>41</v>
      </c>
      <c r="J1097" t="s">
        <v>24</v>
      </c>
      <c r="K1097" t="s">
        <v>25</v>
      </c>
      <c r="L1097" t="s">
        <v>26</v>
      </c>
      <c r="M1097" t="s">
        <v>27</v>
      </c>
      <c r="N1097" s="1">
        <v>18629</v>
      </c>
      <c r="O1097">
        <v>0</v>
      </c>
      <c r="P1097">
        <v>0</v>
      </c>
      <c r="Q1097" t="s">
        <v>28</v>
      </c>
      <c r="R1097" t="s">
        <v>29</v>
      </c>
      <c r="S1097" t="s">
        <v>283</v>
      </c>
      <c r="T1097" t="s">
        <v>284</v>
      </c>
    </row>
    <row r="1098" spans="1:20" x14ac:dyDescent="0.25">
      <c r="A1098" t="s">
        <v>3380</v>
      </c>
      <c r="B1098" t="str">
        <f>"8559"</f>
        <v>8559</v>
      </c>
      <c r="C1098" t="str">
        <f>"290548559"</f>
        <v>290548559</v>
      </c>
      <c r="D1098" t="s">
        <v>3381</v>
      </c>
      <c r="E1098" t="s">
        <v>3382</v>
      </c>
      <c r="F1098" t="s">
        <v>26</v>
      </c>
      <c r="G1098" s="1">
        <v>19877</v>
      </c>
      <c r="H1098" s="1">
        <v>41351</v>
      </c>
      <c r="I1098" t="str">
        <f>"51"</f>
        <v>51</v>
      </c>
      <c r="J1098" t="s">
        <v>471</v>
      </c>
      <c r="K1098" t="s">
        <v>25</v>
      </c>
      <c r="L1098" t="s">
        <v>26</v>
      </c>
      <c r="M1098" t="s">
        <v>27</v>
      </c>
      <c r="N1098" s="1">
        <v>18629</v>
      </c>
      <c r="O1098">
        <v>0</v>
      </c>
      <c r="P1098">
        <v>0</v>
      </c>
      <c r="Q1098" t="s">
        <v>28</v>
      </c>
      <c r="R1098" t="s">
        <v>1015</v>
      </c>
      <c r="S1098" t="s">
        <v>770</v>
      </c>
      <c r="T1098" t="s">
        <v>771</v>
      </c>
    </row>
    <row r="1099" spans="1:20" x14ac:dyDescent="0.25">
      <c r="A1099" t="s">
        <v>3383</v>
      </c>
      <c r="B1099" t="str">
        <f>"0184"</f>
        <v>0184</v>
      </c>
      <c r="C1099" t="str">
        <f>"281900184"</f>
        <v>281900184</v>
      </c>
      <c r="D1099" t="s">
        <v>860</v>
      </c>
      <c r="E1099" t="s">
        <v>178</v>
      </c>
      <c r="F1099" t="s">
        <v>93</v>
      </c>
      <c r="G1099" s="1">
        <v>24158</v>
      </c>
      <c r="H1099" s="1">
        <v>41351</v>
      </c>
      <c r="I1099" t="str">
        <f>"42"</f>
        <v>42</v>
      </c>
      <c r="J1099" t="s">
        <v>367</v>
      </c>
      <c r="K1099" t="s">
        <v>25</v>
      </c>
      <c r="L1099" t="s">
        <v>26</v>
      </c>
      <c r="M1099" t="s">
        <v>27</v>
      </c>
      <c r="N1099" s="1">
        <v>18629</v>
      </c>
      <c r="O1099">
        <v>0</v>
      </c>
      <c r="P1099">
        <v>0</v>
      </c>
      <c r="Q1099" t="s">
        <v>28</v>
      </c>
      <c r="R1099" t="s">
        <v>29</v>
      </c>
      <c r="S1099" t="s">
        <v>885</v>
      </c>
      <c r="T1099" t="s">
        <v>886</v>
      </c>
    </row>
    <row r="1100" spans="1:20" x14ac:dyDescent="0.25">
      <c r="A1100" t="s">
        <v>3384</v>
      </c>
      <c r="B1100" t="str">
        <f>"0683"</f>
        <v>0683</v>
      </c>
      <c r="C1100" t="str">
        <f>"284600683"</f>
        <v>284600683</v>
      </c>
      <c r="D1100" t="s">
        <v>3385</v>
      </c>
      <c r="E1100" t="s">
        <v>1981</v>
      </c>
      <c r="F1100" t="s">
        <v>93</v>
      </c>
      <c r="G1100" s="1">
        <v>25166</v>
      </c>
      <c r="H1100" s="1">
        <v>41351</v>
      </c>
      <c r="I1100" t="str">
        <f>"51"</f>
        <v>51</v>
      </c>
      <c r="J1100" t="s">
        <v>471</v>
      </c>
      <c r="K1100" t="s">
        <v>25</v>
      </c>
      <c r="L1100" t="s">
        <v>26</v>
      </c>
      <c r="M1100" t="s">
        <v>27</v>
      </c>
      <c r="N1100" s="1">
        <v>18629</v>
      </c>
      <c r="O1100">
        <v>0</v>
      </c>
      <c r="P1100">
        <v>0</v>
      </c>
      <c r="Q1100" t="s">
        <v>37</v>
      </c>
      <c r="R1100" t="s">
        <v>71</v>
      </c>
      <c r="S1100" t="s">
        <v>1109</v>
      </c>
      <c r="T1100" t="s">
        <v>1110</v>
      </c>
    </row>
    <row r="1101" spans="1:20" x14ac:dyDescent="0.25">
      <c r="A1101" t="s">
        <v>3386</v>
      </c>
      <c r="B1101" t="str">
        <f>"4046"</f>
        <v>4046</v>
      </c>
      <c r="C1101" t="str">
        <f>"294824046"</f>
        <v>294824046</v>
      </c>
      <c r="D1101" t="s">
        <v>866</v>
      </c>
      <c r="E1101" t="s">
        <v>202</v>
      </c>
      <c r="F1101" t="s">
        <v>256</v>
      </c>
      <c r="G1101" s="1">
        <v>26468</v>
      </c>
      <c r="H1101" s="1">
        <v>41351</v>
      </c>
      <c r="I1101" t="str">
        <f>"12"</f>
        <v>12</v>
      </c>
      <c r="J1101" t="s">
        <v>245</v>
      </c>
      <c r="K1101" t="s">
        <v>98</v>
      </c>
      <c r="L1101" t="s">
        <v>37</v>
      </c>
      <c r="M1101" t="s">
        <v>117</v>
      </c>
      <c r="N1101" s="1">
        <v>41617</v>
      </c>
      <c r="O1101">
        <v>4951.96</v>
      </c>
      <c r="P1101">
        <v>1237.8599999999999</v>
      </c>
      <c r="Q1101" t="s">
        <v>37</v>
      </c>
      <c r="R1101" t="s">
        <v>38</v>
      </c>
      <c r="S1101" t="s">
        <v>1194</v>
      </c>
      <c r="T1101" t="s">
        <v>1195</v>
      </c>
    </row>
    <row r="1102" spans="1:20" x14ac:dyDescent="0.25">
      <c r="A1102" t="s">
        <v>3387</v>
      </c>
      <c r="B1102" t="str">
        <f>"8363"</f>
        <v>8363</v>
      </c>
      <c r="C1102" t="str">
        <f>"302568363"</f>
        <v>302568363</v>
      </c>
      <c r="D1102" t="s">
        <v>3388</v>
      </c>
      <c r="E1102" t="s">
        <v>2633</v>
      </c>
      <c r="G1102" s="1">
        <v>20180</v>
      </c>
      <c r="H1102" s="1">
        <v>41351</v>
      </c>
      <c r="I1102" t="str">
        <f>"33"</f>
        <v>33</v>
      </c>
      <c r="J1102" t="s">
        <v>45</v>
      </c>
      <c r="K1102" t="s">
        <v>25</v>
      </c>
      <c r="L1102" t="s">
        <v>26</v>
      </c>
      <c r="M1102" t="s">
        <v>27</v>
      </c>
      <c r="N1102" s="1">
        <v>18629</v>
      </c>
      <c r="O1102">
        <v>0</v>
      </c>
      <c r="P1102">
        <v>0</v>
      </c>
      <c r="Q1102" t="s">
        <v>37</v>
      </c>
      <c r="R1102" t="s">
        <v>71</v>
      </c>
      <c r="S1102" t="s">
        <v>203</v>
      </c>
      <c r="T1102" t="s">
        <v>204</v>
      </c>
    </row>
    <row r="1103" spans="1:20" x14ac:dyDescent="0.25">
      <c r="A1103" t="s">
        <v>3389</v>
      </c>
      <c r="B1103" t="str">
        <f>"5144"</f>
        <v>5144</v>
      </c>
      <c r="C1103" t="str">
        <f>"273525144"</f>
        <v>273525144</v>
      </c>
      <c r="D1103" t="s">
        <v>380</v>
      </c>
      <c r="E1103" t="s">
        <v>184</v>
      </c>
      <c r="F1103" t="s">
        <v>44</v>
      </c>
      <c r="G1103" s="1">
        <v>19853</v>
      </c>
      <c r="H1103" s="1">
        <v>41351</v>
      </c>
      <c r="I1103" t="str">
        <f>"41"</f>
        <v>41</v>
      </c>
      <c r="J1103" t="s">
        <v>24</v>
      </c>
      <c r="K1103" t="s">
        <v>25</v>
      </c>
      <c r="L1103" t="s">
        <v>26</v>
      </c>
      <c r="M1103" t="s">
        <v>27</v>
      </c>
      <c r="N1103" s="1">
        <v>18629</v>
      </c>
      <c r="O1103">
        <v>0</v>
      </c>
      <c r="P1103">
        <v>0</v>
      </c>
      <c r="Q1103" t="s">
        <v>37</v>
      </c>
      <c r="R1103" t="s">
        <v>29</v>
      </c>
      <c r="S1103" t="s">
        <v>283</v>
      </c>
      <c r="T1103" t="s">
        <v>284</v>
      </c>
    </row>
    <row r="1104" spans="1:20" x14ac:dyDescent="0.25">
      <c r="A1104" t="s">
        <v>3390</v>
      </c>
      <c r="B1104" t="str">
        <f>"5460"</f>
        <v>5460</v>
      </c>
      <c r="C1104" t="str">
        <f>"294705460"</f>
        <v>294705460</v>
      </c>
      <c r="D1104" t="s">
        <v>3391</v>
      </c>
      <c r="E1104" t="s">
        <v>609</v>
      </c>
      <c r="F1104" t="s">
        <v>93</v>
      </c>
      <c r="G1104" s="1">
        <v>23427</v>
      </c>
      <c r="H1104" s="1">
        <v>41347</v>
      </c>
      <c r="I1104" t="str">
        <f>"52"</f>
        <v>52</v>
      </c>
      <c r="J1104" t="s">
        <v>330</v>
      </c>
      <c r="K1104" t="s">
        <v>25</v>
      </c>
      <c r="L1104" t="s">
        <v>26</v>
      </c>
      <c r="M1104" t="s">
        <v>27</v>
      </c>
      <c r="N1104" s="1">
        <v>18629</v>
      </c>
      <c r="O1104">
        <v>0</v>
      </c>
      <c r="P1104">
        <v>0</v>
      </c>
      <c r="Q1104" t="s">
        <v>28</v>
      </c>
      <c r="R1104" t="s">
        <v>71</v>
      </c>
      <c r="S1104" t="s">
        <v>402</v>
      </c>
      <c r="T1104" t="s">
        <v>403</v>
      </c>
    </row>
    <row r="1105" spans="1:20" x14ac:dyDescent="0.25">
      <c r="A1105" t="s">
        <v>3392</v>
      </c>
      <c r="B1105" t="str">
        <f>"6631"</f>
        <v>6631</v>
      </c>
      <c r="C1105" t="str">
        <f>"293966631"</f>
        <v>293966631</v>
      </c>
      <c r="D1105" t="s">
        <v>3393</v>
      </c>
      <c r="E1105" t="s">
        <v>197</v>
      </c>
      <c r="F1105" t="s">
        <v>97</v>
      </c>
      <c r="G1105" s="1">
        <v>34248</v>
      </c>
      <c r="H1105" s="1">
        <v>41340</v>
      </c>
      <c r="I1105" t="str">
        <f>"41"</f>
        <v>41</v>
      </c>
      <c r="J1105" t="s">
        <v>24</v>
      </c>
      <c r="K1105" t="s">
        <v>25</v>
      </c>
      <c r="L1105" t="s">
        <v>26</v>
      </c>
      <c r="M1105" t="s">
        <v>27</v>
      </c>
      <c r="N1105" s="1">
        <v>18629</v>
      </c>
      <c r="O1105">
        <v>0</v>
      </c>
      <c r="P1105">
        <v>0</v>
      </c>
      <c r="Q1105" t="s">
        <v>28</v>
      </c>
      <c r="R1105" t="s">
        <v>71</v>
      </c>
      <c r="S1105" t="s">
        <v>402</v>
      </c>
      <c r="T1105" t="s">
        <v>403</v>
      </c>
    </row>
    <row r="1106" spans="1:20" x14ac:dyDescent="0.25">
      <c r="A1106" t="s">
        <v>3394</v>
      </c>
      <c r="B1106" t="str">
        <f>"9218"</f>
        <v>9218</v>
      </c>
      <c r="C1106" t="str">
        <f>"294689218"</f>
        <v>294689218</v>
      </c>
      <c r="D1106" t="s">
        <v>3395</v>
      </c>
      <c r="E1106" t="s">
        <v>3396</v>
      </c>
      <c r="G1106" s="1">
        <v>24008</v>
      </c>
      <c r="H1106" s="1">
        <v>41337</v>
      </c>
      <c r="I1106" t="str">
        <f>"15"</f>
        <v>15</v>
      </c>
      <c r="J1106" t="s">
        <v>36</v>
      </c>
      <c r="K1106" t="s">
        <v>98</v>
      </c>
      <c r="L1106" t="s">
        <v>37</v>
      </c>
      <c r="M1106" t="s">
        <v>99</v>
      </c>
      <c r="N1106" s="1">
        <v>41617</v>
      </c>
      <c r="O1106">
        <v>14801.8</v>
      </c>
      <c r="P1106">
        <v>3700.32</v>
      </c>
      <c r="Q1106" t="s">
        <v>37</v>
      </c>
      <c r="R1106" t="s">
        <v>51</v>
      </c>
      <c r="S1106" s="2" t="s">
        <v>1272</v>
      </c>
      <c r="T1106" t="s">
        <v>1273</v>
      </c>
    </row>
    <row r="1107" spans="1:20" x14ac:dyDescent="0.25">
      <c r="A1107" t="s">
        <v>3397</v>
      </c>
      <c r="B1107" t="str">
        <f>"3795"</f>
        <v>3795</v>
      </c>
      <c r="C1107" t="str">
        <f>"279643795"</f>
        <v>279643795</v>
      </c>
      <c r="D1107" t="s">
        <v>3398</v>
      </c>
      <c r="E1107" t="s">
        <v>3399</v>
      </c>
      <c r="F1107" t="s">
        <v>28</v>
      </c>
      <c r="G1107" s="1">
        <v>24912</v>
      </c>
      <c r="H1107" s="1">
        <v>41337</v>
      </c>
      <c r="I1107" t="str">
        <f>"30"</f>
        <v>30</v>
      </c>
      <c r="J1107" t="s">
        <v>50</v>
      </c>
      <c r="K1107" t="s">
        <v>25</v>
      </c>
      <c r="L1107" t="s">
        <v>26</v>
      </c>
      <c r="M1107" t="s">
        <v>27</v>
      </c>
      <c r="N1107" s="1">
        <v>18629</v>
      </c>
      <c r="O1107">
        <v>0</v>
      </c>
      <c r="P1107">
        <v>0</v>
      </c>
      <c r="Q1107" t="s">
        <v>37</v>
      </c>
      <c r="R1107" t="s">
        <v>71</v>
      </c>
      <c r="S1107" t="s">
        <v>277</v>
      </c>
      <c r="T1107" t="s">
        <v>278</v>
      </c>
    </row>
    <row r="1108" spans="1:20" x14ac:dyDescent="0.25">
      <c r="A1108" t="s">
        <v>3400</v>
      </c>
      <c r="B1108" t="str">
        <f>"9277"</f>
        <v>9277</v>
      </c>
      <c r="C1108" t="str">
        <f>"270789277"</f>
        <v>270789277</v>
      </c>
      <c r="D1108" t="s">
        <v>3401</v>
      </c>
      <c r="E1108" t="s">
        <v>2150</v>
      </c>
      <c r="F1108" t="s">
        <v>93</v>
      </c>
      <c r="G1108" s="1">
        <v>29762</v>
      </c>
      <c r="H1108" s="1">
        <v>41337</v>
      </c>
      <c r="I1108" t="str">
        <f>"12"</f>
        <v>12</v>
      </c>
      <c r="J1108" t="s">
        <v>245</v>
      </c>
      <c r="K1108" t="s">
        <v>98</v>
      </c>
      <c r="L1108" t="s">
        <v>37</v>
      </c>
      <c r="M1108" t="s">
        <v>117</v>
      </c>
      <c r="N1108" s="1">
        <v>41617</v>
      </c>
      <c r="O1108">
        <v>4951.96</v>
      </c>
      <c r="P1108">
        <v>1237.8599999999999</v>
      </c>
      <c r="Q1108" t="s">
        <v>37</v>
      </c>
      <c r="R1108" t="s">
        <v>110</v>
      </c>
      <c r="S1108" t="s">
        <v>1908</v>
      </c>
      <c r="T1108" t="s">
        <v>1909</v>
      </c>
    </row>
    <row r="1109" spans="1:20" x14ac:dyDescent="0.25">
      <c r="A1109" t="s">
        <v>3402</v>
      </c>
      <c r="B1109" t="str">
        <f>"3545"</f>
        <v>3545</v>
      </c>
      <c r="C1109" t="str">
        <f>"281803545"</f>
        <v>281803545</v>
      </c>
      <c r="D1109" t="s">
        <v>609</v>
      </c>
      <c r="E1109" t="s">
        <v>2911</v>
      </c>
      <c r="F1109" t="s">
        <v>264</v>
      </c>
      <c r="G1109" s="1">
        <v>25389</v>
      </c>
      <c r="H1109" s="1">
        <v>41337</v>
      </c>
      <c r="I1109" t="str">
        <f>"12"</f>
        <v>12</v>
      </c>
      <c r="J1109" t="s">
        <v>245</v>
      </c>
      <c r="K1109" t="s">
        <v>98</v>
      </c>
      <c r="L1109" t="s">
        <v>37</v>
      </c>
      <c r="M1109" t="s">
        <v>257</v>
      </c>
      <c r="N1109" s="1">
        <v>41617</v>
      </c>
      <c r="O1109">
        <v>10753.08</v>
      </c>
      <c r="P1109">
        <v>2688.4</v>
      </c>
      <c r="Q1109" t="s">
        <v>37</v>
      </c>
      <c r="R1109" t="s">
        <v>110</v>
      </c>
      <c r="S1109" t="s">
        <v>3017</v>
      </c>
      <c r="T1109" t="s">
        <v>3018</v>
      </c>
    </row>
    <row r="1110" spans="1:20" x14ac:dyDescent="0.25">
      <c r="A1110" t="s">
        <v>3403</v>
      </c>
      <c r="B1110" t="str">
        <f>"3023"</f>
        <v>3023</v>
      </c>
      <c r="C1110" t="str">
        <f>"282723023"</f>
        <v>282723023</v>
      </c>
      <c r="D1110" t="s">
        <v>3404</v>
      </c>
      <c r="E1110" t="s">
        <v>3405</v>
      </c>
      <c r="F1110" t="s">
        <v>219</v>
      </c>
      <c r="G1110" s="1">
        <v>25445</v>
      </c>
      <c r="H1110" s="1">
        <v>41337</v>
      </c>
      <c r="I1110" t="str">
        <f>"01"</f>
        <v>01</v>
      </c>
      <c r="J1110" t="s">
        <v>116</v>
      </c>
      <c r="K1110" t="s">
        <v>98</v>
      </c>
      <c r="L1110" t="s">
        <v>37</v>
      </c>
      <c r="M1110" t="s">
        <v>99</v>
      </c>
      <c r="N1110" s="1">
        <v>41617</v>
      </c>
      <c r="O1110">
        <v>14801.8</v>
      </c>
      <c r="P1110">
        <v>3700.32</v>
      </c>
      <c r="Q1110" t="s">
        <v>28</v>
      </c>
      <c r="R1110" t="s">
        <v>51</v>
      </c>
      <c r="S1110" s="2" t="s">
        <v>3406</v>
      </c>
      <c r="T1110" t="s">
        <v>3407</v>
      </c>
    </row>
    <row r="1111" spans="1:20" x14ac:dyDescent="0.25">
      <c r="A1111" t="s">
        <v>3408</v>
      </c>
      <c r="B1111" t="str">
        <f>"9944"</f>
        <v>9944</v>
      </c>
      <c r="C1111" t="str">
        <f>"297029944"</f>
        <v>297029944</v>
      </c>
      <c r="D1111" t="s">
        <v>2138</v>
      </c>
      <c r="E1111" t="s">
        <v>3409</v>
      </c>
      <c r="F1111" t="s">
        <v>44</v>
      </c>
      <c r="G1111" s="1">
        <v>24971</v>
      </c>
      <c r="H1111" s="1">
        <v>41337</v>
      </c>
      <c r="I1111" t="str">
        <f>"30"</f>
        <v>30</v>
      </c>
      <c r="J1111" t="s">
        <v>50</v>
      </c>
      <c r="K1111" t="s">
        <v>25</v>
      </c>
      <c r="L1111" t="s">
        <v>26</v>
      </c>
      <c r="M1111" t="s">
        <v>27</v>
      </c>
      <c r="N1111" s="1">
        <v>18629</v>
      </c>
      <c r="O1111">
        <v>0</v>
      </c>
      <c r="P1111">
        <v>0</v>
      </c>
      <c r="Q1111" t="s">
        <v>37</v>
      </c>
      <c r="R1111" t="s">
        <v>29</v>
      </c>
      <c r="S1111" t="s">
        <v>373</v>
      </c>
      <c r="T1111" t="s">
        <v>374</v>
      </c>
    </row>
    <row r="1112" spans="1:20" x14ac:dyDescent="0.25">
      <c r="A1112" t="s">
        <v>3410</v>
      </c>
      <c r="B1112" t="str">
        <f>"3827"</f>
        <v>3827</v>
      </c>
      <c r="C1112" t="str">
        <f>"270603827"</f>
        <v>270603827</v>
      </c>
      <c r="D1112" t="s">
        <v>3411</v>
      </c>
      <c r="E1112" t="s">
        <v>3412</v>
      </c>
      <c r="F1112" t="s">
        <v>165</v>
      </c>
      <c r="G1112" s="1">
        <v>20891</v>
      </c>
      <c r="H1112" s="1">
        <v>41337</v>
      </c>
      <c r="I1112" t="str">
        <f>"03"</f>
        <v>03</v>
      </c>
      <c r="J1112" t="s">
        <v>70</v>
      </c>
      <c r="K1112" t="s">
        <v>98</v>
      </c>
      <c r="L1112" t="s">
        <v>37</v>
      </c>
      <c r="M1112" t="s">
        <v>117</v>
      </c>
      <c r="N1112" s="1">
        <v>41617</v>
      </c>
      <c r="O1112">
        <v>4951.96</v>
      </c>
      <c r="P1112">
        <v>1237.8599999999999</v>
      </c>
      <c r="Q1112" t="s">
        <v>28</v>
      </c>
      <c r="R1112" t="s">
        <v>51</v>
      </c>
      <c r="S1112" s="2" t="s">
        <v>2318</v>
      </c>
      <c r="T1112" t="s">
        <v>2319</v>
      </c>
    </row>
    <row r="1113" spans="1:20" x14ac:dyDescent="0.25">
      <c r="A1113" t="s">
        <v>3413</v>
      </c>
      <c r="B1113" t="str">
        <f>"3038"</f>
        <v>3038</v>
      </c>
      <c r="C1113" t="str">
        <f>"288463038"</f>
        <v>288463038</v>
      </c>
      <c r="D1113" t="s">
        <v>1383</v>
      </c>
      <c r="E1113" t="s">
        <v>2537</v>
      </c>
      <c r="F1113" t="s">
        <v>190</v>
      </c>
      <c r="G1113" s="1">
        <v>18715</v>
      </c>
      <c r="H1113" s="1">
        <v>41334</v>
      </c>
      <c r="I1113" t="str">
        <f>"53"</f>
        <v>53</v>
      </c>
      <c r="J1113" t="s">
        <v>917</v>
      </c>
      <c r="K1113" t="s">
        <v>25</v>
      </c>
      <c r="L1113" t="s">
        <v>26</v>
      </c>
      <c r="M1113" t="s">
        <v>27</v>
      </c>
      <c r="N1113" s="1">
        <v>18629</v>
      </c>
      <c r="O1113">
        <v>0</v>
      </c>
      <c r="P1113">
        <v>0</v>
      </c>
      <c r="Q1113" t="s">
        <v>37</v>
      </c>
      <c r="R1113" t="s">
        <v>312</v>
      </c>
      <c r="S1113" t="s">
        <v>918</v>
      </c>
      <c r="T1113" t="s">
        <v>919</v>
      </c>
    </row>
    <row r="1114" spans="1:20" x14ac:dyDescent="0.25">
      <c r="A1114" t="s">
        <v>3414</v>
      </c>
      <c r="B1114" t="str">
        <f>"8154"</f>
        <v>8154</v>
      </c>
      <c r="C1114" t="str">
        <f>"285748154"</f>
        <v>285748154</v>
      </c>
      <c r="D1114" t="s">
        <v>3415</v>
      </c>
      <c r="E1114" t="s">
        <v>3416</v>
      </c>
      <c r="F1114" t="s">
        <v>44</v>
      </c>
      <c r="G1114" s="1">
        <v>23238</v>
      </c>
      <c r="H1114" s="1">
        <v>41334</v>
      </c>
      <c r="I1114" t="str">
        <f>"52"</f>
        <v>52</v>
      </c>
      <c r="J1114" t="s">
        <v>330</v>
      </c>
      <c r="K1114" t="s">
        <v>25</v>
      </c>
      <c r="L1114" t="s">
        <v>26</v>
      </c>
      <c r="M1114" t="s">
        <v>27</v>
      </c>
      <c r="N1114" s="1">
        <v>18629</v>
      </c>
      <c r="O1114">
        <v>0</v>
      </c>
      <c r="P1114">
        <v>0</v>
      </c>
      <c r="Q1114" t="s">
        <v>37</v>
      </c>
      <c r="R1114" t="s">
        <v>258</v>
      </c>
      <c r="S1114" t="s">
        <v>678</v>
      </c>
      <c r="T1114" t="s">
        <v>679</v>
      </c>
    </row>
    <row r="1115" spans="1:20" x14ac:dyDescent="0.25">
      <c r="A1115" t="s">
        <v>3417</v>
      </c>
      <c r="B1115" t="str">
        <f>"6367"</f>
        <v>6367</v>
      </c>
      <c r="C1115" t="str">
        <f>"299286367"</f>
        <v>299286367</v>
      </c>
      <c r="D1115" t="s">
        <v>3418</v>
      </c>
      <c r="E1115" t="s">
        <v>3318</v>
      </c>
      <c r="F1115" t="s">
        <v>69</v>
      </c>
      <c r="G1115" s="1">
        <v>12432</v>
      </c>
      <c r="H1115" s="1">
        <v>41334</v>
      </c>
      <c r="I1115" t="str">
        <f>"41"</f>
        <v>41</v>
      </c>
      <c r="J1115" t="s">
        <v>24</v>
      </c>
      <c r="K1115" t="s">
        <v>25</v>
      </c>
      <c r="L1115" t="s">
        <v>26</v>
      </c>
      <c r="M1115" t="s">
        <v>27</v>
      </c>
      <c r="N1115" s="1">
        <v>18629</v>
      </c>
      <c r="O1115">
        <v>0</v>
      </c>
      <c r="P1115">
        <v>0</v>
      </c>
      <c r="Q1115" t="s">
        <v>37</v>
      </c>
      <c r="R1115" t="s">
        <v>71</v>
      </c>
      <c r="S1115" t="s">
        <v>3419</v>
      </c>
      <c r="T1115" t="s">
        <v>3420</v>
      </c>
    </row>
    <row r="1116" spans="1:20" x14ac:dyDescent="0.25">
      <c r="A1116" t="s">
        <v>3421</v>
      </c>
      <c r="B1116" t="str">
        <f>"8878"</f>
        <v>8878</v>
      </c>
      <c r="C1116" t="str">
        <f>"275808878"</f>
        <v>275808878</v>
      </c>
      <c r="D1116" t="s">
        <v>3422</v>
      </c>
      <c r="E1116" t="s">
        <v>1088</v>
      </c>
      <c r="F1116" t="s">
        <v>165</v>
      </c>
      <c r="G1116" s="1">
        <v>28366</v>
      </c>
      <c r="H1116" s="1">
        <v>41330</v>
      </c>
      <c r="I1116" t="str">
        <f>"52"</f>
        <v>52</v>
      </c>
      <c r="J1116" t="s">
        <v>330</v>
      </c>
      <c r="K1116" t="s">
        <v>25</v>
      </c>
      <c r="L1116" t="s">
        <v>26</v>
      </c>
      <c r="M1116" t="s">
        <v>27</v>
      </c>
      <c r="N1116" s="1">
        <v>18629</v>
      </c>
      <c r="O1116">
        <v>0</v>
      </c>
      <c r="P1116">
        <v>0</v>
      </c>
      <c r="Q1116" t="s">
        <v>37</v>
      </c>
      <c r="R1116" t="s">
        <v>258</v>
      </c>
      <c r="S1116" t="s">
        <v>1235</v>
      </c>
      <c r="T1116" t="s">
        <v>1236</v>
      </c>
    </row>
    <row r="1117" spans="1:20" x14ac:dyDescent="0.25">
      <c r="A1117" t="s">
        <v>3423</v>
      </c>
      <c r="B1117" t="str">
        <f>"3691"</f>
        <v>3691</v>
      </c>
      <c r="C1117" t="str">
        <f>"276463691"</f>
        <v>276463691</v>
      </c>
      <c r="D1117" t="s">
        <v>385</v>
      </c>
      <c r="E1117" t="s">
        <v>2398</v>
      </c>
      <c r="G1117" s="1">
        <v>16713</v>
      </c>
      <c r="H1117" s="1">
        <v>41323</v>
      </c>
      <c r="I1117" t="str">
        <f>"52"</f>
        <v>52</v>
      </c>
      <c r="J1117" t="s">
        <v>330</v>
      </c>
      <c r="K1117" t="s">
        <v>25</v>
      </c>
      <c r="L1117" t="s">
        <v>26</v>
      </c>
      <c r="M1117" t="s">
        <v>27</v>
      </c>
      <c r="N1117" s="1">
        <v>18629</v>
      </c>
      <c r="O1117">
        <v>0</v>
      </c>
      <c r="P1117">
        <v>0</v>
      </c>
      <c r="Q1117" t="s">
        <v>28</v>
      </c>
      <c r="R1117" t="s">
        <v>29</v>
      </c>
      <c r="S1117" t="s">
        <v>331</v>
      </c>
      <c r="T1117" t="s">
        <v>332</v>
      </c>
    </row>
    <row r="1118" spans="1:20" x14ac:dyDescent="0.25">
      <c r="A1118" t="s">
        <v>3424</v>
      </c>
      <c r="B1118" t="str">
        <f>"8851"</f>
        <v>8851</v>
      </c>
      <c r="C1118" t="str">
        <f>"229588851"</f>
        <v>229588851</v>
      </c>
      <c r="D1118" t="s">
        <v>3425</v>
      </c>
      <c r="E1118" t="s">
        <v>2455</v>
      </c>
      <c r="G1118" s="1">
        <v>15980</v>
      </c>
      <c r="H1118" s="1">
        <v>41323</v>
      </c>
      <c r="I1118" t="str">
        <f>"33"</f>
        <v>33</v>
      </c>
      <c r="J1118" t="s">
        <v>45</v>
      </c>
      <c r="K1118" t="s">
        <v>25</v>
      </c>
      <c r="L1118" t="s">
        <v>26</v>
      </c>
      <c r="M1118" t="s">
        <v>27</v>
      </c>
      <c r="N1118" s="1">
        <v>18629</v>
      </c>
      <c r="O1118">
        <v>0</v>
      </c>
      <c r="P1118">
        <v>0</v>
      </c>
      <c r="Q1118" t="s">
        <v>37</v>
      </c>
      <c r="R1118" t="s">
        <v>29</v>
      </c>
      <c r="S1118" t="s">
        <v>594</v>
      </c>
      <c r="T1118" t="s">
        <v>595</v>
      </c>
    </row>
    <row r="1119" spans="1:20" x14ac:dyDescent="0.25">
      <c r="A1119" t="s">
        <v>3426</v>
      </c>
      <c r="B1119" t="str">
        <f>"2432"</f>
        <v>2432</v>
      </c>
      <c r="C1119" t="str">
        <f>"575042432"</f>
        <v>575042432</v>
      </c>
      <c r="D1119" t="s">
        <v>3427</v>
      </c>
      <c r="E1119" t="s">
        <v>304</v>
      </c>
      <c r="F1119" t="s">
        <v>97</v>
      </c>
      <c r="G1119" s="1">
        <v>23257</v>
      </c>
      <c r="H1119" s="1">
        <v>41323</v>
      </c>
      <c r="I1119" t="str">
        <f>"12"</f>
        <v>12</v>
      </c>
      <c r="J1119" t="s">
        <v>245</v>
      </c>
      <c r="K1119" t="s">
        <v>98</v>
      </c>
      <c r="L1119" t="s">
        <v>37</v>
      </c>
      <c r="M1119" t="s">
        <v>117</v>
      </c>
      <c r="N1119" s="1">
        <v>41617</v>
      </c>
      <c r="O1119">
        <v>4951.96</v>
      </c>
      <c r="P1119">
        <v>1237.8599999999999</v>
      </c>
      <c r="Q1119" t="s">
        <v>28</v>
      </c>
      <c r="R1119" t="s">
        <v>71</v>
      </c>
      <c r="S1119" t="s">
        <v>373</v>
      </c>
      <c r="T1119" t="s">
        <v>374</v>
      </c>
    </row>
    <row r="1120" spans="1:20" x14ac:dyDescent="0.25">
      <c r="A1120" t="s">
        <v>3428</v>
      </c>
      <c r="B1120" t="str">
        <f>"0647"</f>
        <v>0647</v>
      </c>
      <c r="C1120" t="str">
        <f>"275700647"</f>
        <v>275700647</v>
      </c>
      <c r="D1120" t="s">
        <v>3429</v>
      </c>
      <c r="E1120" t="s">
        <v>3430</v>
      </c>
      <c r="F1120" t="s">
        <v>28</v>
      </c>
      <c r="G1120" s="1">
        <v>22604</v>
      </c>
      <c r="H1120" s="1">
        <v>41323</v>
      </c>
      <c r="I1120" t="str">
        <f>"52"</f>
        <v>52</v>
      </c>
      <c r="J1120" t="s">
        <v>330</v>
      </c>
      <c r="K1120" t="s">
        <v>25</v>
      </c>
      <c r="L1120" t="s">
        <v>26</v>
      </c>
      <c r="M1120" t="s">
        <v>27</v>
      </c>
      <c r="N1120" s="1">
        <v>18629</v>
      </c>
      <c r="O1120">
        <v>0</v>
      </c>
      <c r="P1120">
        <v>0</v>
      </c>
      <c r="Q1120" t="s">
        <v>37</v>
      </c>
      <c r="R1120" t="s">
        <v>29</v>
      </c>
      <c r="S1120" t="s">
        <v>331</v>
      </c>
      <c r="T1120" t="s">
        <v>332</v>
      </c>
    </row>
    <row r="1121" spans="1:20" x14ac:dyDescent="0.25">
      <c r="A1121" t="s">
        <v>3431</v>
      </c>
      <c r="B1121" t="str">
        <f>"8138"</f>
        <v>8138</v>
      </c>
      <c r="C1121" t="str">
        <f>"410968138"</f>
        <v>410968138</v>
      </c>
      <c r="D1121" t="s">
        <v>1156</v>
      </c>
      <c r="E1121" t="s">
        <v>3432</v>
      </c>
      <c r="F1121" t="s">
        <v>165</v>
      </c>
      <c r="G1121" s="1">
        <v>19732</v>
      </c>
      <c r="H1121" s="1">
        <v>41323</v>
      </c>
      <c r="I1121" t="str">
        <f>"03"</f>
        <v>03</v>
      </c>
      <c r="J1121" t="s">
        <v>70</v>
      </c>
      <c r="K1121" t="s">
        <v>98</v>
      </c>
      <c r="L1121" t="s">
        <v>37</v>
      </c>
      <c r="M1121" t="s">
        <v>117</v>
      </c>
      <c r="N1121" s="1">
        <v>41617</v>
      </c>
      <c r="O1121">
        <v>4951.96</v>
      </c>
      <c r="P1121">
        <v>1237.8599999999999</v>
      </c>
      <c r="Q1121" t="s">
        <v>37</v>
      </c>
      <c r="R1121" t="s">
        <v>258</v>
      </c>
      <c r="S1121" t="s">
        <v>678</v>
      </c>
      <c r="T1121" t="s">
        <v>679</v>
      </c>
    </row>
    <row r="1122" spans="1:20" x14ac:dyDescent="0.25">
      <c r="A1122" t="s">
        <v>3433</v>
      </c>
      <c r="B1122" t="str">
        <f>"5811"</f>
        <v>5811</v>
      </c>
      <c r="C1122" t="str">
        <f>"280765811"</f>
        <v>280765811</v>
      </c>
      <c r="D1122" t="s">
        <v>3434</v>
      </c>
      <c r="E1122" t="s">
        <v>3163</v>
      </c>
      <c r="F1122" t="s">
        <v>69</v>
      </c>
      <c r="G1122" s="1">
        <v>29307</v>
      </c>
      <c r="H1122" s="1">
        <v>41323</v>
      </c>
      <c r="I1122" t="str">
        <f>"52"</f>
        <v>52</v>
      </c>
      <c r="J1122" t="s">
        <v>330</v>
      </c>
      <c r="K1122" t="s">
        <v>25</v>
      </c>
      <c r="L1122" t="s">
        <v>26</v>
      </c>
      <c r="M1122" t="s">
        <v>27</v>
      </c>
      <c r="N1122" s="1">
        <v>18629</v>
      </c>
      <c r="O1122">
        <v>0</v>
      </c>
      <c r="P1122">
        <v>0</v>
      </c>
      <c r="Q1122" t="s">
        <v>37</v>
      </c>
      <c r="R1122" t="s">
        <v>258</v>
      </c>
      <c r="S1122" t="s">
        <v>331</v>
      </c>
      <c r="T1122" t="s">
        <v>332</v>
      </c>
    </row>
    <row r="1123" spans="1:20" x14ac:dyDescent="0.25">
      <c r="A1123" t="s">
        <v>3435</v>
      </c>
      <c r="B1123" t="str">
        <f>"4679"</f>
        <v>4679</v>
      </c>
      <c r="C1123" t="str">
        <f>"276784679"</f>
        <v>276784679</v>
      </c>
      <c r="D1123" t="s">
        <v>3436</v>
      </c>
      <c r="E1123" t="s">
        <v>900</v>
      </c>
      <c r="F1123" t="s">
        <v>97</v>
      </c>
      <c r="G1123" s="1">
        <v>29868</v>
      </c>
      <c r="H1123" s="1">
        <v>41323</v>
      </c>
      <c r="I1123" t="str">
        <f>"12"</f>
        <v>12</v>
      </c>
      <c r="J1123" t="s">
        <v>245</v>
      </c>
      <c r="K1123" t="s">
        <v>98</v>
      </c>
      <c r="L1123" t="s">
        <v>37</v>
      </c>
      <c r="M1123" t="s">
        <v>117</v>
      </c>
      <c r="N1123" s="1">
        <v>41617</v>
      </c>
      <c r="O1123">
        <v>4951.96</v>
      </c>
      <c r="P1123">
        <v>1237.8599999999999</v>
      </c>
      <c r="Q1123" t="s">
        <v>37</v>
      </c>
      <c r="R1123" t="s">
        <v>51</v>
      </c>
      <c r="S1123" s="2" t="s">
        <v>318</v>
      </c>
      <c r="T1123" t="s">
        <v>319</v>
      </c>
    </row>
    <row r="1124" spans="1:20" x14ac:dyDescent="0.25">
      <c r="A1124" t="s">
        <v>3437</v>
      </c>
      <c r="B1124" t="str">
        <f>"5057"</f>
        <v>5057</v>
      </c>
      <c r="C1124" t="str">
        <f>"275505057"</f>
        <v>275505057</v>
      </c>
      <c r="D1124" t="s">
        <v>3438</v>
      </c>
      <c r="E1124" t="s">
        <v>308</v>
      </c>
      <c r="F1124" t="s">
        <v>69</v>
      </c>
      <c r="G1124" s="1">
        <v>20369</v>
      </c>
      <c r="H1124" s="1">
        <v>41323</v>
      </c>
      <c r="I1124" t="str">
        <f>"41"</f>
        <v>41</v>
      </c>
      <c r="J1124" t="s">
        <v>24</v>
      </c>
      <c r="K1124" t="s">
        <v>25</v>
      </c>
      <c r="L1124" t="s">
        <v>26</v>
      </c>
      <c r="M1124" t="s">
        <v>27</v>
      </c>
      <c r="N1124" s="1">
        <v>18629</v>
      </c>
      <c r="O1124">
        <v>0</v>
      </c>
      <c r="P1124">
        <v>0</v>
      </c>
      <c r="Q1124" t="s">
        <v>37</v>
      </c>
      <c r="R1124" t="s">
        <v>29</v>
      </c>
      <c r="S1124" t="s">
        <v>251</v>
      </c>
      <c r="T1124" t="s">
        <v>252</v>
      </c>
    </row>
    <row r="1125" spans="1:20" x14ac:dyDescent="0.25">
      <c r="A1125" t="s">
        <v>3439</v>
      </c>
      <c r="B1125" t="str">
        <f>"5570"</f>
        <v>5570</v>
      </c>
      <c r="C1125" t="str">
        <f>"223495570"</f>
        <v>223495570</v>
      </c>
      <c r="D1125" t="s">
        <v>530</v>
      </c>
      <c r="E1125" t="s">
        <v>3440</v>
      </c>
      <c r="F1125" t="s">
        <v>26</v>
      </c>
      <c r="G1125" s="1">
        <v>25424</v>
      </c>
      <c r="H1125" s="1">
        <v>41323</v>
      </c>
      <c r="I1125" t="str">
        <f>"05"</f>
        <v>05</v>
      </c>
      <c r="J1125" t="s">
        <v>58</v>
      </c>
      <c r="K1125" t="s">
        <v>175</v>
      </c>
      <c r="L1125" t="s">
        <v>37</v>
      </c>
      <c r="M1125" t="s">
        <v>257</v>
      </c>
      <c r="N1125" s="1">
        <v>41617</v>
      </c>
      <c r="O1125">
        <v>11847.94</v>
      </c>
      <c r="P1125">
        <v>2961.92</v>
      </c>
      <c r="Q1125" t="s">
        <v>37</v>
      </c>
      <c r="R1125" t="s">
        <v>38</v>
      </c>
      <c r="S1125" t="s">
        <v>566</v>
      </c>
      <c r="T1125" t="s">
        <v>567</v>
      </c>
    </row>
    <row r="1126" spans="1:20" x14ac:dyDescent="0.25">
      <c r="A1126" t="s">
        <v>3441</v>
      </c>
      <c r="B1126" t="str">
        <f>"7234"</f>
        <v>7234</v>
      </c>
      <c r="C1126" t="str">
        <f>"302707234"</f>
        <v>302707234</v>
      </c>
      <c r="D1126" t="s">
        <v>3442</v>
      </c>
      <c r="E1126" t="s">
        <v>3443</v>
      </c>
      <c r="F1126" t="s">
        <v>28</v>
      </c>
      <c r="G1126" s="1">
        <v>27855</v>
      </c>
      <c r="H1126" s="1">
        <v>41323</v>
      </c>
      <c r="I1126" t="str">
        <f>"12"</f>
        <v>12</v>
      </c>
      <c r="J1126" t="s">
        <v>245</v>
      </c>
      <c r="K1126" t="s">
        <v>98</v>
      </c>
      <c r="L1126" t="s">
        <v>37</v>
      </c>
      <c r="M1126" t="s">
        <v>99</v>
      </c>
      <c r="N1126" s="1">
        <v>41617</v>
      </c>
      <c r="O1126">
        <v>14801.8</v>
      </c>
      <c r="P1126">
        <v>3700.32</v>
      </c>
      <c r="Q1126" t="s">
        <v>37</v>
      </c>
      <c r="R1126" t="s">
        <v>29</v>
      </c>
      <c r="S1126" t="s">
        <v>3444</v>
      </c>
      <c r="T1126" t="s">
        <v>3445</v>
      </c>
    </row>
    <row r="1127" spans="1:20" x14ac:dyDescent="0.25">
      <c r="A1127" t="s">
        <v>3446</v>
      </c>
      <c r="B1127" t="str">
        <f>"1544"</f>
        <v>1544</v>
      </c>
      <c r="C1127" t="str">
        <f>"272741544"</f>
        <v>272741544</v>
      </c>
      <c r="D1127" t="s">
        <v>1969</v>
      </c>
      <c r="E1127" t="s">
        <v>3447</v>
      </c>
      <c r="F1127" t="s">
        <v>44</v>
      </c>
      <c r="G1127" s="1">
        <v>26354</v>
      </c>
      <c r="H1127" s="1">
        <v>41323</v>
      </c>
      <c r="I1127" t="str">
        <f>"08"</f>
        <v>08</v>
      </c>
      <c r="J1127" t="s">
        <v>265</v>
      </c>
      <c r="K1127" t="s">
        <v>98</v>
      </c>
      <c r="L1127" t="s">
        <v>37</v>
      </c>
      <c r="M1127" t="s">
        <v>257</v>
      </c>
      <c r="N1127" s="1">
        <v>41617</v>
      </c>
      <c r="O1127">
        <v>10753.08</v>
      </c>
      <c r="P1127">
        <v>2688.4</v>
      </c>
      <c r="Q1127" t="s">
        <v>28</v>
      </c>
      <c r="R1127" t="s">
        <v>29</v>
      </c>
      <c r="S1127" t="s">
        <v>885</v>
      </c>
      <c r="T1127" t="s">
        <v>886</v>
      </c>
    </row>
    <row r="1128" spans="1:20" x14ac:dyDescent="0.25">
      <c r="A1128" t="s">
        <v>3448</v>
      </c>
      <c r="B1128" t="str">
        <f>"0042"</f>
        <v>0042</v>
      </c>
      <c r="C1128" t="str">
        <f>"538170042"</f>
        <v>538170042</v>
      </c>
      <c r="D1128" t="s">
        <v>3449</v>
      </c>
      <c r="E1128" t="s">
        <v>3060</v>
      </c>
      <c r="F1128" t="s">
        <v>329</v>
      </c>
      <c r="G1128" s="1">
        <v>31007</v>
      </c>
      <c r="H1128" s="1">
        <v>41323</v>
      </c>
      <c r="I1128" t="str">
        <f>"12"</f>
        <v>12</v>
      </c>
      <c r="J1128" t="s">
        <v>245</v>
      </c>
      <c r="K1128" t="s">
        <v>175</v>
      </c>
      <c r="L1128" t="s">
        <v>37</v>
      </c>
      <c r="M1128" t="s">
        <v>117</v>
      </c>
      <c r="N1128" s="1">
        <v>41617</v>
      </c>
      <c r="O1128">
        <v>5288.66</v>
      </c>
      <c r="P1128">
        <v>1322.1</v>
      </c>
      <c r="Q1128" t="s">
        <v>28</v>
      </c>
      <c r="R1128" t="s">
        <v>51</v>
      </c>
      <c r="S1128" s="2" t="s">
        <v>3450</v>
      </c>
      <c r="T1128" t="s">
        <v>3451</v>
      </c>
    </row>
    <row r="1129" spans="1:20" x14ac:dyDescent="0.25">
      <c r="A1129" t="s">
        <v>3452</v>
      </c>
      <c r="B1129" t="str">
        <f>"0159"</f>
        <v>0159</v>
      </c>
      <c r="C1129" t="str">
        <f>"278780159"</f>
        <v>278780159</v>
      </c>
      <c r="D1129" t="s">
        <v>3453</v>
      </c>
      <c r="E1129" t="s">
        <v>3454</v>
      </c>
      <c r="F1129" t="s">
        <v>69</v>
      </c>
      <c r="G1129" s="1">
        <v>29779</v>
      </c>
      <c r="H1129" s="1">
        <v>41323</v>
      </c>
      <c r="I1129" t="str">
        <f>"41"</f>
        <v>41</v>
      </c>
      <c r="J1129" t="s">
        <v>24</v>
      </c>
      <c r="K1129" t="s">
        <v>25</v>
      </c>
      <c r="L1129" t="s">
        <v>26</v>
      </c>
      <c r="M1129" t="s">
        <v>27</v>
      </c>
      <c r="N1129" s="1">
        <v>18629</v>
      </c>
      <c r="O1129">
        <v>0</v>
      </c>
      <c r="P1129">
        <v>0</v>
      </c>
      <c r="Q1129" t="s">
        <v>28</v>
      </c>
      <c r="R1129" t="s">
        <v>29</v>
      </c>
      <c r="S1129" t="s">
        <v>251</v>
      </c>
      <c r="T1129" t="s">
        <v>252</v>
      </c>
    </row>
    <row r="1130" spans="1:20" x14ac:dyDescent="0.25">
      <c r="A1130" t="s">
        <v>3455</v>
      </c>
      <c r="B1130" t="str">
        <f>"8577"</f>
        <v>8577</v>
      </c>
      <c r="C1130" t="str">
        <f>"292068577"</f>
        <v>292068577</v>
      </c>
      <c r="D1130" t="s">
        <v>3456</v>
      </c>
      <c r="E1130" t="s">
        <v>3457</v>
      </c>
      <c r="G1130" s="1">
        <v>33553</v>
      </c>
      <c r="H1130" s="1">
        <v>41323</v>
      </c>
      <c r="I1130" t="str">
        <f>"15"</f>
        <v>15</v>
      </c>
      <c r="J1130" t="s">
        <v>36</v>
      </c>
      <c r="L1130" t="s">
        <v>37</v>
      </c>
      <c r="M1130" t="s">
        <v>143</v>
      </c>
      <c r="N1130" s="1">
        <v>41617</v>
      </c>
      <c r="O1130">
        <v>185.9</v>
      </c>
      <c r="P1130">
        <v>-185.9</v>
      </c>
      <c r="Q1130" t="s">
        <v>28</v>
      </c>
      <c r="R1130" t="s">
        <v>29</v>
      </c>
      <c r="S1130" t="s">
        <v>419</v>
      </c>
      <c r="T1130" t="s">
        <v>420</v>
      </c>
    </row>
    <row r="1131" spans="1:20" x14ac:dyDescent="0.25">
      <c r="A1131" t="s">
        <v>3458</v>
      </c>
      <c r="B1131" t="str">
        <f>"1426"</f>
        <v>1426</v>
      </c>
      <c r="C1131" t="str">
        <f>"289861426"</f>
        <v>289861426</v>
      </c>
      <c r="D1131" t="s">
        <v>3459</v>
      </c>
      <c r="E1131" t="s">
        <v>3460</v>
      </c>
      <c r="G1131" s="1">
        <v>31979</v>
      </c>
      <c r="H1131" s="1">
        <v>41323</v>
      </c>
      <c r="I1131" t="str">
        <f>"33"</f>
        <v>33</v>
      </c>
      <c r="J1131" t="s">
        <v>45</v>
      </c>
      <c r="K1131" t="s">
        <v>25</v>
      </c>
      <c r="L1131" t="s">
        <v>26</v>
      </c>
      <c r="M1131" t="s">
        <v>27</v>
      </c>
      <c r="N1131" s="1">
        <v>18629</v>
      </c>
      <c r="O1131">
        <v>0</v>
      </c>
      <c r="P1131">
        <v>0</v>
      </c>
      <c r="Q1131" t="s">
        <v>28</v>
      </c>
      <c r="R1131" t="s">
        <v>29</v>
      </c>
      <c r="S1131" t="s">
        <v>594</v>
      </c>
      <c r="T1131" t="s">
        <v>595</v>
      </c>
    </row>
    <row r="1132" spans="1:20" x14ac:dyDescent="0.25">
      <c r="A1132" t="s">
        <v>3461</v>
      </c>
      <c r="B1132" t="str">
        <f>"0809"</f>
        <v>0809</v>
      </c>
      <c r="C1132" t="str">
        <f>"299720809"</f>
        <v>299720809</v>
      </c>
      <c r="D1132" t="s">
        <v>1061</v>
      </c>
      <c r="E1132" t="s">
        <v>2290</v>
      </c>
      <c r="F1132" t="s">
        <v>44</v>
      </c>
      <c r="G1132" s="1">
        <v>24342</v>
      </c>
      <c r="H1132" s="1">
        <v>41323</v>
      </c>
      <c r="I1132" t="str">
        <f>"52"</f>
        <v>52</v>
      </c>
      <c r="J1132" t="s">
        <v>330</v>
      </c>
      <c r="K1132" t="s">
        <v>25</v>
      </c>
      <c r="L1132" t="s">
        <v>26</v>
      </c>
      <c r="M1132" t="s">
        <v>27</v>
      </c>
      <c r="N1132" s="1">
        <v>18629</v>
      </c>
      <c r="O1132">
        <v>0</v>
      </c>
      <c r="P1132">
        <v>0</v>
      </c>
      <c r="Q1132" t="s">
        <v>28</v>
      </c>
      <c r="R1132" t="s">
        <v>258</v>
      </c>
      <c r="S1132" t="s">
        <v>331</v>
      </c>
      <c r="T1132" t="s">
        <v>332</v>
      </c>
    </row>
    <row r="1133" spans="1:20" x14ac:dyDescent="0.25">
      <c r="A1133" t="s">
        <v>3462</v>
      </c>
      <c r="B1133" t="str">
        <f>"8859"</f>
        <v>8859</v>
      </c>
      <c r="C1133" t="str">
        <f>"298948859"</f>
        <v>298948859</v>
      </c>
      <c r="D1133" t="s">
        <v>1087</v>
      </c>
      <c r="E1133" t="s">
        <v>1198</v>
      </c>
      <c r="F1133" t="s">
        <v>97</v>
      </c>
      <c r="G1133" s="1">
        <v>33743</v>
      </c>
      <c r="H1133" s="1">
        <v>41315</v>
      </c>
      <c r="I1133" t="str">
        <f>"41"</f>
        <v>41</v>
      </c>
      <c r="J1133" t="s">
        <v>24</v>
      </c>
      <c r="K1133" t="s">
        <v>25</v>
      </c>
      <c r="L1133" t="s">
        <v>26</v>
      </c>
      <c r="M1133" t="s">
        <v>27</v>
      </c>
      <c r="N1133" s="1">
        <v>18629</v>
      </c>
      <c r="O1133">
        <v>0</v>
      </c>
      <c r="P1133">
        <v>0</v>
      </c>
      <c r="Q1133" t="s">
        <v>28</v>
      </c>
      <c r="R1133" t="s">
        <v>71</v>
      </c>
      <c r="S1133" t="s">
        <v>402</v>
      </c>
      <c r="T1133" t="s">
        <v>403</v>
      </c>
    </row>
    <row r="1134" spans="1:20" x14ac:dyDescent="0.25">
      <c r="A1134" t="s">
        <v>3463</v>
      </c>
      <c r="B1134" t="str">
        <f>"6624"</f>
        <v>6624</v>
      </c>
      <c r="C1134" t="str">
        <f>"269966624"</f>
        <v>269966624</v>
      </c>
      <c r="D1134" t="s">
        <v>1383</v>
      </c>
      <c r="E1134" t="s">
        <v>1198</v>
      </c>
      <c r="F1134" t="s">
        <v>35</v>
      </c>
      <c r="G1134" s="1">
        <v>33522</v>
      </c>
      <c r="H1134" s="1">
        <v>41313</v>
      </c>
      <c r="I1134" t="str">
        <f>"34"</f>
        <v>34</v>
      </c>
      <c r="J1134" t="s">
        <v>388</v>
      </c>
      <c r="K1134" t="s">
        <v>25</v>
      </c>
      <c r="L1134" t="s">
        <v>26</v>
      </c>
      <c r="M1134" t="s">
        <v>27</v>
      </c>
      <c r="N1134" s="1">
        <v>18629</v>
      </c>
      <c r="O1134">
        <v>0</v>
      </c>
      <c r="P1134">
        <v>0</v>
      </c>
      <c r="Q1134" t="s">
        <v>28</v>
      </c>
      <c r="R1134" t="s">
        <v>258</v>
      </c>
      <c r="S1134" t="s">
        <v>615</v>
      </c>
      <c r="T1134" t="s">
        <v>616</v>
      </c>
    </row>
    <row r="1135" spans="1:20" x14ac:dyDescent="0.25">
      <c r="A1135" t="s">
        <v>3464</v>
      </c>
      <c r="B1135" t="str">
        <f>"5934"</f>
        <v>5934</v>
      </c>
      <c r="C1135" t="str">
        <f>"281965934"</f>
        <v>281965934</v>
      </c>
      <c r="D1135" t="s">
        <v>3465</v>
      </c>
      <c r="E1135" t="s">
        <v>722</v>
      </c>
      <c r="F1135" t="s">
        <v>97</v>
      </c>
      <c r="G1135" s="1">
        <v>34062</v>
      </c>
      <c r="H1135" s="1">
        <v>41311</v>
      </c>
      <c r="I1135" t="str">
        <f>"41"</f>
        <v>41</v>
      </c>
      <c r="J1135" t="s">
        <v>24</v>
      </c>
      <c r="K1135" t="s">
        <v>25</v>
      </c>
      <c r="L1135" t="s">
        <v>26</v>
      </c>
      <c r="M1135" t="s">
        <v>27</v>
      </c>
      <c r="N1135" s="1">
        <v>18629</v>
      </c>
      <c r="O1135">
        <v>0</v>
      </c>
      <c r="P1135">
        <v>0</v>
      </c>
      <c r="Q1135" t="s">
        <v>28</v>
      </c>
      <c r="R1135" t="s">
        <v>71</v>
      </c>
      <c r="S1135" t="s">
        <v>83</v>
      </c>
      <c r="T1135" t="s">
        <v>84</v>
      </c>
    </row>
    <row r="1136" spans="1:20" x14ac:dyDescent="0.25">
      <c r="A1136" t="s">
        <v>3466</v>
      </c>
      <c r="B1136" t="str">
        <f>"3952"</f>
        <v>3952</v>
      </c>
      <c r="C1136" t="str">
        <f>"292863952"</f>
        <v>292863952</v>
      </c>
      <c r="D1136" t="s">
        <v>3467</v>
      </c>
      <c r="E1136" t="s">
        <v>3468</v>
      </c>
      <c r="F1136" t="s">
        <v>44</v>
      </c>
      <c r="G1136" s="1">
        <v>28037</v>
      </c>
      <c r="H1136" s="1">
        <v>41310</v>
      </c>
      <c r="I1136" t="str">
        <f>"51"</f>
        <v>51</v>
      </c>
      <c r="J1136" t="s">
        <v>471</v>
      </c>
      <c r="K1136" t="s">
        <v>25</v>
      </c>
      <c r="L1136" t="s">
        <v>26</v>
      </c>
      <c r="M1136" t="s">
        <v>27</v>
      </c>
      <c r="N1136" s="1">
        <v>18629</v>
      </c>
      <c r="O1136">
        <v>0</v>
      </c>
      <c r="P1136">
        <v>0</v>
      </c>
      <c r="Q1136" t="s">
        <v>37</v>
      </c>
      <c r="R1136" t="s">
        <v>29</v>
      </c>
      <c r="S1136" t="s">
        <v>138</v>
      </c>
      <c r="T1136" t="s">
        <v>139</v>
      </c>
    </row>
    <row r="1137" spans="1:20" x14ac:dyDescent="0.25">
      <c r="A1137" t="s">
        <v>3469</v>
      </c>
      <c r="B1137" t="str">
        <f>"8189"</f>
        <v>8189</v>
      </c>
      <c r="C1137" t="str">
        <f>"274728189"</f>
        <v>274728189</v>
      </c>
      <c r="D1137" t="s">
        <v>3470</v>
      </c>
      <c r="E1137" t="s">
        <v>2551</v>
      </c>
      <c r="F1137" t="s">
        <v>2075</v>
      </c>
      <c r="G1137" s="1">
        <v>25394</v>
      </c>
      <c r="H1137" s="1">
        <v>41310</v>
      </c>
      <c r="I1137" t="str">
        <f>"51"</f>
        <v>51</v>
      </c>
      <c r="J1137" t="s">
        <v>471</v>
      </c>
      <c r="K1137" t="s">
        <v>25</v>
      </c>
      <c r="L1137" t="s">
        <v>26</v>
      </c>
      <c r="M1137" t="s">
        <v>27</v>
      </c>
      <c r="N1137" s="1">
        <v>18629</v>
      </c>
      <c r="O1137">
        <v>0</v>
      </c>
      <c r="P1137">
        <v>0</v>
      </c>
      <c r="Q1137" t="s">
        <v>37</v>
      </c>
      <c r="R1137" t="s">
        <v>29</v>
      </c>
      <c r="S1137" t="s">
        <v>138</v>
      </c>
      <c r="T1137" t="s">
        <v>139</v>
      </c>
    </row>
    <row r="1138" spans="1:20" x14ac:dyDescent="0.25">
      <c r="A1138" t="s">
        <v>3471</v>
      </c>
      <c r="B1138" t="str">
        <f>"5756"</f>
        <v>5756</v>
      </c>
      <c r="C1138" t="str">
        <f>"295505756"</f>
        <v>295505756</v>
      </c>
      <c r="D1138" t="s">
        <v>3472</v>
      </c>
      <c r="E1138" t="s">
        <v>1081</v>
      </c>
      <c r="F1138" t="s">
        <v>97</v>
      </c>
      <c r="G1138" s="1">
        <v>22769</v>
      </c>
      <c r="H1138" s="1">
        <v>41310</v>
      </c>
      <c r="I1138" t="str">
        <f>"33"</f>
        <v>33</v>
      </c>
      <c r="J1138" t="s">
        <v>45</v>
      </c>
      <c r="K1138" t="s">
        <v>25</v>
      </c>
      <c r="L1138" t="s">
        <v>26</v>
      </c>
      <c r="M1138" t="s">
        <v>27</v>
      </c>
      <c r="N1138" s="1">
        <v>18629</v>
      </c>
      <c r="O1138">
        <v>0</v>
      </c>
      <c r="P1138">
        <v>0</v>
      </c>
      <c r="Q1138" t="s">
        <v>28</v>
      </c>
      <c r="R1138" t="s">
        <v>29</v>
      </c>
      <c r="S1138" t="s">
        <v>757</v>
      </c>
      <c r="T1138" t="s">
        <v>758</v>
      </c>
    </row>
    <row r="1139" spans="1:20" x14ac:dyDescent="0.25">
      <c r="A1139" t="s">
        <v>3473</v>
      </c>
      <c r="B1139" t="str">
        <f>"3907"</f>
        <v>3907</v>
      </c>
      <c r="C1139" t="str">
        <f>"300863907"</f>
        <v>300863907</v>
      </c>
      <c r="D1139" t="s">
        <v>3089</v>
      </c>
      <c r="E1139" t="s">
        <v>3474</v>
      </c>
      <c r="F1139" t="s">
        <v>44</v>
      </c>
      <c r="G1139" s="1">
        <v>29013</v>
      </c>
      <c r="H1139" s="1">
        <v>41309</v>
      </c>
      <c r="I1139" t="str">
        <f>"51"</f>
        <v>51</v>
      </c>
      <c r="J1139" t="s">
        <v>471</v>
      </c>
      <c r="K1139" t="s">
        <v>25</v>
      </c>
      <c r="L1139" t="s">
        <v>26</v>
      </c>
      <c r="M1139" t="s">
        <v>27</v>
      </c>
      <c r="N1139" s="1">
        <v>18629</v>
      </c>
      <c r="O1139">
        <v>0</v>
      </c>
      <c r="P1139">
        <v>0</v>
      </c>
      <c r="Q1139" t="s">
        <v>37</v>
      </c>
      <c r="R1139" t="s">
        <v>29</v>
      </c>
      <c r="S1139" t="s">
        <v>138</v>
      </c>
      <c r="T1139" t="s">
        <v>139</v>
      </c>
    </row>
    <row r="1140" spans="1:20" x14ac:dyDescent="0.25">
      <c r="A1140" t="s">
        <v>3475</v>
      </c>
      <c r="B1140" t="str">
        <f>"3455"</f>
        <v>3455</v>
      </c>
      <c r="C1140" t="str">
        <f>"294503455"</f>
        <v>294503455</v>
      </c>
      <c r="D1140" t="s">
        <v>3476</v>
      </c>
      <c r="E1140" t="s">
        <v>3477</v>
      </c>
      <c r="F1140" t="s">
        <v>165</v>
      </c>
      <c r="G1140" s="1">
        <v>20213</v>
      </c>
      <c r="H1140" s="1">
        <v>41309</v>
      </c>
      <c r="I1140" t="str">
        <f>"52"</f>
        <v>52</v>
      </c>
      <c r="J1140" t="s">
        <v>330</v>
      </c>
      <c r="K1140" t="s">
        <v>25</v>
      </c>
      <c r="L1140" t="s">
        <v>26</v>
      </c>
      <c r="M1140" t="s">
        <v>27</v>
      </c>
      <c r="N1140" s="1">
        <v>18629</v>
      </c>
      <c r="O1140">
        <v>0</v>
      </c>
      <c r="P1140">
        <v>0</v>
      </c>
      <c r="Q1140" t="s">
        <v>28</v>
      </c>
      <c r="R1140" t="s">
        <v>29</v>
      </c>
      <c r="S1140" t="s">
        <v>331</v>
      </c>
      <c r="T1140" t="s">
        <v>332</v>
      </c>
    </row>
    <row r="1141" spans="1:20" x14ac:dyDescent="0.25">
      <c r="A1141" t="s">
        <v>3478</v>
      </c>
      <c r="B1141" t="str">
        <f>"1223"</f>
        <v>1223</v>
      </c>
      <c r="C1141" t="str">
        <f>"297521223"</f>
        <v>297521223</v>
      </c>
      <c r="D1141" t="s">
        <v>3479</v>
      </c>
      <c r="E1141" t="s">
        <v>675</v>
      </c>
      <c r="G1141" s="1">
        <v>20111</v>
      </c>
      <c r="H1141" s="1">
        <v>41309</v>
      </c>
      <c r="I1141" t="str">
        <f>"52"</f>
        <v>52</v>
      </c>
      <c r="J1141" t="s">
        <v>330</v>
      </c>
      <c r="K1141" t="s">
        <v>25</v>
      </c>
      <c r="L1141" t="s">
        <v>26</v>
      </c>
      <c r="M1141" t="s">
        <v>27</v>
      </c>
      <c r="N1141" s="1">
        <v>18629</v>
      </c>
      <c r="O1141">
        <v>0</v>
      </c>
      <c r="P1141">
        <v>0</v>
      </c>
      <c r="Q1141" t="s">
        <v>37</v>
      </c>
      <c r="R1141" t="s">
        <v>258</v>
      </c>
      <c r="S1141" t="s">
        <v>678</v>
      </c>
      <c r="T1141" t="s">
        <v>679</v>
      </c>
    </row>
    <row r="1142" spans="1:20" x14ac:dyDescent="0.25">
      <c r="A1142" t="s">
        <v>3480</v>
      </c>
      <c r="B1142" t="str">
        <f>"3226"</f>
        <v>3226</v>
      </c>
      <c r="C1142" t="str">
        <f>"276803226"</f>
        <v>276803226</v>
      </c>
      <c r="D1142" t="s">
        <v>3481</v>
      </c>
      <c r="E1142" t="s">
        <v>304</v>
      </c>
      <c r="F1142" t="s">
        <v>93</v>
      </c>
      <c r="G1142" s="1">
        <v>23852</v>
      </c>
      <c r="H1142" s="1">
        <v>41309</v>
      </c>
      <c r="I1142" t="str">
        <f>"05"</f>
        <v>05</v>
      </c>
      <c r="J1142" t="s">
        <v>58</v>
      </c>
      <c r="K1142" t="s">
        <v>175</v>
      </c>
      <c r="L1142" t="s">
        <v>37</v>
      </c>
      <c r="M1142" t="s">
        <v>117</v>
      </c>
      <c r="N1142" s="1">
        <v>41617</v>
      </c>
      <c r="O1142">
        <v>5288.66</v>
      </c>
      <c r="P1142">
        <v>1322.1</v>
      </c>
      <c r="Q1142" t="s">
        <v>28</v>
      </c>
      <c r="R1142" t="s">
        <v>29</v>
      </c>
      <c r="S1142" t="s">
        <v>3258</v>
      </c>
      <c r="T1142" t="s">
        <v>3259</v>
      </c>
    </row>
    <row r="1143" spans="1:20" x14ac:dyDescent="0.25">
      <c r="A1143" t="s">
        <v>3482</v>
      </c>
      <c r="B1143" t="str">
        <f>"0152"</f>
        <v>0152</v>
      </c>
      <c r="C1143" t="str">
        <f>"140560152"</f>
        <v>140560152</v>
      </c>
      <c r="D1143" t="s">
        <v>3483</v>
      </c>
      <c r="E1143" t="s">
        <v>1450</v>
      </c>
      <c r="G1143" s="1">
        <v>22756</v>
      </c>
      <c r="H1143" s="1">
        <v>41309</v>
      </c>
      <c r="I1143" t="str">
        <f>"12"</f>
        <v>12</v>
      </c>
      <c r="J1143" t="s">
        <v>245</v>
      </c>
      <c r="K1143" t="s">
        <v>98</v>
      </c>
      <c r="L1143" t="s">
        <v>37</v>
      </c>
      <c r="M1143" t="s">
        <v>257</v>
      </c>
      <c r="N1143" s="1">
        <v>41617</v>
      </c>
      <c r="O1143">
        <v>10753.08</v>
      </c>
      <c r="P1143">
        <v>2688.4</v>
      </c>
      <c r="Q1143" t="s">
        <v>37</v>
      </c>
      <c r="R1143" t="s">
        <v>29</v>
      </c>
      <c r="S1143" t="s">
        <v>2699</v>
      </c>
      <c r="T1143" t="s">
        <v>2700</v>
      </c>
    </row>
    <row r="1144" spans="1:20" x14ac:dyDescent="0.25">
      <c r="A1144" t="s">
        <v>3484</v>
      </c>
      <c r="B1144" t="str">
        <f>"4678"</f>
        <v>4678</v>
      </c>
      <c r="C1144" t="str">
        <f>"047664678"</f>
        <v>047664678</v>
      </c>
      <c r="D1144" t="s">
        <v>2757</v>
      </c>
      <c r="E1144" t="s">
        <v>2218</v>
      </c>
      <c r="F1144" t="s">
        <v>165</v>
      </c>
      <c r="G1144" s="1">
        <v>25346</v>
      </c>
      <c r="H1144" s="1">
        <v>41309</v>
      </c>
      <c r="I1144" t="str">
        <f>"52"</f>
        <v>52</v>
      </c>
      <c r="J1144" t="s">
        <v>330</v>
      </c>
      <c r="K1144" t="s">
        <v>25</v>
      </c>
      <c r="L1144" t="s">
        <v>26</v>
      </c>
      <c r="M1144" t="s">
        <v>27</v>
      </c>
      <c r="N1144" s="1">
        <v>18629</v>
      </c>
      <c r="O1144">
        <v>0</v>
      </c>
      <c r="P1144">
        <v>0</v>
      </c>
      <c r="Q1144" t="s">
        <v>28</v>
      </c>
      <c r="R1144" t="s">
        <v>258</v>
      </c>
      <c r="S1144" t="s">
        <v>331</v>
      </c>
      <c r="T1144" t="s">
        <v>332</v>
      </c>
    </row>
    <row r="1145" spans="1:20" x14ac:dyDescent="0.25">
      <c r="A1145" t="s">
        <v>3485</v>
      </c>
      <c r="B1145" t="str">
        <f>"9444"</f>
        <v>9444</v>
      </c>
      <c r="C1145" t="str">
        <f>"271609444"</f>
        <v>271609444</v>
      </c>
      <c r="D1145" t="s">
        <v>122</v>
      </c>
      <c r="E1145" t="s">
        <v>137</v>
      </c>
      <c r="G1145" s="1">
        <v>21096</v>
      </c>
      <c r="H1145" s="1">
        <v>41309</v>
      </c>
      <c r="I1145" t="str">
        <f>"51"</f>
        <v>51</v>
      </c>
      <c r="J1145" t="s">
        <v>471</v>
      </c>
      <c r="K1145" t="s">
        <v>25</v>
      </c>
      <c r="L1145" t="s">
        <v>26</v>
      </c>
      <c r="M1145" t="s">
        <v>27</v>
      </c>
      <c r="N1145" s="1">
        <v>18629</v>
      </c>
      <c r="O1145">
        <v>0</v>
      </c>
      <c r="P1145">
        <v>0</v>
      </c>
      <c r="Q1145" t="s">
        <v>37</v>
      </c>
      <c r="R1145" t="s">
        <v>51</v>
      </c>
      <c r="S1145" t="s">
        <v>960</v>
      </c>
      <c r="T1145" t="s">
        <v>314</v>
      </c>
    </row>
    <row r="1146" spans="1:20" x14ac:dyDescent="0.25">
      <c r="A1146" t="s">
        <v>3486</v>
      </c>
      <c r="B1146" t="str">
        <f>"9841"</f>
        <v>9841</v>
      </c>
      <c r="C1146" t="str">
        <f>"381749841"</f>
        <v>381749841</v>
      </c>
      <c r="D1146" t="s">
        <v>3487</v>
      </c>
      <c r="E1146" t="s">
        <v>812</v>
      </c>
      <c r="F1146" t="s">
        <v>44</v>
      </c>
      <c r="G1146" s="1">
        <v>22087</v>
      </c>
      <c r="H1146" s="1">
        <v>41306</v>
      </c>
      <c r="I1146" t="str">
        <f>"41"</f>
        <v>41</v>
      </c>
      <c r="J1146" t="s">
        <v>24</v>
      </c>
      <c r="K1146" t="s">
        <v>25</v>
      </c>
      <c r="L1146" t="s">
        <v>26</v>
      </c>
      <c r="M1146" t="s">
        <v>27</v>
      </c>
      <c r="N1146" s="1">
        <v>18629</v>
      </c>
      <c r="O1146">
        <v>0</v>
      </c>
      <c r="P1146">
        <v>0</v>
      </c>
      <c r="Q1146" t="s">
        <v>37</v>
      </c>
      <c r="R1146" t="s">
        <v>71</v>
      </c>
      <c r="S1146" t="s">
        <v>3419</v>
      </c>
      <c r="T1146" t="s">
        <v>3420</v>
      </c>
    </row>
    <row r="1147" spans="1:20" x14ac:dyDescent="0.25">
      <c r="A1147" t="s">
        <v>3488</v>
      </c>
      <c r="B1147" t="str">
        <f>"3456"</f>
        <v>3456</v>
      </c>
      <c r="C1147" t="str">
        <f>"277843456"</f>
        <v>277843456</v>
      </c>
      <c r="D1147" t="s">
        <v>3489</v>
      </c>
      <c r="E1147" t="s">
        <v>3490</v>
      </c>
      <c r="F1147" t="s">
        <v>93</v>
      </c>
      <c r="G1147" s="1">
        <v>25700</v>
      </c>
      <c r="H1147" s="1">
        <v>41304</v>
      </c>
      <c r="I1147" t="str">
        <f>"01"</f>
        <v>01</v>
      </c>
      <c r="J1147" t="s">
        <v>116</v>
      </c>
      <c r="K1147" t="s">
        <v>98</v>
      </c>
      <c r="L1147" t="s">
        <v>37</v>
      </c>
      <c r="M1147" t="s">
        <v>99</v>
      </c>
      <c r="N1147" s="1">
        <v>41617</v>
      </c>
      <c r="O1147">
        <v>14801.8</v>
      </c>
      <c r="P1147">
        <v>3700.32</v>
      </c>
      <c r="Q1147" t="s">
        <v>28</v>
      </c>
      <c r="R1147" t="s">
        <v>38</v>
      </c>
      <c r="S1147" t="s">
        <v>353</v>
      </c>
      <c r="T1147" t="s">
        <v>354</v>
      </c>
    </row>
    <row r="1148" spans="1:20" x14ac:dyDescent="0.25">
      <c r="A1148" t="s">
        <v>3491</v>
      </c>
      <c r="B1148" t="str">
        <f>"1157"</f>
        <v>1157</v>
      </c>
      <c r="C1148" t="str">
        <f>"276801157"</f>
        <v>276801157</v>
      </c>
      <c r="D1148" t="s">
        <v>371</v>
      </c>
      <c r="E1148" t="s">
        <v>136</v>
      </c>
      <c r="G1148" s="1">
        <v>25136</v>
      </c>
      <c r="H1148" s="1">
        <v>41303</v>
      </c>
      <c r="I1148" t="str">
        <f>"51"</f>
        <v>51</v>
      </c>
      <c r="J1148" t="s">
        <v>471</v>
      </c>
      <c r="K1148" t="s">
        <v>25</v>
      </c>
      <c r="L1148" t="s">
        <v>26</v>
      </c>
      <c r="M1148" t="s">
        <v>27</v>
      </c>
      <c r="N1148" s="1">
        <v>18629</v>
      </c>
      <c r="O1148">
        <v>0</v>
      </c>
      <c r="P1148">
        <v>0</v>
      </c>
      <c r="Q1148" t="s">
        <v>28</v>
      </c>
      <c r="R1148" t="s">
        <v>258</v>
      </c>
      <c r="S1148" t="s">
        <v>472</v>
      </c>
      <c r="T1148" t="s">
        <v>473</v>
      </c>
    </row>
    <row r="1149" spans="1:20" x14ac:dyDescent="0.25">
      <c r="A1149" t="s">
        <v>3492</v>
      </c>
      <c r="B1149" t="str">
        <f>"6556"</f>
        <v>6556</v>
      </c>
      <c r="C1149" t="str">
        <f>"105486556"</f>
        <v>105486556</v>
      </c>
      <c r="D1149" t="s">
        <v>3493</v>
      </c>
      <c r="E1149" t="s">
        <v>2256</v>
      </c>
      <c r="F1149" t="s">
        <v>37</v>
      </c>
      <c r="G1149" s="1">
        <v>20007</v>
      </c>
      <c r="H1149" s="1">
        <v>41302</v>
      </c>
      <c r="I1149" t="str">
        <f>"51"</f>
        <v>51</v>
      </c>
      <c r="J1149" t="s">
        <v>471</v>
      </c>
      <c r="K1149" t="s">
        <v>25</v>
      </c>
      <c r="L1149" t="s">
        <v>26</v>
      </c>
      <c r="M1149" t="s">
        <v>27</v>
      </c>
      <c r="N1149" s="1">
        <v>18629</v>
      </c>
      <c r="O1149">
        <v>0</v>
      </c>
      <c r="P1149">
        <v>0</v>
      </c>
      <c r="Q1149" t="s">
        <v>37</v>
      </c>
      <c r="R1149" t="s">
        <v>100</v>
      </c>
      <c r="S1149" t="s">
        <v>166</v>
      </c>
      <c r="T1149" t="s">
        <v>167</v>
      </c>
    </row>
    <row r="1150" spans="1:20" x14ac:dyDescent="0.25">
      <c r="A1150" t="s">
        <v>3494</v>
      </c>
      <c r="B1150" t="str">
        <f>"1778"</f>
        <v>1778</v>
      </c>
      <c r="C1150" t="str">
        <f>"033481778"</f>
        <v>033481778</v>
      </c>
      <c r="D1150" t="s">
        <v>2326</v>
      </c>
      <c r="E1150" t="s">
        <v>197</v>
      </c>
      <c r="F1150" t="s">
        <v>26</v>
      </c>
      <c r="G1150" s="1">
        <v>20934</v>
      </c>
      <c r="H1150" s="1">
        <v>41302</v>
      </c>
      <c r="I1150" t="str">
        <f>"51"</f>
        <v>51</v>
      </c>
      <c r="J1150" t="s">
        <v>471</v>
      </c>
      <c r="K1150" t="s">
        <v>25</v>
      </c>
      <c r="L1150" t="s">
        <v>26</v>
      </c>
      <c r="M1150" t="s">
        <v>27</v>
      </c>
      <c r="N1150" s="1">
        <v>18629</v>
      </c>
      <c r="O1150">
        <v>0</v>
      </c>
      <c r="P1150">
        <v>0</v>
      </c>
      <c r="Q1150" t="s">
        <v>28</v>
      </c>
      <c r="R1150" t="s">
        <v>100</v>
      </c>
      <c r="S1150" t="s">
        <v>130</v>
      </c>
      <c r="T1150" t="s">
        <v>131</v>
      </c>
    </row>
    <row r="1151" spans="1:20" x14ac:dyDescent="0.25">
      <c r="A1151" t="s">
        <v>3495</v>
      </c>
      <c r="B1151" t="str">
        <f>"1619"</f>
        <v>1619</v>
      </c>
      <c r="C1151" t="str">
        <f>"296681619"</f>
        <v>296681619</v>
      </c>
      <c r="D1151" t="s">
        <v>2328</v>
      </c>
      <c r="E1151" t="s">
        <v>3412</v>
      </c>
      <c r="F1151" t="s">
        <v>165</v>
      </c>
      <c r="G1151" s="1">
        <v>25878</v>
      </c>
      <c r="H1151" s="1">
        <v>41302</v>
      </c>
      <c r="I1151" t="str">
        <f>"51"</f>
        <v>51</v>
      </c>
      <c r="J1151" t="s">
        <v>471</v>
      </c>
      <c r="K1151" t="s">
        <v>25</v>
      </c>
      <c r="L1151" t="s">
        <v>26</v>
      </c>
      <c r="M1151" t="s">
        <v>27</v>
      </c>
      <c r="N1151" s="1">
        <v>18629</v>
      </c>
      <c r="O1151">
        <v>0</v>
      </c>
      <c r="P1151">
        <v>0</v>
      </c>
      <c r="Q1151" t="s">
        <v>28</v>
      </c>
      <c r="R1151" t="s">
        <v>71</v>
      </c>
      <c r="S1151" t="s">
        <v>770</v>
      </c>
      <c r="T1151" t="s">
        <v>771</v>
      </c>
    </row>
    <row r="1152" spans="1:20" x14ac:dyDescent="0.25">
      <c r="A1152" t="s">
        <v>3496</v>
      </c>
      <c r="B1152" t="str">
        <f>"2766"</f>
        <v>2766</v>
      </c>
      <c r="C1152" t="str">
        <f>"368982766"</f>
        <v>368982766</v>
      </c>
      <c r="D1152" t="s">
        <v>3497</v>
      </c>
      <c r="E1152" t="s">
        <v>35</v>
      </c>
      <c r="F1152" t="s">
        <v>556</v>
      </c>
      <c r="G1152" s="1">
        <v>29299</v>
      </c>
      <c r="H1152" s="1">
        <v>41302</v>
      </c>
      <c r="I1152" t="str">
        <f>"33"</f>
        <v>33</v>
      </c>
      <c r="J1152" t="s">
        <v>45</v>
      </c>
      <c r="K1152" t="s">
        <v>25</v>
      </c>
      <c r="L1152" t="s">
        <v>26</v>
      </c>
      <c r="M1152" t="s">
        <v>27</v>
      </c>
      <c r="N1152" s="1">
        <v>18629</v>
      </c>
      <c r="O1152">
        <v>0</v>
      </c>
      <c r="P1152">
        <v>0</v>
      </c>
      <c r="Q1152" t="s">
        <v>28</v>
      </c>
      <c r="R1152" t="s">
        <v>71</v>
      </c>
      <c r="S1152" t="s">
        <v>757</v>
      </c>
      <c r="T1152" t="s">
        <v>758</v>
      </c>
    </row>
    <row r="1153" spans="1:20" x14ac:dyDescent="0.25">
      <c r="A1153" t="s">
        <v>3498</v>
      </c>
      <c r="B1153" t="str">
        <f>"7622"</f>
        <v>7622</v>
      </c>
      <c r="C1153" t="str">
        <f>"268667622"</f>
        <v>268667622</v>
      </c>
      <c r="D1153" t="s">
        <v>2894</v>
      </c>
      <c r="E1153" t="s">
        <v>299</v>
      </c>
      <c r="F1153" t="s">
        <v>44</v>
      </c>
      <c r="G1153" s="1">
        <v>22121</v>
      </c>
      <c r="H1153" s="1">
        <v>41302</v>
      </c>
      <c r="I1153" t="str">
        <f>"33"</f>
        <v>33</v>
      </c>
      <c r="J1153" t="s">
        <v>45</v>
      </c>
      <c r="K1153" t="s">
        <v>25</v>
      </c>
      <c r="L1153" t="s">
        <v>26</v>
      </c>
      <c r="M1153" t="s">
        <v>27</v>
      </c>
      <c r="N1153" s="1">
        <v>18629</v>
      </c>
      <c r="O1153">
        <v>0</v>
      </c>
      <c r="P1153">
        <v>0</v>
      </c>
      <c r="Q1153" t="s">
        <v>37</v>
      </c>
      <c r="R1153" t="s">
        <v>71</v>
      </c>
      <c r="S1153" t="s">
        <v>757</v>
      </c>
      <c r="T1153" t="s">
        <v>758</v>
      </c>
    </row>
    <row r="1154" spans="1:20" x14ac:dyDescent="0.25">
      <c r="A1154" t="s">
        <v>3499</v>
      </c>
      <c r="B1154" t="str">
        <f>"6669"</f>
        <v>6669</v>
      </c>
      <c r="C1154" t="str">
        <f>"283766669"</f>
        <v>283766669</v>
      </c>
      <c r="D1154" t="s">
        <v>3500</v>
      </c>
      <c r="E1154" t="s">
        <v>3501</v>
      </c>
      <c r="F1154" t="s">
        <v>28</v>
      </c>
      <c r="G1154" s="1">
        <v>28589</v>
      </c>
      <c r="H1154" s="1">
        <v>41302</v>
      </c>
      <c r="I1154" t="str">
        <f>"51"</f>
        <v>51</v>
      </c>
      <c r="J1154" t="s">
        <v>471</v>
      </c>
      <c r="K1154" t="s">
        <v>25</v>
      </c>
      <c r="L1154" t="s">
        <v>26</v>
      </c>
      <c r="M1154" t="s">
        <v>27</v>
      </c>
      <c r="N1154" s="1">
        <v>18629</v>
      </c>
      <c r="O1154">
        <v>0</v>
      </c>
      <c r="P1154">
        <v>0</v>
      </c>
      <c r="Q1154" t="s">
        <v>37</v>
      </c>
      <c r="R1154" t="s">
        <v>71</v>
      </c>
      <c r="S1154" t="s">
        <v>3502</v>
      </c>
      <c r="T1154" t="s">
        <v>3503</v>
      </c>
    </row>
    <row r="1155" spans="1:20" x14ac:dyDescent="0.25">
      <c r="A1155" t="s">
        <v>3504</v>
      </c>
      <c r="B1155" t="str">
        <f>"9420"</f>
        <v>9420</v>
      </c>
      <c r="C1155" t="str">
        <f>"471139420"</f>
        <v>471139420</v>
      </c>
      <c r="D1155" t="s">
        <v>3505</v>
      </c>
      <c r="E1155" t="s">
        <v>214</v>
      </c>
      <c r="F1155" t="s">
        <v>26</v>
      </c>
      <c r="G1155" s="1">
        <v>26836</v>
      </c>
      <c r="H1155" s="1">
        <v>41302</v>
      </c>
      <c r="I1155" t="str">
        <f>"51"</f>
        <v>51</v>
      </c>
      <c r="J1155" t="s">
        <v>471</v>
      </c>
      <c r="K1155" t="s">
        <v>25</v>
      </c>
      <c r="L1155" t="s">
        <v>26</v>
      </c>
      <c r="M1155" t="s">
        <v>27</v>
      </c>
      <c r="N1155" s="1">
        <v>18629</v>
      </c>
      <c r="O1155">
        <v>0</v>
      </c>
      <c r="P1155">
        <v>0</v>
      </c>
      <c r="Q1155" t="s">
        <v>28</v>
      </c>
      <c r="R1155" t="s">
        <v>100</v>
      </c>
      <c r="S1155" t="s">
        <v>1392</v>
      </c>
      <c r="T1155" t="s">
        <v>1393</v>
      </c>
    </row>
    <row r="1156" spans="1:20" x14ac:dyDescent="0.25">
      <c r="A1156" t="s">
        <v>3506</v>
      </c>
      <c r="B1156" t="str">
        <f>"6365"</f>
        <v>6365</v>
      </c>
      <c r="C1156" t="str">
        <f>"279846365"</f>
        <v>279846365</v>
      </c>
      <c r="D1156" t="s">
        <v>3507</v>
      </c>
      <c r="E1156" t="s">
        <v>3508</v>
      </c>
      <c r="F1156" t="s">
        <v>44</v>
      </c>
      <c r="G1156" s="1">
        <v>31298</v>
      </c>
      <c r="H1156" s="1">
        <v>41302</v>
      </c>
      <c r="I1156" t="str">
        <f>"52"</f>
        <v>52</v>
      </c>
      <c r="J1156" t="s">
        <v>330</v>
      </c>
      <c r="K1156" t="s">
        <v>25</v>
      </c>
      <c r="L1156" t="s">
        <v>26</v>
      </c>
      <c r="M1156" t="s">
        <v>27</v>
      </c>
      <c r="N1156" s="1">
        <v>18629</v>
      </c>
      <c r="O1156">
        <v>0</v>
      </c>
      <c r="P1156">
        <v>0</v>
      </c>
      <c r="Q1156" t="s">
        <v>37</v>
      </c>
      <c r="R1156" t="s">
        <v>29</v>
      </c>
      <c r="S1156" t="s">
        <v>331</v>
      </c>
      <c r="T1156" t="s">
        <v>332</v>
      </c>
    </row>
    <row r="1157" spans="1:20" x14ac:dyDescent="0.25">
      <c r="A1157" t="s">
        <v>3509</v>
      </c>
      <c r="B1157" t="str">
        <f>"0073"</f>
        <v>0073</v>
      </c>
      <c r="C1157" t="str">
        <f>"272600073"</f>
        <v>272600073</v>
      </c>
      <c r="D1157" t="s">
        <v>3510</v>
      </c>
      <c r="E1157" t="s">
        <v>1081</v>
      </c>
      <c r="F1157" t="s">
        <v>93</v>
      </c>
      <c r="G1157" s="1">
        <v>25230</v>
      </c>
      <c r="H1157" s="1">
        <v>41302</v>
      </c>
      <c r="I1157" t="str">
        <f>"51"</f>
        <v>51</v>
      </c>
      <c r="J1157" t="s">
        <v>471</v>
      </c>
      <c r="K1157" t="s">
        <v>25</v>
      </c>
      <c r="L1157" t="s">
        <v>26</v>
      </c>
      <c r="M1157" t="s">
        <v>27</v>
      </c>
      <c r="N1157" s="1">
        <v>18629</v>
      </c>
      <c r="O1157">
        <v>0</v>
      </c>
      <c r="P1157">
        <v>0</v>
      </c>
      <c r="Q1157" t="s">
        <v>28</v>
      </c>
      <c r="R1157" t="s">
        <v>51</v>
      </c>
      <c r="S1157" t="s">
        <v>1462</v>
      </c>
      <c r="T1157" t="s">
        <v>1463</v>
      </c>
    </row>
    <row r="1158" spans="1:20" x14ac:dyDescent="0.25">
      <c r="A1158" t="s">
        <v>3511</v>
      </c>
      <c r="B1158" t="str">
        <f>"6507"</f>
        <v>6507</v>
      </c>
      <c r="C1158" t="str">
        <f>"229356507"</f>
        <v>229356507</v>
      </c>
      <c r="D1158" t="s">
        <v>3512</v>
      </c>
      <c r="E1158" t="s">
        <v>1711</v>
      </c>
      <c r="F1158" t="s">
        <v>165</v>
      </c>
      <c r="G1158" s="1">
        <v>31203</v>
      </c>
      <c r="H1158" s="1">
        <v>41299</v>
      </c>
      <c r="I1158" t="str">
        <f>"52"</f>
        <v>52</v>
      </c>
      <c r="J1158" t="s">
        <v>330</v>
      </c>
      <c r="K1158" t="s">
        <v>25</v>
      </c>
      <c r="L1158" t="s">
        <v>26</v>
      </c>
      <c r="M1158" t="s">
        <v>27</v>
      </c>
      <c r="N1158" s="1">
        <v>18629</v>
      </c>
      <c r="O1158">
        <v>0</v>
      </c>
      <c r="P1158">
        <v>0</v>
      </c>
      <c r="Q1158" t="s">
        <v>37</v>
      </c>
      <c r="R1158" t="s">
        <v>51</v>
      </c>
      <c r="S1158" s="2" t="s">
        <v>362</v>
      </c>
      <c r="T1158" t="s">
        <v>363</v>
      </c>
    </row>
    <row r="1159" spans="1:20" x14ac:dyDescent="0.25">
      <c r="A1159" t="s">
        <v>3513</v>
      </c>
      <c r="B1159" t="str">
        <f>"8980"</f>
        <v>8980</v>
      </c>
      <c r="C1159" t="str">
        <f>"151868980"</f>
        <v>151868980</v>
      </c>
      <c r="D1159" t="s">
        <v>3514</v>
      </c>
      <c r="E1159" t="s">
        <v>1468</v>
      </c>
      <c r="G1159" s="1">
        <v>32695</v>
      </c>
      <c r="H1159" s="1">
        <v>41299</v>
      </c>
      <c r="I1159" t="str">
        <f>"52"</f>
        <v>52</v>
      </c>
      <c r="J1159" t="s">
        <v>330</v>
      </c>
      <c r="K1159" t="s">
        <v>25</v>
      </c>
      <c r="L1159" t="s">
        <v>26</v>
      </c>
      <c r="M1159" t="s">
        <v>27</v>
      </c>
      <c r="N1159" s="1">
        <v>18629</v>
      </c>
      <c r="O1159">
        <v>0</v>
      </c>
      <c r="P1159">
        <v>0</v>
      </c>
      <c r="Q1159" t="s">
        <v>37</v>
      </c>
      <c r="R1159" t="s">
        <v>51</v>
      </c>
      <c r="S1159" s="2" t="s">
        <v>362</v>
      </c>
      <c r="T1159" t="s">
        <v>363</v>
      </c>
    </row>
    <row r="1160" spans="1:20" x14ac:dyDescent="0.25">
      <c r="A1160" t="s">
        <v>3515</v>
      </c>
      <c r="B1160" t="str">
        <f>"5711"</f>
        <v>5711</v>
      </c>
      <c r="C1160" t="str">
        <f>"269865711"</f>
        <v>269865711</v>
      </c>
      <c r="D1160" t="s">
        <v>3516</v>
      </c>
      <c r="E1160" t="s">
        <v>344</v>
      </c>
      <c r="F1160" t="s">
        <v>239</v>
      </c>
      <c r="G1160" s="1">
        <v>29531</v>
      </c>
      <c r="H1160" s="1">
        <v>41299</v>
      </c>
      <c r="I1160" t="str">
        <f>"51"</f>
        <v>51</v>
      </c>
      <c r="J1160" t="s">
        <v>471</v>
      </c>
      <c r="K1160" t="s">
        <v>25</v>
      </c>
      <c r="L1160" t="s">
        <v>26</v>
      </c>
      <c r="M1160" t="s">
        <v>27</v>
      </c>
      <c r="N1160" s="1">
        <v>18629</v>
      </c>
      <c r="O1160">
        <v>0</v>
      </c>
      <c r="P1160">
        <v>0</v>
      </c>
      <c r="Q1160" t="s">
        <v>37</v>
      </c>
      <c r="R1160" t="s">
        <v>29</v>
      </c>
      <c r="S1160" t="s">
        <v>138</v>
      </c>
      <c r="T1160" t="s">
        <v>139</v>
      </c>
    </row>
    <row r="1161" spans="1:20" x14ac:dyDescent="0.25">
      <c r="A1161" t="s">
        <v>3517</v>
      </c>
      <c r="B1161" t="str">
        <f>"7329"</f>
        <v>7329</v>
      </c>
      <c r="C1161" t="str">
        <f>"277427329"</f>
        <v>277427329</v>
      </c>
      <c r="D1161" t="s">
        <v>3518</v>
      </c>
      <c r="E1161" t="s">
        <v>256</v>
      </c>
      <c r="F1161" t="s">
        <v>44</v>
      </c>
      <c r="G1161" s="1">
        <v>16689</v>
      </c>
      <c r="H1161" s="1">
        <v>41299</v>
      </c>
      <c r="I1161" t="str">
        <f>"52"</f>
        <v>52</v>
      </c>
      <c r="J1161" t="s">
        <v>330</v>
      </c>
      <c r="K1161" t="s">
        <v>25</v>
      </c>
      <c r="L1161" t="s">
        <v>26</v>
      </c>
      <c r="M1161" t="s">
        <v>27</v>
      </c>
      <c r="N1161" s="1">
        <v>18629</v>
      </c>
      <c r="O1161">
        <v>0</v>
      </c>
      <c r="P1161">
        <v>0</v>
      </c>
      <c r="Q1161" t="s">
        <v>37</v>
      </c>
      <c r="R1161" t="s">
        <v>71</v>
      </c>
      <c r="S1161" s="2" t="s">
        <v>362</v>
      </c>
      <c r="T1161" t="s">
        <v>363</v>
      </c>
    </row>
    <row r="1162" spans="1:20" x14ac:dyDescent="0.25">
      <c r="A1162" t="s">
        <v>3519</v>
      </c>
      <c r="B1162" t="str">
        <f>"3038"</f>
        <v>3038</v>
      </c>
      <c r="C1162" t="str">
        <f>"284483038"</f>
        <v>284483038</v>
      </c>
      <c r="D1162" t="s">
        <v>3520</v>
      </c>
      <c r="E1162" t="s">
        <v>1381</v>
      </c>
      <c r="F1162" t="s">
        <v>35</v>
      </c>
      <c r="G1162" s="1">
        <v>18891</v>
      </c>
      <c r="H1162" s="1">
        <v>41299</v>
      </c>
      <c r="I1162" t="str">
        <f>"51"</f>
        <v>51</v>
      </c>
      <c r="J1162" t="s">
        <v>471</v>
      </c>
      <c r="K1162" t="s">
        <v>25</v>
      </c>
      <c r="L1162" t="s">
        <v>26</v>
      </c>
      <c r="M1162" t="s">
        <v>27</v>
      </c>
      <c r="N1162" s="1">
        <v>18629</v>
      </c>
      <c r="O1162">
        <v>0</v>
      </c>
      <c r="P1162">
        <v>0</v>
      </c>
      <c r="Q1162" t="s">
        <v>28</v>
      </c>
      <c r="R1162" t="s">
        <v>77</v>
      </c>
      <c r="S1162" s="2" t="s">
        <v>362</v>
      </c>
      <c r="T1162" t="s">
        <v>363</v>
      </c>
    </row>
    <row r="1163" spans="1:20" x14ac:dyDescent="0.25">
      <c r="A1163" t="s">
        <v>3521</v>
      </c>
      <c r="B1163" t="str">
        <f>"3553"</f>
        <v>3553</v>
      </c>
      <c r="C1163" t="str">
        <f>"284503553"</f>
        <v>284503553</v>
      </c>
      <c r="D1163" t="s">
        <v>3522</v>
      </c>
      <c r="E1163" t="s">
        <v>2385</v>
      </c>
      <c r="F1163" t="s">
        <v>28</v>
      </c>
      <c r="G1163" s="1">
        <v>20082</v>
      </c>
      <c r="H1163" s="1">
        <v>41299</v>
      </c>
      <c r="I1163" t="str">
        <f t="shared" ref="I1163:I1168" si="20">"52"</f>
        <v>52</v>
      </c>
      <c r="J1163" t="s">
        <v>330</v>
      </c>
      <c r="K1163" t="s">
        <v>25</v>
      </c>
      <c r="L1163" t="s">
        <v>26</v>
      </c>
      <c r="M1163" t="s">
        <v>27</v>
      </c>
      <c r="N1163" s="1">
        <v>18629</v>
      </c>
      <c r="O1163">
        <v>0</v>
      </c>
      <c r="P1163">
        <v>0</v>
      </c>
      <c r="Q1163" t="s">
        <v>37</v>
      </c>
      <c r="R1163" t="s">
        <v>29</v>
      </c>
      <c r="S1163" s="2" t="s">
        <v>362</v>
      </c>
      <c r="T1163" t="s">
        <v>363</v>
      </c>
    </row>
    <row r="1164" spans="1:20" x14ac:dyDescent="0.25">
      <c r="A1164" t="s">
        <v>3523</v>
      </c>
      <c r="B1164" t="str">
        <f>"3692"</f>
        <v>3692</v>
      </c>
      <c r="C1164" t="str">
        <f>"288223692"</f>
        <v>288223692</v>
      </c>
      <c r="D1164" t="s">
        <v>3524</v>
      </c>
      <c r="E1164" t="s">
        <v>2322</v>
      </c>
      <c r="F1164" t="s">
        <v>69</v>
      </c>
      <c r="G1164" s="1">
        <v>10653</v>
      </c>
      <c r="H1164" s="1">
        <v>41299</v>
      </c>
      <c r="I1164" t="str">
        <f t="shared" si="20"/>
        <v>52</v>
      </c>
      <c r="J1164" t="s">
        <v>330</v>
      </c>
      <c r="K1164" t="s">
        <v>25</v>
      </c>
      <c r="L1164" t="s">
        <v>26</v>
      </c>
      <c r="M1164" t="s">
        <v>27</v>
      </c>
      <c r="N1164" s="1">
        <v>18629</v>
      </c>
      <c r="O1164">
        <v>0</v>
      </c>
      <c r="P1164">
        <v>0</v>
      </c>
      <c r="Q1164" t="s">
        <v>28</v>
      </c>
      <c r="R1164" t="s">
        <v>51</v>
      </c>
      <c r="S1164" s="2" t="s">
        <v>362</v>
      </c>
      <c r="T1164" t="s">
        <v>363</v>
      </c>
    </row>
    <row r="1165" spans="1:20" x14ac:dyDescent="0.25">
      <c r="A1165" t="s">
        <v>3525</v>
      </c>
      <c r="B1165" t="str">
        <f>"2445"</f>
        <v>2445</v>
      </c>
      <c r="C1165" t="str">
        <f>"292542445"</f>
        <v>292542445</v>
      </c>
      <c r="D1165" t="s">
        <v>3526</v>
      </c>
      <c r="E1165" t="s">
        <v>3527</v>
      </c>
      <c r="F1165" t="s">
        <v>97</v>
      </c>
      <c r="G1165" s="1">
        <v>20149</v>
      </c>
      <c r="H1165" s="1">
        <v>41299</v>
      </c>
      <c r="I1165" t="str">
        <f t="shared" si="20"/>
        <v>52</v>
      </c>
      <c r="J1165" t="s">
        <v>330</v>
      </c>
      <c r="K1165" t="s">
        <v>25</v>
      </c>
      <c r="L1165" t="s">
        <v>26</v>
      </c>
      <c r="M1165" t="s">
        <v>27</v>
      </c>
      <c r="N1165" s="1">
        <v>18629</v>
      </c>
      <c r="O1165">
        <v>0</v>
      </c>
      <c r="P1165">
        <v>0</v>
      </c>
      <c r="Q1165" t="s">
        <v>37</v>
      </c>
      <c r="R1165" t="s">
        <v>51</v>
      </c>
      <c r="S1165" s="2" t="s">
        <v>362</v>
      </c>
      <c r="T1165" t="s">
        <v>363</v>
      </c>
    </row>
    <row r="1166" spans="1:20" x14ac:dyDescent="0.25">
      <c r="A1166" t="s">
        <v>3528</v>
      </c>
      <c r="B1166" t="str">
        <f>"3162"</f>
        <v>3162</v>
      </c>
      <c r="C1166" t="str">
        <f>"102563162"</f>
        <v>102563162</v>
      </c>
      <c r="D1166" t="s">
        <v>3529</v>
      </c>
      <c r="E1166" t="s">
        <v>463</v>
      </c>
      <c r="F1166" t="s">
        <v>69</v>
      </c>
      <c r="G1166" s="1">
        <v>22544</v>
      </c>
      <c r="H1166" s="1">
        <v>41299</v>
      </c>
      <c r="I1166" t="str">
        <f t="shared" si="20"/>
        <v>52</v>
      </c>
      <c r="J1166" t="s">
        <v>330</v>
      </c>
      <c r="K1166" t="s">
        <v>25</v>
      </c>
      <c r="L1166" t="s">
        <v>26</v>
      </c>
      <c r="M1166" t="s">
        <v>27</v>
      </c>
      <c r="N1166" s="1">
        <v>18629</v>
      </c>
      <c r="O1166">
        <v>0</v>
      </c>
      <c r="P1166">
        <v>0</v>
      </c>
      <c r="Q1166" t="s">
        <v>28</v>
      </c>
      <c r="R1166" t="s">
        <v>71</v>
      </c>
      <c r="S1166" s="2" t="s">
        <v>362</v>
      </c>
      <c r="T1166" t="s">
        <v>363</v>
      </c>
    </row>
    <row r="1167" spans="1:20" x14ac:dyDescent="0.25">
      <c r="A1167" t="s">
        <v>3530</v>
      </c>
      <c r="B1167" t="str">
        <f>"5941"</f>
        <v>5941</v>
      </c>
      <c r="C1167" t="str">
        <f>"279665941"</f>
        <v>279665941</v>
      </c>
      <c r="D1167" t="s">
        <v>3531</v>
      </c>
      <c r="E1167" t="s">
        <v>1074</v>
      </c>
      <c r="F1167" t="s">
        <v>345</v>
      </c>
      <c r="G1167" s="1">
        <v>22066</v>
      </c>
      <c r="H1167" s="1">
        <v>41299</v>
      </c>
      <c r="I1167" t="str">
        <f t="shared" si="20"/>
        <v>52</v>
      </c>
      <c r="J1167" t="s">
        <v>330</v>
      </c>
      <c r="K1167" t="s">
        <v>25</v>
      </c>
      <c r="L1167" t="s">
        <v>26</v>
      </c>
      <c r="M1167" t="s">
        <v>27</v>
      </c>
      <c r="N1167" s="1">
        <v>18629</v>
      </c>
      <c r="O1167">
        <v>0</v>
      </c>
      <c r="P1167">
        <v>0</v>
      </c>
      <c r="Q1167" t="s">
        <v>37</v>
      </c>
      <c r="R1167" t="s">
        <v>51</v>
      </c>
      <c r="S1167" s="2" t="s">
        <v>362</v>
      </c>
      <c r="T1167" t="s">
        <v>363</v>
      </c>
    </row>
    <row r="1168" spans="1:20" x14ac:dyDescent="0.25">
      <c r="A1168" t="s">
        <v>3532</v>
      </c>
      <c r="B1168" t="str">
        <f>"4632"</f>
        <v>4632</v>
      </c>
      <c r="C1168" t="str">
        <f>"272424632"</f>
        <v>272424632</v>
      </c>
      <c r="D1168" t="s">
        <v>3533</v>
      </c>
      <c r="E1168" t="s">
        <v>3534</v>
      </c>
      <c r="F1168" t="s">
        <v>97</v>
      </c>
      <c r="G1168" s="1">
        <v>17192</v>
      </c>
      <c r="H1168" s="1">
        <v>41299</v>
      </c>
      <c r="I1168" t="str">
        <f t="shared" si="20"/>
        <v>52</v>
      </c>
      <c r="J1168" t="s">
        <v>330</v>
      </c>
      <c r="K1168" t="s">
        <v>25</v>
      </c>
      <c r="L1168" t="s">
        <v>26</v>
      </c>
      <c r="M1168" t="s">
        <v>27</v>
      </c>
      <c r="N1168" s="1">
        <v>18629</v>
      </c>
      <c r="O1168">
        <v>0</v>
      </c>
      <c r="P1168">
        <v>0</v>
      </c>
      <c r="Q1168" t="s">
        <v>37</v>
      </c>
      <c r="R1168" t="s">
        <v>51</v>
      </c>
      <c r="S1168" s="2" t="s">
        <v>362</v>
      </c>
      <c r="T1168" t="s">
        <v>363</v>
      </c>
    </row>
    <row r="1169" spans="1:20" x14ac:dyDescent="0.25">
      <c r="A1169" t="s">
        <v>3535</v>
      </c>
      <c r="B1169" t="str">
        <f>"9250"</f>
        <v>9250</v>
      </c>
      <c r="C1169" t="str">
        <f>"601249250"</f>
        <v>601249250</v>
      </c>
      <c r="D1169" t="s">
        <v>3536</v>
      </c>
      <c r="E1169" t="s">
        <v>3537</v>
      </c>
      <c r="F1169" t="s">
        <v>97</v>
      </c>
      <c r="G1169" s="1">
        <v>31430</v>
      </c>
      <c r="H1169" s="1">
        <v>41298</v>
      </c>
      <c r="I1169" t="str">
        <f>"51"</f>
        <v>51</v>
      </c>
      <c r="J1169" t="s">
        <v>471</v>
      </c>
      <c r="K1169" t="s">
        <v>25</v>
      </c>
      <c r="L1169" t="s">
        <v>26</v>
      </c>
      <c r="M1169" t="s">
        <v>27</v>
      </c>
      <c r="N1169" s="1">
        <v>18629</v>
      </c>
      <c r="O1169">
        <v>0</v>
      </c>
      <c r="P1169">
        <v>0</v>
      </c>
      <c r="Q1169" t="s">
        <v>28</v>
      </c>
      <c r="R1169" t="s">
        <v>29</v>
      </c>
      <c r="S1169" t="s">
        <v>717</v>
      </c>
      <c r="T1169" t="s">
        <v>718</v>
      </c>
    </row>
    <row r="1170" spans="1:20" x14ac:dyDescent="0.25">
      <c r="A1170" t="s">
        <v>3538</v>
      </c>
      <c r="B1170" t="str">
        <f>"7401"</f>
        <v>7401</v>
      </c>
      <c r="C1170" t="str">
        <f>"270507401"</f>
        <v>270507401</v>
      </c>
      <c r="D1170" t="s">
        <v>3539</v>
      </c>
      <c r="E1170" t="s">
        <v>35</v>
      </c>
      <c r="F1170" t="s">
        <v>93</v>
      </c>
      <c r="G1170" s="1">
        <v>18664</v>
      </c>
      <c r="H1170" s="1">
        <v>41297</v>
      </c>
      <c r="I1170" t="str">
        <f>"52"</f>
        <v>52</v>
      </c>
      <c r="J1170" t="s">
        <v>330</v>
      </c>
      <c r="K1170" t="s">
        <v>25</v>
      </c>
      <c r="L1170" t="s">
        <v>26</v>
      </c>
      <c r="M1170" t="s">
        <v>27</v>
      </c>
      <c r="N1170" s="1">
        <v>18629</v>
      </c>
      <c r="O1170">
        <v>0</v>
      </c>
      <c r="P1170">
        <v>0</v>
      </c>
      <c r="Q1170" t="s">
        <v>28</v>
      </c>
      <c r="R1170" t="s">
        <v>258</v>
      </c>
      <c r="S1170" t="s">
        <v>615</v>
      </c>
      <c r="T1170" t="s">
        <v>616</v>
      </c>
    </row>
    <row r="1171" spans="1:20" x14ac:dyDescent="0.25">
      <c r="A1171" t="s">
        <v>3540</v>
      </c>
      <c r="B1171" t="str">
        <f>"4362"</f>
        <v>4362</v>
      </c>
      <c r="C1171" t="str">
        <f>"271944362"</f>
        <v>271944362</v>
      </c>
      <c r="D1171" t="s">
        <v>3541</v>
      </c>
      <c r="E1171" t="s">
        <v>3542</v>
      </c>
      <c r="G1171" s="1">
        <v>24072</v>
      </c>
      <c r="H1171" s="1">
        <v>41297</v>
      </c>
      <c r="I1171" t="str">
        <f>"51"</f>
        <v>51</v>
      </c>
      <c r="J1171" t="s">
        <v>471</v>
      </c>
      <c r="K1171" t="s">
        <v>25</v>
      </c>
      <c r="L1171" t="s">
        <v>26</v>
      </c>
      <c r="M1171" t="s">
        <v>27</v>
      </c>
      <c r="N1171" s="1">
        <v>18629</v>
      </c>
      <c r="O1171">
        <v>0</v>
      </c>
      <c r="P1171">
        <v>0</v>
      </c>
      <c r="Q1171" t="s">
        <v>28</v>
      </c>
      <c r="R1171" t="s">
        <v>29</v>
      </c>
      <c r="S1171" t="s">
        <v>3543</v>
      </c>
      <c r="T1171" t="s">
        <v>3544</v>
      </c>
    </row>
    <row r="1172" spans="1:20" x14ac:dyDescent="0.25">
      <c r="A1172" t="s">
        <v>3545</v>
      </c>
      <c r="B1172" t="str">
        <f>"9019"</f>
        <v>9019</v>
      </c>
      <c r="C1172" t="str">
        <f>"300729019"</f>
        <v>300729019</v>
      </c>
      <c r="D1172" t="s">
        <v>334</v>
      </c>
      <c r="E1172" t="s">
        <v>3372</v>
      </c>
      <c r="F1172" t="s">
        <v>93</v>
      </c>
      <c r="G1172" s="1">
        <v>27480</v>
      </c>
      <c r="H1172" s="1">
        <v>41297</v>
      </c>
      <c r="I1172" t="str">
        <f>"51"</f>
        <v>51</v>
      </c>
      <c r="J1172" t="s">
        <v>471</v>
      </c>
      <c r="K1172" t="s">
        <v>25</v>
      </c>
      <c r="L1172" t="s">
        <v>26</v>
      </c>
      <c r="M1172" t="s">
        <v>27</v>
      </c>
      <c r="N1172" s="1">
        <v>18629</v>
      </c>
      <c r="O1172">
        <v>0</v>
      </c>
      <c r="P1172">
        <v>0</v>
      </c>
      <c r="Q1172" t="s">
        <v>37</v>
      </c>
      <c r="R1172" t="s">
        <v>29</v>
      </c>
      <c r="S1172" t="s">
        <v>138</v>
      </c>
      <c r="T1172" t="s">
        <v>139</v>
      </c>
    </row>
    <row r="1173" spans="1:20" x14ac:dyDescent="0.25">
      <c r="A1173" t="s">
        <v>3546</v>
      </c>
      <c r="B1173" t="str">
        <f>"1913"</f>
        <v>1913</v>
      </c>
      <c r="C1173" t="str">
        <f>"295621913"</f>
        <v>295621913</v>
      </c>
      <c r="D1173" t="s">
        <v>3547</v>
      </c>
      <c r="E1173" t="s">
        <v>1233</v>
      </c>
      <c r="G1173" s="1">
        <v>24076</v>
      </c>
      <c r="H1173" s="1">
        <v>41296</v>
      </c>
      <c r="I1173" t="str">
        <f>"52"</f>
        <v>52</v>
      </c>
      <c r="J1173" t="s">
        <v>330</v>
      </c>
      <c r="K1173" t="s">
        <v>25</v>
      </c>
      <c r="L1173" t="s">
        <v>26</v>
      </c>
      <c r="M1173" t="s">
        <v>27</v>
      </c>
      <c r="N1173" s="1">
        <v>18629</v>
      </c>
      <c r="O1173">
        <v>0</v>
      </c>
      <c r="P1173">
        <v>0</v>
      </c>
      <c r="Q1173" t="s">
        <v>28</v>
      </c>
      <c r="R1173" t="s">
        <v>51</v>
      </c>
      <c r="S1173" s="2" t="s">
        <v>3548</v>
      </c>
      <c r="T1173" t="s">
        <v>3549</v>
      </c>
    </row>
    <row r="1174" spans="1:20" x14ac:dyDescent="0.25">
      <c r="A1174" t="s">
        <v>3550</v>
      </c>
      <c r="B1174" t="str">
        <f>"7590"</f>
        <v>7590</v>
      </c>
      <c r="C1174" t="str">
        <f>"295907590"</f>
        <v>295907590</v>
      </c>
      <c r="D1174" t="s">
        <v>3551</v>
      </c>
      <c r="E1174" t="s">
        <v>1353</v>
      </c>
      <c r="F1174" t="s">
        <v>28</v>
      </c>
      <c r="G1174" s="1">
        <v>30951</v>
      </c>
      <c r="H1174" s="1">
        <v>41296</v>
      </c>
      <c r="I1174" t="str">
        <f>"05"</f>
        <v>05</v>
      </c>
      <c r="J1174" t="s">
        <v>58</v>
      </c>
      <c r="K1174" t="s">
        <v>98</v>
      </c>
      <c r="L1174" t="s">
        <v>37</v>
      </c>
      <c r="M1174" t="s">
        <v>99</v>
      </c>
      <c r="N1174" s="1">
        <v>41757</v>
      </c>
      <c r="O1174">
        <v>14801.8</v>
      </c>
      <c r="P1174">
        <v>3700.32</v>
      </c>
      <c r="Q1174" t="s">
        <v>37</v>
      </c>
      <c r="R1174" t="s">
        <v>71</v>
      </c>
      <c r="S1174" t="s">
        <v>1774</v>
      </c>
      <c r="T1174" t="s">
        <v>1775</v>
      </c>
    </row>
    <row r="1175" spans="1:20" x14ac:dyDescent="0.25">
      <c r="A1175" t="s">
        <v>3552</v>
      </c>
      <c r="B1175" t="str">
        <f>"0101"</f>
        <v>0101</v>
      </c>
      <c r="C1175" t="str">
        <f>"287880101"</f>
        <v>287880101</v>
      </c>
      <c r="D1175" t="s">
        <v>3553</v>
      </c>
      <c r="E1175" t="s">
        <v>2060</v>
      </c>
      <c r="F1175" t="s">
        <v>28</v>
      </c>
      <c r="G1175" s="1">
        <v>28186</v>
      </c>
      <c r="H1175" s="1">
        <v>41295</v>
      </c>
      <c r="I1175" t="str">
        <f>"03"</f>
        <v>03</v>
      </c>
      <c r="J1175" t="s">
        <v>70</v>
      </c>
      <c r="K1175" t="s">
        <v>98</v>
      </c>
      <c r="L1175" t="s">
        <v>37</v>
      </c>
      <c r="M1175" t="s">
        <v>117</v>
      </c>
      <c r="N1175" s="1">
        <v>41617</v>
      </c>
      <c r="O1175">
        <v>4951.96</v>
      </c>
      <c r="P1175">
        <v>1237.8599999999999</v>
      </c>
      <c r="Q1175" t="s">
        <v>28</v>
      </c>
      <c r="R1175" t="s">
        <v>110</v>
      </c>
      <c r="S1175" t="s">
        <v>557</v>
      </c>
      <c r="T1175" t="s">
        <v>558</v>
      </c>
    </row>
    <row r="1176" spans="1:20" x14ac:dyDescent="0.25">
      <c r="A1176" t="s">
        <v>3554</v>
      </c>
      <c r="B1176" t="str">
        <f>"5593"</f>
        <v>5593</v>
      </c>
      <c r="C1176" t="str">
        <f>"170345593"</f>
        <v>170345593</v>
      </c>
      <c r="D1176" t="s">
        <v>3555</v>
      </c>
      <c r="E1176" t="s">
        <v>1067</v>
      </c>
      <c r="F1176" t="s">
        <v>264</v>
      </c>
      <c r="G1176" s="1">
        <v>16016</v>
      </c>
      <c r="H1176" s="1">
        <v>41295</v>
      </c>
      <c r="I1176" t="str">
        <f>"41"</f>
        <v>41</v>
      </c>
      <c r="J1176" t="s">
        <v>24</v>
      </c>
      <c r="K1176" t="s">
        <v>25</v>
      </c>
      <c r="L1176" t="s">
        <v>26</v>
      </c>
      <c r="M1176" t="s">
        <v>27</v>
      </c>
      <c r="N1176" s="1">
        <v>18629</v>
      </c>
      <c r="O1176">
        <v>0</v>
      </c>
      <c r="P1176">
        <v>0</v>
      </c>
      <c r="Q1176" t="s">
        <v>28</v>
      </c>
      <c r="R1176" t="s">
        <v>258</v>
      </c>
      <c r="S1176" t="s">
        <v>533</v>
      </c>
      <c r="T1176" t="s">
        <v>534</v>
      </c>
    </row>
    <row r="1177" spans="1:20" x14ac:dyDescent="0.25">
      <c r="A1177" t="s">
        <v>3556</v>
      </c>
      <c r="B1177" t="str">
        <f>"7896"</f>
        <v>7896</v>
      </c>
      <c r="C1177" t="str">
        <f>"281307896"</f>
        <v>281307896</v>
      </c>
      <c r="D1177" t="s">
        <v>3557</v>
      </c>
      <c r="E1177" t="s">
        <v>3558</v>
      </c>
      <c r="F1177" t="s">
        <v>282</v>
      </c>
      <c r="G1177" s="1">
        <v>13363</v>
      </c>
      <c r="H1177" s="1">
        <v>41295</v>
      </c>
      <c r="I1177" t="str">
        <f>"41"</f>
        <v>41</v>
      </c>
      <c r="J1177" t="s">
        <v>24</v>
      </c>
      <c r="K1177" t="s">
        <v>25</v>
      </c>
      <c r="L1177" t="s">
        <v>26</v>
      </c>
      <c r="M1177" t="s">
        <v>27</v>
      </c>
      <c r="N1177" s="1">
        <v>18629</v>
      </c>
      <c r="O1177">
        <v>0</v>
      </c>
      <c r="P1177">
        <v>0</v>
      </c>
      <c r="Q1177" t="s">
        <v>28</v>
      </c>
      <c r="R1177" t="s">
        <v>258</v>
      </c>
      <c r="S1177" t="s">
        <v>533</v>
      </c>
      <c r="T1177" t="s">
        <v>534</v>
      </c>
    </row>
    <row r="1178" spans="1:20" x14ac:dyDescent="0.25">
      <c r="A1178" t="s">
        <v>3559</v>
      </c>
      <c r="B1178" t="str">
        <f>"4280"</f>
        <v>4280</v>
      </c>
      <c r="C1178" t="str">
        <f>"301704280"</f>
        <v>301704280</v>
      </c>
      <c r="D1178" t="s">
        <v>3560</v>
      </c>
      <c r="E1178" t="s">
        <v>3561</v>
      </c>
      <c r="F1178" t="s">
        <v>28</v>
      </c>
      <c r="G1178" s="1">
        <v>26743</v>
      </c>
      <c r="H1178" s="1">
        <v>41295</v>
      </c>
      <c r="I1178" t="str">
        <f>"12"</f>
        <v>12</v>
      </c>
      <c r="J1178" t="s">
        <v>245</v>
      </c>
      <c r="K1178" t="s">
        <v>98</v>
      </c>
      <c r="L1178" t="s">
        <v>37</v>
      </c>
      <c r="M1178" t="s">
        <v>117</v>
      </c>
      <c r="N1178" s="1">
        <v>41673</v>
      </c>
      <c r="O1178">
        <v>4951.96</v>
      </c>
      <c r="P1178">
        <v>1237.8599999999999</v>
      </c>
      <c r="Q1178" t="s">
        <v>37</v>
      </c>
      <c r="R1178" t="s">
        <v>258</v>
      </c>
      <c r="S1178" t="s">
        <v>605</v>
      </c>
      <c r="T1178" t="s">
        <v>606</v>
      </c>
    </row>
    <row r="1179" spans="1:20" x14ac:dyDescent="0.25">
      <c r="A1179" t="s">
        <v>3562</v>
      </c>
      <c r="B1179" t="str">
        <f>"8679"</f>
        <v>8679</v>
      </c>
      <c r="C1179" t="str">
        <f>"281688679"</f>
        <v>281688679</v>
      </c>
      <c r="D1179" t="s">
        <v>3563</v>
      </c>
      <c r="E1179" t="s">
        <v>122</v>
      </c>
      <c r="F1179" t="s">
        <v>556</v>
      </c>
      <c r="G1179" s="1">
        <v>23106</v>
      </c>
      <c r="H1179" s="1">
        <v>41295</v>
      </c>
      <c r="I1179" t="str">
        <f>"41"</f>
        <v>41</v>
      </c>
      <c r="J1179" t="s">
        <v>24</v>
      </c>
      <c r="K1179" t="s">
        <v>25</v>
      </c>
      <c r="L1179" t="s">
        <v>26</v>
      </c>
      <c r="M1179" t="s">
        <v>27</v>
      </c>
      <c r="N1179" s="1">
        <v>18629</v>
      </c>
      <c r="O1179">
        <v>0</v>
      </c>
      <c r="P1179">
        <v>0</v>
      </c>
      <c r="Q1179" t="s">
        <v>28</v>
      </c>
      <c r="R1179" t="s">
        <v>258</v>
      </c>
      <c r="S1179" t="s">
        <v>533</v>
      </c>
      <c r="T1179" t="s">
        <v>534</v>
      </c>
    </row>
    <row r="1180" spans="1:20" x14ac:dyDescent="0.25">
      <c r="A1180" t="s">
        <v>3564</v>
      </c>
      <c r="B1180" t="str">
        <f>"1789"</f>
        <v>1789</v>
      </c>
      <c r="C1180" t="str">
        <f>"299461789"</f>
        <v>299461789</v>
      </c>
      <c r="D1180" t="s">
        <v>3565</v>
      </c>
      <c r="E1180" t="s">
        <v>214</v>
      </c>
      <c r="F1180" t="s">
        <v>97</v>
      </c>
      <c r="G1180" s="1">
        <v>18094</v>
      </c>
      <c r="H1180" s="1">
        <v>41295</v>
      </c>
      <c r="I1180" t="str">
        <f>"41"</f>
        <v>41</v>
      </c>
      <c r="J1180" t="s">
        <v>24</v>
      </c>
      <c r="K1180" t="s">
        <v>25</v>
      </c>
      <c r="L1180" t="s">
        <v>26</v>
      </c>
      <c r="M1180" t="s">
        <v>27</v>
      </c>
      <c r="N1180" s="1">
        <v>18629</v>
      </c>
      <c r="O1180">
        <v>0</v>
      </c>
      <c r="P1180">
        <v>0</v>
      </c>
      <c r="Q1180" t="s">
        <v>28</v>
      </c>
      <c r="R1180" t="s">
        <v>258</v>
      </c>
      <c r="S1180" t="s">
        <v>3566</v>
      </c>
      <c r="T1180" t="s">
        <v>3567</v>
      </c>
    </row>
    <row r="1181" spans="1:20" x14ac:dyDescent="0.25">
      <c r="A1181" t="s">
        <v>3568</v>
      </c>
      <c r="B1181" t="str">
        <f>"5801"</f>
        <v>5801</v>
      </c>
      <c r="C1181" t="str">
        <f>"287745801"</f>
        <v>287745801</v>
      </c>
      <c r="D1181" t="s">
        <v>3569</v>
      </c>
      <c r="E1181" t="s">
        <v>3570</v>
      </c>
      <c r="F1181" t="s">
        <v>28</v>
      </c>
      <c r="G1181" s="1">
        <v>28762</v>
      </c>
      <c r="H1181" s="1">
        <v>41295</v>
      </c>
      <c r="I1181" t="str">
        <f>"52"</f>
        <v>52</v>
      </c>
      <c r="J1181" t="s">
        <v>330</v>
      </c>
      <c r="K1181" t="s">
        <v>25</v>
      </c>
      <c r="L1181" t="s">
        <v>26</v>
      </c>
      <c r="M1181" t="s">
        <v>27</v>
      </c>
      <c r="N1181" s="1">
        <v>18629</v>
      </c>
      <c r="O1181">
        <v>0</v>
      </c>
      <c r="P1181">
        <v>0</v>
      </c>
      <c r="Q1181" t="s">
        <v>37</v>
      </c>
      <c r="R1181" t="s">
        <v>29</v>
      </c>
      <c r="S1181" t="s">
        <v>331</v>
      </c>
      <c r="T1181" t="s">
        <v>332</v>
      </c>
    </row>
    <row r="1182" spans="1:20" x14ac:dyDescent="0.25">
      <c r="A1182" t="s">
        <v>3571</v>
      </c>
      <c r="B1182" t="str">
        <f>"4791"</f>
        <v>4791</v>
      </c>
      <c r="C1182" t="str">
        <f>"196444791"</f>
        <v>196444791</v>
      </c>
      <c r="D1182" t="s">
        <v>2183</v>
      </c>
      <c r="E1182" t="s">
        <v>179</v>
      </c>
      <c r="F1182" t="s">
        <v>97</v>
      </c>
      <c r="G1182" s="1">
        <v>24530</v>
      </c>
      <c r="H1182" s="1">
        <v>41295</v>
      </c>
      <c r="I1182" t="str">
        <f>"41"</f>
        <v>41</v>
      </c>
      <c r="J1182" t="s">
        <v>24</v>
      </c>
      <c r="K1182" t="s">
        <v>25</v>
      </c>
      <c r="L1182" t="s">
        <v>26</v>
      </c>
      <c r="M1182" t="s">
        <v>27</v>
      </c>
      <c r="N1182" s="1">
        <v>18629</v>
      </c>
      <c r="O1182">
        <v>0</v>
      </c>
      <c r="P1182">
        <v>0</v>
      </c>
      <c r="Q1182" t="s">
        <v>28</v>
      </c>
      <c r="R1182" t="s">
        <v>258</v>
      </c>
      <c r="S1182" t="s">
        <v>533</v>
      </c>
      <c r="T1182" t="s">
        <v>534</v>
      </c>
    </row>
    <row r="1183" spans="1:20" x14ac:dyDescent="0.25">
      <c r="A1183" t="s">
        <v>3572</v>
      </c>
      <c r="B1183" t="str">
        <f>"4007"</f>
        <v>4007</v>
      </c>
      <c r="C1183" t="str">
        <f>"280584007"</f>
        <v>280584007</v>
      </c>
      <c r="D1183" t="s">
        <v>3573</v>
      </c>
      <c r="E1183" t="s">
        <v>430</v>
      </c>
      <c r="F1183" t="s">
        <v>190</v>
      </c>
      <c r="G1183" s="1">
        <v>22600</v>
      </c>
      <c r="H1183" s="1">
        <v>41295</v>
      </c>
      <c r="I1183" t="str">
        <f>"41"</f>
        <v>41</v>
      </c>
      <c r="J1183" t="s">
        <v>24</v>
      </c>
      <c r="K1183" t="s">
        <v>25</v>
      </c>
      <c r="L1183" t="s">
        <v>26</v>
      </c>
      <c r="M1183" t="s">
        <v>27</v>
      </c>
      <c r="N1183" s="1">
        <v>18629</v>
      </c>
      <c r="O1183">
        <v>0</v>
      </c>
      <c r="P1183">
        <v>0</v>
      </c>
      <c r="Q1183" t="s">
        <v>28</v>
      </c>
      <c r="R1183" t="s">
        <v>258</v>
      </c>
      <c r="S1183" t="s">
        <v>533</v>
      </c>
      <c r="T1183" t="s">
        <v>534</v>
      </c>
    </row>
    <row r="1184" spans="1:20" x14ac:dyDescent="0.25">
      <c r="A1184" t="s">
        <v>3574</v>
      </c>
      <c r="B1184" t="str">
        <f>"8904"</f>
        <v>8904</v>
      </c>
      <c r="C1184" t="str">
        <f>"302448904"</f>
        <v>302448904</v>
      </c>
      <c r="D1184" t="s">
        <v>3575</v>
      </c>
      <c r="E1184" t="s">
        <v>33</v>
      </c>
      <c r="F1184" t="s">
        <v>97</v>
      </c>
      <c r="G1184" s="1">
        <v>19972</v>
      </c>
      <c r="H1184" s="1">
        <v>41295</v>
      </c>
      <c r="I1184" t="str">
        <f>"41"</f>
        <v>41</v>
      </c>
      <c r="J1184" t="s">
        <v>24</v>
      </c>
      <c r="K1184" t="s">
        <v>25</v>
      </c>
      <c r="L1184" t="s">
        <v>26</v>
      </c>
      <c r="M1184" t="s">
        <v>27</v>
      </c>
      <c r="N1184" s="1">
        <v>18629</v>
      </c>
      <c r="O1184">
        <v>0</v>
      </c>
      <c r="P1184">
        <v>0</v>
      </c>
      <c r="Q1184" t="s">
        <v>28</v>
      </c>
      <c r="R1184" t="s">
        <v>258</v>
      </c>
      <c r="S1184" t="s">
        <v>3566</v>
      </c>
      <c r="T1184" t="s">
        <v>3567</v>
      </c>
    </row>
    <row r="1185" spans="1:20" x14ac:dyDescent="0.25">
      <c r="A1185" t="s">
        <v>3576</v>
      </c>
      <c r="B1185" t="str">
        <f>"4918"</f>
        <v>4918</v>
      </c>
      <c r="C1185" t="str">
        <f>"284504918"</f>
        <v>284504918</v>
      </c>
      <c r="D1185" t="s">
        <v>3577</v>
      </c>
      <c r="E1185" t="s">
        <v>2385</v>
      </c>
      <c r="G1185" s="1">
        <v>18875</v>
      </c>
      <c r="H1185" s="1">
        <v>41295</v>
      </c>
      <c r="I1185" t="str">
        <f>"33"</f>
        <v>33</v>
      </c>
      <c r="J1185" t="s">
        <v>45</v>
      </c>
      <c r="K1185" t="s">
        <v>25</v>
      </c>
      <c r="L1185" t="s">
        <v>26</v>
      </c>
      <c r="M1185" t="s">
        <v>27</v>
      </c>
      <c r="N1185" s="1">
        <v>18629</v>
      </c>
      <c r="O1185">
        <v>0</v>
      </c>
      <c r="P1185">
        <v>0</v>
      </c>
      <c r="Q1185" t="s">
        <v>37</v>
      </c>
      <c r="R1185" t="s">
        <v>51</v>
      </c>
      <c r="S1185" t="s">
        <v>795</v>
      </c>
      <c r="T1185" t="s">
        <v>796</v>
      </c>
    </row>
    <row r="1186" spans="1:20" x14ac:dyDescent="0.25">
      <c r="A1186" t="s">
        <v>3578</v>
      </c>
      <c r="B1186" t="str">
        <f>"6516"</f>
        <v>6516</v>
      </c>
      <c r="C1186" t="str">
        <f>"297246516"</f>
        <v>297246516</v>
      </c>
      <c r="D1186" t="s">
        <v>2087</v>
      </c>
      <c r="E1186" t="s">
        <v>1067</v>
      </c>
      <c r="F1186" t="s">
        <v>556</v>
      </c>
      <c r="G1186" s="1">
        <v>11436</v>
      </c>
      <c r="H1186" s="1">
        <v>41295</v>
      </c>
      <c r="I1186" t="str">
        <f>"41"</f>
        <v>41</v>
      </c>
      <c r="J1186" t="s">
        <v>24</v>
      </c>
      <c r="K1186" t="s">
        <v>25</v>
      </c>
      <c r="L1186" t="s">
        <v>26</v>
      </c>
      <c r="M1186" t="s">
        <v>27</v>
      </c>
      <c r="N1186" s="1">
        <v>18629</v>
      </c>
      <c r="O1186">
        <v>0</v>
      </c>
      <c r="P1186">
        <v>0</v>
      </c>
      <c r="Q1186" t="s">
        <v>28</v>
      </c>
      <c r="R1186" t="s">
        <v>258</v>
      </c>
      <c r="S1186" t="s">
        <v>533</v>
      </c>
      <c r="T1186" t="s">
        <v>534</v>
      </c>
    </row>
    <row r="1187" spans="1:20" x14ac:dyDescent="0.25">
      <c r="A1187" t="s">
        <v>3579</v>
      </c>
      <c r="B1187" t="str">
        <f>"2628"</f>
        <v>2628</v>
      </c>
      <c r="C1187" t="str">
        <f>"293882628"</f>
        <v>293882628</v>
      </c>
      <c r="D1187" t="s">
        <v>310</v>
      </c>
      <c r="E1187" t="s">
        <v>3580</v>
      </c>
      <c r="F1187" t="s">
        <v>93</v>
      </c>
      <c r="G1187" s="1">
        <v>30354</v>
      </c>
      <c r="H1187" s="1">
        <v>41295</v>
      </c>
      <c r="I1187" t="str">
        <f>"12"</f>
        <v>12</v>
      </c>
      <c r="J1187" t="s">
        <v>245</v>
      </c>
      <c r="K1187" t="s">
        <v>175</v>
      </c>
      <c r="L1187" t="s">
        <v>37</v>
      </c>
      <c r="M1187" t="s">
        <v>117</v>
      </c>
      <c r="N1187" s="1">
        <v>41617</v>
      </c>
      <c r="O1187">
        <v>5288.66</v>
      </c>
      <c r="P1187">
        <v>1322.1</v>
      </c>
      <c r="Q1187" t="s">
        <v>37</v>
      </c>
      <c r="R1187" t="s">
        <v>29</v>
      </c>
      <c r="S1187" t="s">
        <v>283</v>
      </c>
      <c r="T1187" t="s">
        <v>284</v>
      </c>
    </row>
    <row r="1188" spans="1:20" x14ac:dyDescent="0.25">
      <c r="A1188" t="s">
        <v>3581</v>
      </c>
      <c r="B1188" t="str">
        <f>"5444"</f>
        <v>5444</v>
      </c>
      <c r="C1188" t="str">
        <f>"069605444"</f>
        <v>069605444</v>
      </c>
      <c r="D1188" t="s">
        <v>3582</v>
      </c>
      <c r="E1188" t="s">
        <v>335</v>
      </c>
      <c r="F1188" t="s">
        <v>97</v>
      </c>
      <c r="G1188" s="1">
        <v>24213</v>
      </c>
      <c r="H1188" s="1">
        <v>41292</v>
      </c>
      <c r="I1188" t="str">
        <f>"53"</f>
        <v>53</v>
      </c>
      <c r="J1188" t="s">
        <v>917</v>
      </c>
      <c r="K1188" t="s">
        <v>25</v>
      </c>
      <c r="L1188" t="s">
        <v>26</v>
      </c>
      <c r="M1188" t="s">
        <v>27</v>
      </c>
      <c r="N1188" s="1">
        <v>18629</v>
      </c>
      <c r="O1188">
        <v>0</v>
      </c>
      <c r="P1188">
        <v>0</v>
      </c>
      <c r="Q1188" t="s">
        <v>28</v>
      </c>
      <c r="R1188" t="s">
        <v>312</v>
      </c>
      <c r="S1188" t="s">
        <v>3583</v>
      </c>
      <c r="T1188" t="s">
        <v>3584</v>
      </c>
    </row>
    <row r="1189" spans="1:20" x14ac:dyDescent="0.25">
      <c r="A1189" t="s">
        <v>3585</v>
      </c>
      <c r="B1189" t="str">
        <f>"4599"</f>
        <v>4599</v>
      </c>
      <c r="C1189" t="str">
        <f>"277824599"</f>
        <v>277824599</v>
      </c>
      <c r="D1189" t="s">
        <v>3586</v>
      </c>
      <c r="E1189" t="s">
        <v>3587</v>
      </c>
      <c r="F1189" t="s">
        <v>345</v>
      </c>
      <c r="G1189" s="1">
        <v>27432</v>
      </c>
      <c r="H1189" s="1">
        <v>41288</v>
      </c>
      <c r="I1189" t="str">
        <f t="shared" ref="I1189:I1209" si="21">"51"</f>
        <v>51</v>
      </c>
      <c r="J1189" t="s">
        <v>471</v>
      </c>
      <c r="K1189" t="s">
        <v>25</v>
      </c>
      <c r="L1189" t="s">
        <v>26</v>
      </c>
      <c r="M1189" t="s">
        <v>27</v>
      </c>
      <c r="N1189" s="1">
        <v>18629</v>
      </c>
      <c r="O1189">
        <v>0</v>
      </c>
      <c r="P1189">
        <v>0</v>
      </c>
      <c r="Q1189" t="s">
        <v>37</v>
      </c>
      <c r="R1189" t="s">
        <v>29</v>
      </c>
      <c r="S1189" t="s">
        <v>3588</v>
      </c>
      <c r="T1189" t="s">
        <v>3589</v>
      </c>
    </row>
    <row r="1190" spans="1:20" x14ac:dyDescent="0.25">
      <c r="A1190" t="s">
        <v>3590</v>
      </c>
      <c r="B1190" t="str">
        <f>"5060"</f>
        <v>5060</v>
      </c>
      <c r="C1190" t="str">
        <f>"285885060"</f>
        <v>285885060</v>
      </c>
      <c r="D1190" t="s">
        <v>1084</v>
      </c>
      <c r="E1190" t="s">
        <v>3591</v>
      </c>
      <c r="F1190" t="s">
        <v>28</v>
      </c>
      <c r="G1190" s="1">
        <v>27360</v>
      </c>
      <c r="H1190" s="1">
        <v>41288</v>
      </c>
      <c r="I1190" t="str">
        <f t="shared" si="21"/>
        <v>51</v>
      </c>
      <c r="J1190" t="s">
        <v>471</v>
      </c>
      <c r="K1190" t="s">
        <v>25</v>
      </c>
      <c r="L1190" t="s">
        <v>26</v>
      </c>
      <c r="M1190" t="s">
        <v>27</v>
      </c>
      <c r="N1190" s="1">
        <v>18629</v>
      </c>
      <c r="O1190">
        <v>0</v>
      </c>
      <c r="P1190">
        <v>0</v>
      </c>
      <c r="Q1190" t="s">
        <v>37</v>
      </c>
      <c r="R1190" t="s">
        <v>100</v>
      </c>
      <c r="S1190" t="s">
        <v>166</v>
      </c>
      <c r="T1190" t="s">
        <v>167</v>
      </c>
    </row>
    <row r="1191" spans="1:20" x14ac:dyDescent="0.25">
      <c r="A1191" t="s">
        <v>3592</v>
      </c>
      <c r="B1191" t="str">
        <f>"6961"</f>
        <v>6961</v>
      </c>
      <c r="C1191" t="str">
        <f>"298766961"</f>
        <v>298766961</v>
      </c>
      <c r="D1191" t="s">
        <v>3593</v>
      </c>
      <c r="E1191" t="s">
        <v>544</v>
      </c>
      <c r="F1191" t="s">
        <v>345</v>
      </c>
      <c r="G1191" s="1">
        <v>28148</v>
      </c>
      <c r="H1191" s="1">
        <v>41288</v>
      </c>
      <c r="I1191" t="str">
        <f t="shared" si="21"/>
        <v>51</v>
      </c>
      <c r="J1191" t="s">
        <v>471</v>
      </c>
      <c r="K1191" t="s">
        <v>25</v>
      </c>
      <c r="L1191" t="s">
        <v>26</v>
      </c>
      <c r="M1191" t="s">
        <v>27</v>
      </c>
      <c r="N1191" s="1">
        <v>18629</v>
      </c>
      <c r="O1191">
        <v>0</v>
      </c>
      <c r="P1191">
        <v>0</v>
      </c>
      <c r="Q1191" t="s">
        <v>37</v>
      </c>
      <c r="R1191" t="s">
        <v>51</v>
      </c>
      <c r="S1191" t="s">
        <v>3594</v>
      </c>
      <c r="T1191" t="s">
        <v>3595</v>
      </c>
    </row>
    <row r="1192" spans="1:20" x14ac:dyDescent="0.25">
      <c r="A1192" t="s">
        <v>3596</v>
      </c>
      <c r="B1192" t="str">
        <f>"0323"</f>
        <v>0323</v>
      </c>
      <c r="C1192" t="str">
        <f>"271860323"</f>
        <v>271860323</v>
      </c>
      <c r="D1192" t="s">
        <v>3597</v>
      </c>
      <c r="E1192" t="s">
        <v>3598</v>
      </c>
      <c r="F1192" t="s">
        <v>165</v>
      </c>
      <c r="G1192" s="1">
        <v>27021</v>
      </c>
      <c r="H1192" s="1">
        <v>41288</v>
      </c>
      <c r="I1192" t="str">
        <f t="shared" si="21"/>
        <v>51</v>
      </c>
      <c r="J1192" t="s">
        <v>471</v>
      </c>
      <c r="K1192" t="s">
        <v>25</v>
      </c>
      <c r="L1192" t="s">
        <v>26</v>
      </c>
      <c r="M1192" t="s">
        <v>27</v>
      </c>
      <c r="N1192" s="1">
        <v>18629</v>
      </c>
      <c r="O1192">
        <v>0</v>
      </c>
      <c r="P1192">
        <v>0</v>
      </c>
      <c r="Q1192" t="s">
        <v>37</v>
      </c>
      <c r="R1192" t="s">
        <v>29</v>
      </c>
      <c r="S1192" t="s">
        <v>138</v>
      </c>
      <c r="T1192" t="s">
        <v>139</v>
      </c>
    </row>
    <row r="1193" spans="1:20" x14ac:dyDescent="0.25">
      <c r="A1193" t="s">
        <v>3599</v>
      </c>
      <c r="B1193" t="str">
        <f>"1955"</f>
        <v>1955</v>
      </c>
      <c r="C1193" t="str">
        <f>"293701955"</f>
        <v>293701955</v>
      </c>
      <c r="D1193" t="s">
        <v>1087</v>
      </c>
      <c r="E1193" t="s">
        <v>3600</v>
      </c>
      <c r="F1193" t="s">
        <v>97</v>
      </c>
      <c r="G1193" s="1">
        <v>21612</v>
      </c>
      <c r="H1193" s="1">
        <v>41288</v>
      </c>
      <c r="I1193" t="str">
        <f t="shared" si="21"/>
        <v>51</v>
      </c>
      <c r="J1193" t="s">
        <v>471</v>
      </c>
      <c r="K1193" t="s">
        <v>25</v>
      </c>
      <c r="L1193" t="s">
        <v>26</v>
      </c>
      <c r="M1193" t="s">
        <v>27</v>
      </c>
      <c r="N1193" s="1">
        <v>18629</v>
      </c>
      <c r="O1193">
        <v>0</v>
      </c>
      <c r="P1193">
        <v>0</v>
      </c>
      <c r="Q1193" t="s">
        <v>28</v>
      </c>
      <c r="R1193" t="s">
        <v>29</v>
      </c>
      <c r="S1193" t="s">
        <v>251</v>
      </c>
      <c r="T1193" t="s">
        <v>252</v>
      </c>
    </row>
    <row r="1194" spans="1:20" x14ac:dyDescent="0.25">
      <c r="A1194" t="s">
        <v>3601</v>
      </c>
      <c r="B1194" t="str">
        <f>"6956"</f>
        <v>6956</v>
      </c>
      <c r="C1194" t="str">
        <f>"293806956"</f>
        <v>293806956</v>
      </c>
      <c r="D1194" t="s">
        <v>392</v>
      </c>
      <c r="E1194" t="s">
        <v>3602</v>
      </c>
      <c r="F1194" t="s">
        <v>44</v>
      </c>
      <c r="G1194" s="1">
        <v>30587</v>
      </c>
      <c r="H1194" s="1">
        <v>41288</v>
      </c>
      <c r="I1194" t="str">
        <f t="shared" si="21"/>
        <v>51</v>
      </c>
      <c r="J1194" t="s">
        <v>471</v>
      </c>
      <c r="K1194" t="s">
        <v>25</v>
      </c>
      <c r="L1194" t="s">
        <v>26</v>
      </c>
      <c r="M1194" t="s">
        <v>27</v>
      </c>
      <c r="N1194" s="1">
        <v>18629</v>
      </c>
      <c r="O1194">
        <v>0</v>
      </c>
      <c r="P1194">
        <v>0</v>
      </c>
      <c r="Q1194" t="s">
        <v>37</v>
      </c>
      <c r="R1194" t="s">
        <v>29</v>
      </c>
      <c r="S1194" t="s">
        <v>138</v>
      </c>
      <c r="T1194" t="s">
        <v>139</v>
      </c>
    </row>
    <row r="1195" spans="1:20" x14ac:dyDescent="0.25">
      <c r="A1195" t="s">
        <v>3603</v>
      </c>
      <c r="B1195" t="str">
        <f>"2695"</f>
        <v>2695</v>
      </c>
      <c r="C1195" t="str">
        <f>"272602695"</f>
        <v>272602695</v>
      </c>
      <c r="D1195" t="s">
        <v>3604</v>
      </c>
      <c r="E1195" t="s">
        <v>3605</v>
      </c>
      <c r="F1195" t="s">
        <v>3606</v>
      </c>
      <c r="G1195" s="1">
        <v>21234</v>
      </c>
      <c r="H1195" s="1">
        <v>41288</v>
      </c>
      <c r="I1195" t="str">
        <f t="shared" si="21"/>
        <v>51</v>
      </c>
      <c r="J1195" t="s">
        <v>471</v>
      </c>
      <c r="K1195" t="s">
        <v>25</v>
      </c>
      <c r="L1195" t="s">
        <v>26</v>
      </c>
      <c r="M1195" t="s">
        <v>27</v>
      </c>
      <c r="N1195" s="1">
        <v>18629</v>
      </c>
      <c r="O1195">
        <v>0</v>
      </c>
      <c r="P1195">
        <v>0</v>
      </c>
      <c r="Q1195" t="s">
        <v>37</v>
      </c>
      <c r="R1195" t="s">
        <v>29</v>
      </c>
      <c r="S1195" t="s">
        <v>138</v>
      </c>
      <c r="T1195" t="s">
        <v>139</v>
      </c>
    </row>
    <row r="1196" spans="1:20" x14ac:dyDescent="0.25">
      <c r="A1196" t="s">
        <v>3607</v>
      </c>
      <c r="B1196" t="str">
        <f>"3027"</f>
        <v>3027</v>
      </c>
      <c r="C1196" t="str">
        <f>"272723027"</f>
        <v>272723027</v>
      </c>
      <c r="D1196" t="s">
        <v>2328</v>
      </c>
      <c r="E1196" t="s">
        <v>3608</v>
      </c>
      <c r="F1196" t="s">
        <v>93</v>
      </c>
      <c r="G1196" s="1">
        <v>27622</v>
      </c>
      <c r="H1196" s="1">
        <v>41288</v>
      </c>
      <c r="I1196" t="str">
        <f t="shared" si="21"/>
        <v>51</v>
      </c>
      <c r="J1196" t="s">
        <v>471</v>
      </c>
      <c r="K1196" t="s">
        <v>25</v>
      </c>
      <c r="L1196" t="s">
        <v>26</v>
      </c>
      <c r="M1196" t="s">
        <v>27</v>
      </c>
      <c r="N1196" s="1">
        <v>18629</v>
      </c>
      <c r="O1196">
        <v>0</v>
      </c>
      <c r="P1196">
        <v>0</v>
      </c>
      <c r="Q1196" t="s">
        <v>37</v>
      </c>
      <c r="R1196" t="s">
        <v>51</v>
      </c>
      <c r="S1196" t="s">
        <v>3609</v>
      </c>
      <c r="T1196" t="s">
        <v>3610</v>
      </c>
    </row>
    <row r="1197" spans="1:20" x14ac:dyDescent="0.25">
      <c r="A1197" t="s">
        <v>3611</v>
      </c>
      <c r="B1197" t="str">
        <f>"3165"</f>
        <v>3165</v>
      </c>
      <c r="C1197" t="str">
        <f>"275443165"</f>
        <v>275443165</v>
      </c>
      <c r="D1197" t="s">
        <v>3612</v>
      </c>
      <c r="E1197" t="s">
        <v>1074</v>
      </c>
      <c r="F1197" t="s">
        <v>414</v>
      </c>
      <c r="G1197" s="1">
        <v>22602</v>
      </c>
      <c r="H1197" s="1">
        <v>41288</v>
      </c>
      <c r="I1197" t="str">
        <f t="shared" si="21"/>
        <v>51</v>
      </c>
      <c r="J1197" t="s">
        <v>471</v>
      </c>
      <c r="K1197" t="s">
        <v>25</v>
      </c>
      <c r="L1197" t="s">
        <v>26</v>
      </c>
      <c r="M1197" t="s">
        <v>27</v>
      </c>
      <c r="N1197" s="1">
        <v>18629</v>
      </c>
      <c r="O1197">
        <v>0</v>
      </c>
      <c r="P1197">
        <v>0</v>
      </c>
      <c r="Q1197" t="s">
        <v>37</v>
      </c>
      <c r="R1197" t="s">
        <v>29</v>
      </c>
      <c r="S1197" t="s">
        <v>138</v>
      </c>
      <c r="T1197" t="s">
        <v>139</v>
      </c>
    </row>
    <row r="1198" spans="1:20" x14ac:dyDescent="0.25">
      <c r="A1198" t="s">
        <v>3613</v>
      </c>
      <c r="B1198" t="str">
        <f>"1590"</f>
        <v>1590</v>
      </c>
      <c r="C1198" t="str">
        <f>"276721590"</f>
        <v>276721590</v>
      </c>
      <c r="D1198" t="s">
        <v>3614</v>
      </c>
      <c r="E1198" t="s">
        <v>2159</v>
      </c>
      <c r="F1198" t="s">
        <v>44</v>
      </c>
      <c r="G1198" s="1">
        <v>23547</v>
      </c>
      <c r="H1198" s="1">
        <v>41288</v>
      </c>
      <c r="I1198" t="str">
        <f t="shared" si="21"/>
        <v>51</v>
      </c>
      <c r="J1198" t="s">
        <v>471</v>
      </c>
      <c r="K1198" t="s">
        <v>25</v>
      </c>
      <c r="L1198" t="s">
        <v>26</v>
      </c>
      <c r="M1198" t="s">
        <v>27</v>
      </c>
      <c r="N1198" s="1">
        <v>18629</v>
      </c>
      <c r="O1198">
        <v>0</v>
      </c>
      <c r="P1198">
        <v>0</v>
      </c>
      <c r="Q1198" t="s">
        <v>37</v>
      </c>
      <c r="R1198" t="s">
        <v>29</v>
      </c>
      <c r="S1198" t="s">
        <v>138</v>
      </c>
      <c r="T1198" t="s">
        <v>139</v>
      </c>
    </row>
    <row r="1199" spans="1:20" x14ac:dyDescent="0.25">
      <c r="A1199" t="s">
        <v>3615</v>
      </c>
      <c r="B1199" t="str">
        <f>"1820"</f>
        <v>1820</v>
      </c>
      <c r="C1199" t="str">
        <f>"285061820"</f>
        <v>285061820</v>
      </c>
      <c r="D1199" t="s">
        <v>3616</v>
      </c>
      <c r="E1199" t="s">
        <v>3617</v>
      </c>
      <c r="G1199" s="1">
        <v>25720</v>
      </c>
      <c r="H1199" s="1">
        <v>41288</v>
      </c>
      <c r="I1199" t="str">
        <f t="shared" si="21"/>
        <v>51</v>
      </c>
      <c r="J1199" t="s">
        <v>471</v>
      </c>
      <c r="K1199" t="s">
        <v>25</v>
      </c>
      <c r="L1199" t="s">
        <v>26</v>
      </c>
      <c r="M1199" t="s">
        <v>27</v>
      </c>
      <c r="N1199" s="1">
        <v>18629</v>
      </c>
      <c r="O1199">
        <v>0</v>
      </c>
      <c r="P1199">
        <v>0</v>
      </c>
      <c r="Q1199" t="s">
        <v>37</v>
      </c>
      <c r="R1199" t="s">
        <v>51</v>
      </c>
      <c r="S1199" s="2" t="s">
        <v>2202</v>
      </c>
      <c r="T1199" t="s">
        <v>2203</v>
      </c>
    </row>
    <row r="1200" spans="1:20" x14ac:dyDescent="0.25">
      <c r="A1200" t="s">
        <v>3618</v>
      </c>
      <c r="B1200" t="str">
        <f>"1805"</f>
        <v>1805</v>
      </c>
      <c r="C1200" t="str">
        <f>"281621805"</f>
        <v>281621805</v>
      </c>
      <c r="D1200" t="s">
        <v>3619</v>
      </c>
      <c r="E1200" t="s">
        <v>672</v>
      </c>
      <c r="F1200" t="s">
        <v>93</v>
      </c>
      <c r="G1200" s="1">
        <v>25732</v>
      </c>
      <c r="H1200" s="1">
        <v>41288</v>
      </c>
      <c r="I1200" t="str">
        <f t="shared" si="21"/>
        <v>51</v>
      </c>
      <c r="J1200" t="s">
        <v>471</v>
      </c>
      <c r="K1200" t="s">
        <v>25</v>
      </c>
      <c r="L1200" t="s">
        <v>26</v>
      </c>
      <c r="M1200" t="s">
        <v>27</v>
      </c>
      <c r="N1200" s="1">
        <v>18629</v>
      </c>
      <c r="O1200">
        <v>0</v>
      </c>
      <c r="P1200">
        <v>0</v>
      </c>
      <c r="Q1200" t="s">
        <v>28</v>
      </c>
      <c r="R1200" t="s">
        <v>346</v>
      </c>
      <c r="S1200" t="s">
        <v>2458</v>
      </c>
      <c r="T1200" t="s">
        <v>2459</v>
      </c>
    </row>
    <row r="1201" spans="1:20" x14ac:dyDescent="0.25">
      <c r="A1201" t="s">
        <v>3620</v>
      </c>
      <c r="B1201" t="str">
        <f>"9929"</f>
        <v>9929</v>
      </c>
      <c r="C1201" t="str">
        <f>"286809929"</f>
        <v>286809929</v>
      </c>
      <c r="D1201" t="s">
        <v>907</v>
      </c>
      <c r="E1201" t="s">
        <v>3621</v>
      </c>
      <c r="F1201" t="s">
        <v>190</v>
      </c>
      <c r="G1201" s="1">
        <v>30425</v>
      </c>
      <c r="H1201" s="1">
        <v>41288</v>
      </c>
      <c r="I1201" t="str">
        <f t="shared" si="21"/>
        <v>51</v>
      </c>
      <c r="J1201" t="s">
        <v>471</v>
      </c>
      <c r="K1201" t="s">
        <v>25</v>
      </c>
      <c r="L1201" t="s">
        <v>26</v>
      </c>
      <c r="M1201" t="s">
        <v>27</v>
      </c>
      <c r="N1201" s="1">
        <v>18629</v>
      </c>
      <c r="O1201">
        <v>0</v>
      </c>
      <c r="P1201">
        <v>0</v>
      </c>
      <c r="Q1201" t="s">
        <v>37</v>
      </c>
      <c r="R1201" t="s">
        <v>51</v>
      </c>
      <c r="S1201" s="2" t="s">
        <v>1522</v>
      </c>
      <c r="T1201" t="s">
        <v>1523</v>
      </c>
    </row>
    <row r="1202" spans="1:20" x14ac:dyDescent="0.25">
      <c r="A1202" t="s">
        <v>3622</v>
      </c>
      <c r="B1202" t="str">
        <f>"6031"</f>
        <v>6031</v>
      </c>
      <c r="C1202" t="str">
        <f>"096386031"</f>
        <v>096386031</v>
      </c>
      <c r="D1202" t="s">
        <v>3623</v>
      </c>
      <c r="E1202" t="s">
        <v>304</v>
      </c>
      <c r="F1202" t="s">
        <v>282</v>
      </c>
      <c r="G1202" s="1">
        <v>18017</v>
      </c>
      <c r="H1202" s="1">
        <v>41288</v>
      </c>
      <c r="I1202" t="str">
        <f t="shared" si="21"/>
        <v>51</v>
      </c>
      <c r="J1202" t="s">
        <v>471</v>
      </c>
      <c r="K1202" t="s">
        <v>25</v>
      </c>
      <c r="L1202" t="s">
        <v>26</v>
      </c>
      <c r="M1202" t="s">
        <v>27</v>
      </c>
      <c r="N1202" s="1">
        <v>18629</v>
      </c>
      <c r="O1202">
        <v>0</v>
      </c>
      <c r="P1202">
        <v>0</v>
      </c>
      <c r="Q1202" t="s">
        <v>28</v>
      </c>
      <c r="R1202" t="s">
        <v>29</v>
      </c>
      <c r="S1202" t="s">
        <v>765</v>
      </c>
      <c r="T1202" t="s">
        <v>766</v>
      </c>
    </row>
    <row r="1203" spans="1:20" x14ac:dyDescent="0.25">
      <c r="A1203" t="s">
        <v>3624</v>
      </c>
      <c r="B1203" t="str">
        <f>"7029"</f>
        <v>7029</v>
      </c>
      <c r="C1203" t="str">
        <f>"274767029"</f>
        <v>274767029</v>
      </c>
      <c r="D1203" t="s">
        <v>150</v>
      </c>
      <c r="E1203" t="s">
        <v>2483</v>
      </c>
      <c r="F1203" t="s">
        <v>28</v>
      </c>
      <c r="G1203" s="1">
        <v>23623</v>
      </c>
      <c r="H1203" s="1">
        <v>41288</v>
      </c>
      <c r="I1203" t="str">
        <f t="shared" si="21"/>
        <v>51</v>
      </c>
      <c r="J1203" t="s">
        <v>471</v>
      </c>
      <c r="K1203" t="s">
        <v>25</v>
      </c>
      <c r="L1203" t="s">
        <v>26</v>
      </c>
      <c r="M1203" t="s">
        <v>27</v>
      </c>
      <c r="N1203" s="1">
        <v>18629</v>
      </c>
      <c r="O1203">
        <v>0</v>
      </c>
      <c r="P1203">
        <v>0</v>
      </c>
      <c r="Q1203" t="s">
        <v>37</v>
      </c>
      <c r="R1203" t="s">
        <v>29</v>
      </c>
      <c r="S1203" t="s">
        <v>138</v>
      </c>
      <c r="T1203" t="s">
        <v>139</v>
      </c>
    </row>
    <row r="1204" spans="1:20" x14ac:dyDescent="0.25">
      <c r="A1204" t="s">
        <v>3625</v>
      </c>
      <c r="B1204" t="str">
        <f>"9053"</f>
        <v>9053</v>
      </c>
      <c r="C1204" t="str">
        <f>"226579053"</f>
        <v>226579053</v>
      </c>
      <c r="D1204" t="s">
        <v>3626</v>
      </c>
      <c r="E1204" t="s">
        <v>3627</v>
      </c>
      <c r="F1204" t="s">
        <v>345</v>
      </c>
      <c r="G1204" s="1">
        <v>32189</v>
      </c>
      <c r="H1204" s="1">
        <v>41288</v>
      </c>
      <c r="I1204" t="str">
        <f t="shared" si="21"/>
        <v>51</v>
      </c>
      <c r="J1204" t="s">
        <v>471</v>
      </c>
      <c r="K1204" t="s">
        <v>25</v>
      </c>
      <c r="L1204" t="s">
        <v>26</v>
      </c>
      <c r="M1204" t="s">
        <v>27</v>
      </c>
      <c r="N1204" s="1">
        <v>18629</v>
      </c>
      <c r="O1204">
        <v>0</v>
      </c>
      <c r="P1204">
        <v>0</v>
      </c>
      <c r="Q1204" t="s">
        <v>28</v>
      </c>
      <c r="R1204" t="s">
        <v>51</v>
      </c>
      <c r="S1204" s="2" t="s">
        <v>2524</v>
      </c>
      <c r="T1204" t="s">
        <v>2525</v>
      </c>
    </row>
    <row r="1205" spans="1:20" x14ac:dyDescent="0.25">
      <c r="A1205" t="s">
        <v>3628</v>
      </c>
      <c r="B1205" t="str">
        <f>"9290"</f>
        <v>9290</v>
      </c>
      <c r="C1205" t="str">
        <f>"272569290"</f>
        <v>272569290</v>
      </c>
      <c r="D1205" t="s">
        <v>3629</v>
      </c>
      <c r="E1205" t="s">
        <v>3630</v>
      </c>
      <c r="F1205" t="s">
        <v>93</v>
      </c>
      <c r="G1205" s="1">
        <v>19735</v>
      </c>
      <c r="H1205" s="1">
        <v>41288</v>
      </c>
      <c r="I1205" t="str">
        <f t="shared" si="21"/>
        <v>51</v>
      </c>
      <c r="J1205" t="s">
        <v>471</v>
      </c>
      <c r="K1205" t="s">
        <v>25</v>
      </c>
      <c r="L1205" t="s">
        <v>26</v>
      </c>
      <c r="M1205" t="s">
        <v>27</v>
      </c>
      <c r="N1205" s="1">
        <v>18629</v>
      </c>
      <c r="O1205">
        <v>0</v>
      </c>
      <c r="P1205">
        <v>0</v>
      </c>
      <c r="Q1205" t="s">
        <v>28</v>
      </c>
      <c r="R1205" t="s">
        <v>71</v>
      </c>
      <c r="S1205" t="s">
        <v>3419</v>
      </c>
      <c r="T1205" t="s">
        <v>3420</v>
      </c>
    </row>
    <row r="1206" spans="1:20" x14ac:dyDescent="0.25">
      <c r="A1206" t="s">
        <v>3631</v>
      </c>
      <c r="B1206" t="str">
        <f>"4968"</f>
        <v>4968</v>
      </c>
      <c r="C1206" t="str">
        <f>"271924968"</f>
        <v>271924968</v>
      </c>
      <c r="D1206" t="s">
        <v>1270</v>
      </c>
      <c r="E1206" t="s">
        <v>3632</v>
      </c>
      <c r="F1206" t="s">
        <v>174</v>
      </c>
      <c r="G1206" s="1">
        <v>30732</v>
      </c>
      <c r="H1206" s="1">
        <v>41288</v>
      </c>
      <c r="I1206" t="str">
        <f t="shared" si="21"/>
        <v>51</v>
      </c>
      <c r="J1206" t="s">
        <v>471</v>
      </c>
      <c r="K1206" t="s">
        <v>25</v>
      </c>
      <c r="L1206" t="s">
        <v>26</v>
      </c>
      <c r="M1206" t="s">
        <v>27</v>
      </c>
      <c r="N1206" s="1">
        <v>18629</v>
      </c>
      <c r="O1206">
        <v>0</v>
      </c>
      <c r="P1206">
        <v>0</v>
      </c>
      <c r="Q1206" t="s">
        <v>37</v>
      </c>
      <c r="R1206" t="s">
        <v>51</v>
      </c>
      <c r="S1206" s="2" t="s">
        <v>64</v>
      </c>
      <c r="T1206" t="s">
        <v>65</v>
      </c>
    </row>
    <row r="1207" spans="1:20" x14ac:dyDescent="0.25">
      <c r="A1207" t="s">
        <v>3633</v>
      </c>
      <c r="B1207" t="str">
        <f>"9799"</f>
        <v>9799</v>
      </c>
      <c r="C1207" t="str">
        <f>"299849799"</f>
        <v>299849799</v>
      </c>
      <c r="D1207" t="s">
        <v>3634</v>
      </c>
      <c r="E1207" t="s">
        <v>1484</v>
      </c>
      <c r="F1207" t="s">
        <v>44</v>
      </c>
      <c r="G1207" s="1">
        <v>31093</v>
      </c>
      <c r="H1207" s="1">
        <v>41288</v>
      </c>
      <c r="I1207" t="str">
        <f t="shared" si="21"/>
        <v>51</v>
      </c>
      <c r="J1207" t="s">
        <v>471</v>
      </c>
      <c r="K1207" t="s">
        <v>25</v>
      </c>
      <c r="L1207" t="s">
        <v>26</v>
      </c>
      <c r="M1207" t="s">
        <v>27</v>
      </c>
      <c r="N1207" s="1">
        <v>18629</v>
      </c>
      <c r="O1207">
        <v>0</v>
      </c>
      <c r="P1207">
        <v>0</v>
      </c>
      <c r="Q1207" t="s">
        <v>37</v>
      </c>
      <c r="R1207" t="s">
        <v>71</v>
      </c>
      <c r="S1207" t="s">
        <v>3635</v>
      </c>
      <c r="T1207" t="s">
        <v>3636</v>
      </c>
    </row>
    <row r="1208" spans="1:20" x14ac:dyDescent="0.25">
      <c r="A1208" t="s">
        <v>3637</v>
      </c>
      <c r="B1208" t="str">
        <f>"2261"</f>
        <v>2261</v>
      </c>
      <c r="C1208" t="str">
        <f>"281782261"</f>
        <v>281782261</v>
      </c>
      <c r="D1208" t="s">
        <v>3638</v>
      </c>
      <c r="E1208" t="s">
        <v>3501</v>
      </c>
      <c r="F1208" t="s">
        <v>264</v>
      </c>
      <c r="G1208" s="1">
        <v>29869</v>
      </c>
      <c r="H1208" s="1">
        <v>41288</v>
      </c>
      <c r="I1208" t="str">
        <f t="shared" si="21"/>
        <v>51</v>
      </c>
      <c r="J1208" t="s">
        <v>471</v>
      </c>
      <c r="K1208" t="s">
        <v>25</v>
      </c>
      <c r="L1208" t="s">
        <v>26</v>
      </c>
      <c r="M1208" t="s">
        <v>27</v>
      </c>
      <c r="N1208" s="1">
        <v>18629</v>
      </c>
      <c r="O1208">
        <v>0</v>
      </c>
      <c r="P1208">
        <v>0</v>
      </c>
      <c r="Q1208" t="s">
        <v>37</v>
      </c>
      <c r="R1208" t="s">
        <v>71</v>
      </c>
      <c r="S1208" t="s">
        <v>1474</v>
      </c>
      <c r="T1208" t="s">
        <v>1475</v>
      </c>
    </row>
    <row r="1209" spans="1:20" x14ac:dyDescent="0.25">
      <c r="A1209" t="s">
        <v>3639</v>
      </c>
      <c r="B1209" t="str">
        <f>"8428"</f>
        <v>8428</v>
      </c>
      <c r="C1209" t="str">
        <f>"283688428"</f>
        <v>283688428</v>
      </c>
      <c r="D1209" t="s">
        <v>3640</v>
      </c>
      <c r="E1209" t="s">
        <v>1722</v>
      </c>
      <c r="F1209" t="s">
        <v>219</v>
      </c>
      <c r="G1209" s="1">
        <v>22326</v>
      </c>
      <c r="H1209" s="1">
        <v>41288</v>
      </c>
      <c r="I1209" t="str">
        <f t="shared" si="21"/>
        <v>51</v>
      </c>
      <c r="J1209" t="s">
        <v>471</v>
      </c>
      <c r="K1209" t="s">
        <v>25</v>
      </c>
      <c r="L1209" t="s">
        <v>26</v>
      </c>
      <c r="M1209" t="s">
        <v>27</v>
      </c>
      <c r="N1209" s="1">
        <v>18629</v>
      </c>
      <c r="O1209">
        <v>0</v>
      </c>
      <c r="P1209">
        <v>0</v>
      </c>
      <c r="Q1209" t="s">
        <v>37</v>
      </c>
      <c r="R1209" t="s">
        <v>29</v>
      </c>
      <c r="S1209" t="s">
        <v>717</v>
      </c>
      <c r="T1209" t="s">
        <v>718</v>
      </c>
    </row>
    <row r="1210" spans="1:20" x14ac:dyDescent="0.25">
      <c r="A1210" t="s">
        <v>3641</v>
      </c>
      <c r="B1210" t="str">
        <f>"2919"</f>
        <v>2919</v>
      </c>
      <c r="C1210" t="str">
        <f>"295842919"</f>
        <v>295842919</v>
      </c>
      <c r="D1210" t="s">
        <v>2844</v>
      </c>
      <c r="E1210" t="s">
        <v>1453</v>
      </c>
      <c r="F1210" t="s">
        <v>438</v>
      </c>
      <c r="G1210" s="1">
        <v>31414</v>
      </c>
      <c r="H1210" s="1">
        <v>41288</v>
      </c>
      <c r="I1210" t="str">
        <f>"30"</f>
        <v>30</v>
      </c>
      <c r="J1210" t="s">
        <v>50</v>
      </c>
      <c r="K1210" t="s">
        <v>25</v>
      </c>
      <c r="L1210" t="s">
        <v>26</v>
      </c>
      <c r="M1210" t="s">
        <v>27</v>
      </c>
      <c r="N1210" s="1">
        <v>18629</v>
      </c>
      <c r="O1210">
        <v>0</v>
      </c>
      <c r="P1210">
        <v>0</v>
      </c>
      <c r="Q1210" t="s">
        <v>28</v>
      </c>
      <c r="R1210" t="s">
        <v>71</v>
      </c>
      <c r="S1210" t="s">
        <v>373</v>
      </c>
      <c r="T1210" t="s">
        <v>374</v>
      </c>
    </row>
    <row r="1211" spans="1:20" x14ac:dyDescent="0.25">
      <c r="A1211" t="s">
        <v>3642</v>
      </c>
      <c r="B1211" t="str">
        <f>"7585"</f>
        <v>7585</v>
      </c>
      <c r="C1211" t="str">
        <f>"280607585"</f>
        <v>280607585</v>
      </c>
      <c r="D1211" t="s">
        <v>3643</v>
      </c>
      <c r="E1211" t="s">
        <v>109</v>
      </c>
      <c r="F1211" t="s">
        <v>97</v>
      </c>
      <c r="G1211" s="1">
        <v>24279</v>
      </c>
      <c r="H1211" s="1">
        <v>41288</v>
      </c>
      <c r="I1211" t="str">
        <f t="shared" ref="I1211:I1217" si="22">"51"</f>
        <v>51</v>
      </c>
      <c r="J1211" t="s">
        <v>471</v>
      </c>
      <c r="K1211" t="s">
        <v>25</v>
      </c>
      <c r="L1211" t="s">
        <v>26</v>
      </c>
      <c r="M1211" t="s">
        <v>27</v>
      </c>
      <c r="N1211" s="1">
        <v>18629</v>
      </c>
      <c r="O1211">
        <v>0</v>
      </c>
      <c r="P1211">
        <v>0</v>
      </c>
      <c r="Q1211" t="s">
        <v>37</v>
      </c>
      <c r="R1211" t="s">
        <v>71</v>
      </c>
      <c r="S1211" t="s">
        <v>770</v>
      </c>
      <c r="T1211" t="s">
        <v>771</v>
      </c>
    </row>
    <row r="1212" spans="1:20" x14ac:dyDescent="0.25">
      <c r="A1212" t="s">
        <v>3644</v>
      </c>
      <c r="B1212" t="str">
        <f>"4123"</f>
        <v>4123</v>
      </c>
      <c r="C1212" t="str">
        <f>"569894123"</f>
        <v>569894123</v>
      </c>
      <c r="D1212" t="s">
        <v>3645</v>
      </c>
      <c r="E1212" t="s">
        <v>3646</v>
      </c>
      <c r="F1212" t="s">
        <v>69</v>
      </c>
      <c r="G1212" s="1">
        <v>27433</v>
      </c>
      <c r="H1212" s="1">
        <v>41288</v>
      </c>
      <c r="I1212" t="str">
        <f t="shared" si="22"/>
        <v>51</v>
      </c>
      <c r="J1212" t="s">
        <v>471</v>
      </c>
      <c r="K1212" t="s">
        <v>25</v>
      </c>
      <c r="L1212" t="s">
        <v>26</v>
      </c>
      <c r="M1212" t="s">
        <v>27</v>
      </c>
      <c r="N1212" s="1">
        <v>18629</v>
      </c>
      <c r="O1212">
        <v>0</v>
      </c>
      <c r="P1212">
        <v>0</v>
      </c>
      <c r="Q1212" t="s">
        <v>28</v>
      </c>
      <c r="R1212" t="s">
        <v>51</v>
      </c>
      <c r="S1212" s="2" t="s">
        <v>1568</v>
      </c>
      <c r="T1212" t="s">
        <v>1569</v>
      </c>
    </row>
    <row r="1213" spans="1:20" x14ac:dyDescent="0.25">
      <c r="A1213" t="s">
        <v>3647</v>
      </c>
      <c r="B1213" t="str">
        <f>"4963"</f>
        <v>4963</v>
      </c>
      <c r="C1213" t="str">
        <f>"732094963"</f>
        <v>732094963</v>
      </c>
      <c r="D1213" t="s">
        <v>3648</v>
      </c>
      <c r="E1213" t="s">
        <v>3649</v>
      </c>
      <c r="F1213" t="s">
        <v>276</v>
      </c>
      <c r="G1213" s="1">
        <v>30312</v>
      </c>
      <c r="H1213" s="1">
        <v>41288</v>
      </c>
      <c r="I1213" t="str">
        <f t="shared" si="22"/>
        <v>51</v>
      </c>
      <c r="J1213" t="s">
        <v>471</v>
      </c>
      <c r="K1213" t="s">
        <v>25</v>
      </c>
      <c r="L1213" t="s">
        <v>26</v>
      </c>
      <c r="M1213" t="s">
        <v>27</v>
      </c>
      <c r="N1213" s="1">
        <v>18629</v>
      </c>
      <c r="O1213">
        <v>0</v>
      </c>
      <c r="P1213">
        <v>0</v>
      </c>
      <c r="Q1213" t="s">
        <v>37</v>
      </c>
      <c r="R1213" t="s">
        <v>71</v>
      </c>
      <c r="S1213" t="s">
        <v>1474</v>
      </c>
      <c r="T1213" t="s">
        <v>1475</v>
      </c>
    </row>
    <row r="1214" spans="1:20" x14ac:dyDescent="0.25">
      <c r="A1214" t="s">
        <v>3650</v>
      </c>
      <c r="B1214" t="str">
        <f>"4169"</f>
        <v>4169</v>
      </c>
      <c r="C1214" t="str">
        <f>"299884169"</f>
        <v>299884169</v>
      </c>
      <c r="D1214" t="s">
        <v>3651</v>
      </c>
      <c r="E1214" t="s">
        <v>3652</v>
      </c>
      <c r="F1214" t="s">
        <v>282</v>
      </c>
      <c r="G1214" s="1">
        <v>26184</v>
      </c>
      <c r="H1214" s="1">
        <v>41288</v>
      </c>
      <c r="I1214" t="str">
        <f t="shared" si="22"/>
        <v>51</v>
      </c>
      <c r="J1214" t="s">
        <v>471</v>
      </c>
      <c r="K1214" t="s">
        <v>25</v>
      </c>
      <c r="L1214" t="s">
        <v>26</v>
      </c>
      <c r="M1214" t="s">
        <v>27</v>
      </c>
      <c r="N1214" s="1">
        <v>18629</v>
      </c>
      <c r="O1214">
        <v>0</v>
      </c>
      <c r="P1214">
        <v>0</v>
      </c>
      <c r="Q1214" t="s">
        <v>37</v>
      </c>
      <c r="R1214" t="s">
        <v>51</v>
      </c>
      <c r="S1214" s="2" t="s">
        <v>1538</v>
      </c>
      <c r="T1214" t="s">
        <v>1539</v>
      </c>
    </row>
    <row r="1215" spans="1:20" x14ac:dyDescent="0.25">
      <c r="A1215" t="s">
        <v>3653</v>
      </c>
      <c r="B1215" t="str">
        <f>"3656"</f>
        <v>3656</v>
      </c>
      <c r="C1215" t="str">
        <f>"301743656"</f>
        <v>301743656</v>
      </c>
      <c r="D1215" t="s">
        <v>658</v>
      </c>
      <c r="E1215" t="s">
        <v>3654</v>
      </c>
      <c r="F1215" t="s">
        <v>264</v>
      </c>
      <c r="G1215" s="1">
        <v>28479</v>
      </c>
      <c r="H1215" s="1">
        <v>41288</v>
      </c>
      <c r="I1215" t="str">
        <f t="shared" si="22"/>
        <v>51</v>
      </c>
      <c r="J1215" t="s">
        <v>471</v>
      </c>
      <c r="K1215" t="s">
        <v>25</v>
      </c>
      <c r="L1215" t="s">
        <v>26</v>
      </c>
      <c r="M1215" t="s">
        <v>27</v>
      </c>
      <c r="N1215" s="1">
        <v>18629</v>
      </c>
      <c r="O1215">
        <v>0</v>
      </c>
      <c r="P1215">
        <v>0</v>
      </c>
      <c r="Q1215" t="s">
        <v>37</v>
      </c>
      <c r="R1215" t="s">
        <v>29</v>
      </c>
      <c r="S1215" t="s">
        <v>138</v>
      </c>
      <c r="T1215" t="s">
        <v>139</v>
      </c>
    </row>
    <row r="1216" spans="1:20" x14ac:dyDescent="0.25">
      <c r="A1216" t="s">
        <v>3655</v>
      </c>
      <c r="B1216" t="str">
        <f>"1784"</f>
        <v>1784</v>
      </c>
      <c r="C1216" t="str">
        <f>"250211784"</f>
        <v>250211784</v>
      </c>
      <c r="D1216" t="s">
        <v>658</v>
      </c>
      <c r="E1216" t="s">
        <v>609</v>
      </c>
      <c r="F1216" t="s">
        <v>44</v>
      </c>
      <c r="G1216" s="1">
        <v>26291</v>
      </c>
      <c r="H1216" s="1">
        <v>41288</v>
      </c>
      <c r="I1216" t="str">
        <f t="shared" si="22"/>
        <v>51</v>
      </c>
      <c r="J1216" t="s">
        <v>471</v>
      </c>
      <c r="K1216" t="s">
        <v>25</v>
      </c>
      <c r="L1216" t="s">
        <v>26</v>
      </c>
      <c r="M1216" t="s">
        <v>27</v>
      </c>
      <c r="N1216" s="1">
        <v>18629</v>
      </c>
      <c r="O1216">
        <v>0</v>
      </c>
      <c r="P1216">
        <v>0</v>
      </c>
      <c r="Q1216" t="s">
        <v>28</v>
      </c>
      <c r="R1216" t="s">
        <v>29</v>
      </c>
      <c r="S1216" s="2" t="s">
        <v>2202</v>
      </c>
      <c r="T1216" t="s">
        <v>2203</v>
      </c>
    </row>
    <row r="1217" spans="1:20" x14ac:dyDescent="0.25">
      <c r="A1217" t="s">
        <v>3656</v>
      </c>
      <c r="B1217" t="str">
        <f>"2083"</f>
        <v>2083</v>
      </c>
      <c r="C1217" t="str">
        <f>"273702083"</f>
        <v>273702083</v>
      </c>
      <c r="D1217" t="s">
        <v>3657</v>
      </c>
      <c r="E1217" t="s">
        <v>122</v>
      </c>
      <c r="F1217" t="s">
        <v>93</v>
      </c>
      <c r="G1217" s="1">
        <v>24045</v>
      </c>
      <c r="H1217" s="1">
        <v>41288</v>
      </c>
      <c r="I1217" t="str">
        <f t="shared" si="22"/>
        <v>51</v>
      </c>
      <c r="J1217" t="s">
        <v>471</v>
      </c>
      <c r="K1217" t="s">
        <v>25</v>
      </c>
      <c r="L1217" t="s">
        <v>26</v>
      </c>
      <c r="M1217" t="s">
        <v>27</v>
      </c>
      <c r="N1217" s="1">
        <v>18629</v>
      </c>
      <c r="O1217">
        <v>0</v>
      </c>
      <c r="P1217">
        <v>0</v>
      </c>
      <c r="Q1217" t="s">
        <v>28</v>
      </c>
      <c r="R1217" t="s">
        <v>51</v>
      </c>
      <c r="S1217" s="2" t="s">
        <v>2318</v>
      </c>
      <c r="T1217" t="s">
        <v>2319</v>
      </c>
    </row>
    <row r="1218" spans="1:20" x14ac:dyDescent="0.25">
      <c r="A1218" t="s">
        <v>3658</v>
      </c>
      <c r="B1218" t="str">
        <f>"5422"</f>
        <v>5422</v>
      </c>
      <c r="C1218" t="str">
        <f>"292385422"</f>
        <v>292385422</v>
      </c>
      <c r="D1218" t="s">
        <v>1991</v>
      </c>
      <c r="E1218" t="s">
        <v>1049</v>
      </c>
      <c r="G1218" s="1">
        <v>16145</v>
      </c>
      <c r="H1218" s="1">
        <v>41288</v>
      </c>
      <c r="I1218" t="str">
        <f>"41"</f>
        <v>41</v>
      </c>
      <c r="J1218" t="s">
        <v>24</v>
      </c>
      <c r="K1218" t="s">
        <v>25</v>
      </c>
      <c r="L1218" t="s">
        <v>26</v>
      </c>
      <c r="M1218" t="s">
        <v>27</v>
      </c>
      <c r="N1218" s="1">
        <v>18629</v>
      </c>
      <c r="O1218">
        <v>0</v>
      </c>
      <c r="P1218">
        <v>0</v>
      </c>
      <c r="Q1218" t="s">
        <v>28</v>
      </c>
      <c r="R1218" t="s">
        <v>258</v>
      </c>
      <c r="S1218" t="s">
        <v>533</v>
      </c>
      <c r="T1218" t="s">
        <v>534</v>
      </c>
    </row>
    <row r="1219" spans="1:20" x14ac:dyDescent="0.25">
      <c r="A1219" t="s">
        <v>3659</v>
      </c>
      <c r="B1219" t="str">
        <f>"6894"</f>
        <v>6894</v>
      </c>
      <c r="C1219" t="str">
        <f>"277846894"</f>
        <v>277846894</v>
      </c>
      <c r="D1219" t="s">
        <v>3660</v>
      </c>
      <c r="E1219" t="s">
        <v>3661</v>
      </c>
      <c r="G1219" s="1">
        <v>31331</v>
      </c>
      <c r="H1219" s="1">
        <v>41288</v>
      </c>
      <c r="I1219" t="str">
        <f>"51"</f>
        <v>51</v>
      </c>
      <c r="J1219" t="s">
        <v>471</v>
      </c>
      <c r="K1219" t="s">
        <v>25</v>
      </c>
      <c r="L1219" t="s">
        <v>26</v>
      </c>
      <c r="M1219" t="s">
        <v>27</v>
      </c>
      <c r="N1219" s="1">
        <v>18629</v>
      </c>
      <c r="O1219">
        <v>0</v>
      </c>
      <c r="P1219">
        <v>0</v>
      </c>
      <c r="Q1219" t="s">
        <v>37</v>
      </c>
      <c r="R1219" t="s">
        <v>71</v>
      </c>
      <c r="S1219" t="s">
        <v>1474</v>
      </c>
      <c r="T1219" t="s">
        <v>1475</v>
      </c>
    </row>
    <row r="1220" spans="1:20" x14ac:dyDescent="0.25">
      <c r="A1220" t="s">
        <v>3662</v>
      </c>
      <c r="B1220" t="str">
        <f>"3035"</f>
        <v>3035</v>
      </c>
      <c r="C1220" t="str">
        <f>"284823035"</f>
        <v>284823035</v>
      </c>
      <c r="D1220" t="s">
        <v>3663</v>
      </c>
      <c r="E1220" t="s">
        <v>1749</v>
      </c>
      <c r="F1220" t="s">
        <v>3664</v>
      </c>
      <c r="G1220" s="1">
        <v>30926</v>
      </c>
      <c r="H1220" s="1">
        <v>41288</v>
      </c>
      <c r="I1220" t="str">
        <f>"33"</f>
        <v>33</v>
      </c>
      <c r="J1220" t="s">
        <v>45</v>
      </c>
      <c r="K1220" t="s">
        <v>25</v>
      </c>
      <c r="L1220" t="s">
        <v>26</v>
      </c>
      <c r="M1220" t="s">
        <v>27</v>
      </c>
      <c r="N1220" s="1">
        <v>18629</v>
      </c>
      <c r="O1220">
        <v>0</v>
      </c>
      <c r="P1220">
        <v>0</v>
      </c>
      <c r="Q1220" t="s">
        <v>37</v>
      </c>
      <c r="R1220" t="s">
        <v>100</v>
      </c>
      <c r="S1220" t="s">
        <v>757</v>
      </c>
      <c r="T1220" t="s">
        <v>758</v>
      </c>
    </row>
    <row r="1221" spans="1:20" x14ac:dyDescent="0.25">
      <c r="A1221" t="s">
        <v>3665</v>
      </c>
      <c r="B1221" t="str">
        <f>"0798"</f>
        <v>0798</v>
      </c>
      <c r="C1221" t="str">
        <f>"273880798"</f>
        <v>273880798</v>
      </c>
      <c r="D1221" t="s">
        <v>3666</v>
      </c>
      <c r="E1221" t="s">
        <v>2060</v>
      </c>
      <c r="F1221" t="s">
        <v>174</v>
      </c>
      <c r="G1221" s="1">
        <v>30454</v>
      </c>
      <c r="H1221" s="1">
        <v>41288</v>
      </c>
      <c r="I1221" t="str">
        <f>"03"</f>
        <v>03</v>
      </c>
      <c r="J1221" t="s">
        <v>70</v>
      </c>
      <c r="K1221" t="s">
        <v>98</v>
      </c>
      <c r="L1221" t="s">
        <v>37</v>
      </c>
      <c r="M1221" t="s">
        <v>99</v>
      </c>
      <c r="N1221" s="1">
        <v>41617</v>
      </c>
      <c r="O1221">
        <v>14801.8</v>
      </c>
      <c r="P1221">
        <v>3700.32</v>
      </c>
      <c r="Q1221" t="s">
        <v>28</v>
      </c>
      <c r="R1221" t="s">
        <v>110</v>
      </c>
      <c r="S1221" t="s">
        <v>3667</v>
      </c>
      <c r="T1221" t="s">
        <v>3668</v>
      </c>
    </row>
    <row r="1222" spans="1:20" x14ac:dyDescent="0.25">
      <c r="A1222" t="s">
        <v>3669</v>
      </c>
      <c r="B1222" t="str">
        <f>"8701"</f>
        <v>8701</v>
      </c>
      <c r="C1222" t="str">
        <f>"299348701"</f>
        <v>299348701</v>
      </c>
      <c r="D1222" t="s">
        <v>1798</v>
      </c>
      <c r="E1222" t="s">
        <v>3670</v>
      </c>
      <c r="F1222" t="s">
        <v>556</v>
      </c>
      <c r="G1222" s="1">
        <v>15519</v>
      </c>
      <c r="H1222" s="1">
        <v>41288</v>
      </c>
      <c r="I1222" t="str">
        <f t="shared" ref="I1222:I1228" si="23">"51"</f>
        <v>51</v>
      </c>
      <c r="J1222" t="s">
        <v>471</v>
      </c>
      <c r="K1222" t="s">
        <v>25</v>
      </c>
      <c r="L1222" t="s">
        <v>26</v>
      </c>
      <c r="M1222" t="s">
        <v>27</v>
      </c>
      <c r="N1222" s="1">
        <v>18629</v>
      </c>
      <c r="O1222">
        <v>0</v>
      </c>
      <c r="P1222">
        <v>0</v>
      </c>
      <c r="Q1222" t="s">
        <v>37</v>
      </c>
      <c r="R1222" t="s">
        <v>29</v>
      </c>
      <c r="S1222" t="s">
        <v>3671</v>
      </c>
      <c r="T1222" t="s">
        <v>3672</v>
      </c>
    </row>
    <row r="1223" spans="1:20" x14ac:dyDescent="0.25">
      <c r="A1223" t="s">
        <v>3673</v>
      </c>
      <c r="B1223" t="str">
        <f>"6145"</f>
        <v>6145</v>
      </c>
      <c r="C1223" t="str">
        <f>"286626145"</f>
        <v>286626145</v>
      </c>
      <c r="D1223" t="s">
        <v>663</v>
      </c>
      <c r="E1223" t="s">
        <v>3674</v>
      </c>
      <c r="F1223" t="s">
        <v>308</v>
      </c>
      <c r="G1223" s="1">
        <v>21153</v>
      </c>
      <c r="H1223" s="1">
        <v>41288</v>
      </c>
      <c r="I1223" t="str">
        <f t="shared" si="23"/>
        <v>51</v>
      </c>
      <c r="J1223" t="s">
        <v>471</v>
      </c>
      <c r="K1223" t="s">
        <v>25</v>
      </c>
      <c r="L1223" t="s">
        <v>26</v>
      </c>
      <c r="M1223" t="s">
        <v>27</v>
      </c>
      <c r="N1223" s="1">
        <v>18629</v>
      </c>
      <c r="O1223">
        <v>0</v>
      </c>
      <c r="P1223">
        <v>0</v>
      </c>
      <c r="Q1223" t="s">
        <v>37</v>
      </c>
      <c r="R1223" t="s">
        <v>38</v>
      </c>
      <c r="S1223" t="s">
        <v>1572</v>
      </c>
      <c r="T1223" t="s">
        <v>1573</v>
      </c>
    </row>
    <row r="1224" spans="1:20" x14ac:dyDescent="0.25">
      <c r="A1224" t="s">
        <v>3675</v>
      </c>
      <c r="B1224" t="str">
        <f>"7772"</f>
        <v>7772</v>
      </c>
      <c r="C1224" t="str">
        <f>"506197772"</f>
        <v>506197772</v>
      </c>
      <c r="D1224" t="s">
        <v>3676</v>
      </c>
      <c r="E1224" t="s">
        <v>1363</v>
      </c>
      <c r="F1224" t="s">
        <v>219</v>
      </c>
      <c r="G1224" s="1">
        <v>31695</v>
      </c>
      <c r="H1224" s="1">
        <v>41288</v>
      </c>
      <c r="I1224" t="str">
        <f t="shared" si="23"/>
        <v>51</v>
      </c>
      <c r="J1224" t="s">
        <v>471</v>
      </c>
      <c r="K1224" t="s">
        <v>25</v>
      </c>
      <c r="L1224" t="s">
        <v>26</v>
      </c>
      <c r="M1224" t="s">
        <v>27</v>
      </c>
      <c r="N1224" s="1">
        <v>18629</v>
      </c>
      <c r="O1224">
        <v>0</v>
      </c>
      <c r="P1224">
        <v>0</v>
      </c>
      <c r="Q1224" t="s">
        <v>37</v>
      </c>
      <c r="R1224" t="s">
        <v>51</v>
      </c>
      <c r="S1224" s="2" t="s">
        <v>3677</v>
      </c>
      <c r="T1224" t="s">
        <v>3678</v>
      </c>
    </row>
    <row r="1225" spans="1:20" x14ac:dyDescent="0.25">
      <c r="A1225" t="s">
        <v>3679</v>
      </c>
      <c r="B1225" t="str">
        <f>"4928"</f>
        <v>4928</v>
      </c>
      <c r="C1225" t="str">
        <f>"302484928"</f>
        <v>302484928</v>
      </c>
      <c r="D1225" t="s">
        <v>3680</v>
      </c>
      <c r="E1225" t="s">
        <v>3681</v>
      </c>
      <c r="F1225" t="s">
        <v>629</v>
      </c>
      <c r="G1225" s="1">
        <v>18780</v>
      </c>
      <c r="H1225" s="1">
        <v>41288</v>
      </c>
      <c r="I1225" t="str">
        <f t="shared" si="23"/>
        <v>51</v>
      </c>
      <c r="J1225" t="s">
        <v>471</v>
      </c>
      <c r="K1225" t="s">
        <v>25</v>
      </c>
      <c r="L1225" t="s">
        <v>26</v>
      </c>
      <c r="M1225" t="s">
        <v>27</v>
      </c>
      <c r="N1225" s="1">
        <v>18629</v>
      </c>
      <c r="O1225">
        <v>0</v>
      </c>
      <c r="P1225">
        <v>0</v>
      </c>
      <c r="Q1225" t="s">
        <v>37</v>
      </c>
      <c r="R1225" t="s">
        <v>29</v>
      </c>
      <c r="S1225" t="s">
        <v>3682</v>
      </c>
      <c r="T1225" t="s">
        <v>3683</v>
      </c>
    </row>
    <row r="1226" spans="1:20" x14ac:dyDescent="0.25">
      <c r="A1226" t="s">
        <v>3684</v>
      </c>
      <c r="B1226" t="str">
        <f>"3161"</f>
        <v>3161</v>
      </c>
      <c r="C1226" t="str">
        <f>"286783161"</f>
        <v>286783161</v>
      </c>
      <c r="D1226" t="s">
        <v>2158</v>
      </c>
      <c r="E1226" t="s">
        <v>3685</v>
      </c>
      <c r="F1226" t="s">
        <v>219</v>
      </c>
      <c r="G1226" s="1">
        <v>29987</v>
      </c>
      <c r="H1226" s="1">
        <v>41288</v>
      </c>
      <c r="I1226" t="str">
        <f t="shared" si="23"/>
        <v>51</v>
      </c>
      <c r="J1226" t="s">
        <v>471</v>
      </c>
      <c r="K1226" t="s">
        <v>25</v>
      </c>
      <c r="L1226" t="s">
        <v>26</v>
      </c>
      <c r="M1226" t="s">
        <v>27</v>
      </c>
      <c r="N1226" s="1">
        <v>18629</v>
      </c>
      <c r="O1226">
        <v>0</v>
      </c>
      <c r="P1226">
        <v>0</v>
      </c>
      <c r="Q1226" t="s">
        <v>28</v>
      </c>
      <c r="R1226" t="s">
        <v>51</v>
      </c>
      <c r="S1226" s="2" t="s">
        <v>1568</v>
      </c>
      <c r="T1226" t="s">
        <v>1569</v>
      </c>
    </row>
    <row r="1227" spans="1:20" x14ac:dyDescent="0.25">
      <c r="A1227" t="s">
        <v>3686</v>
      </c>
      <c r="B1227" t="str">
        <f>"3793"</f>
        <v>3793</v>
      </c>
      <c r="C1227" t="str">
        <f>"285133793"</f>
        <v>285133793</v>
      </c>
      <c r="D1227" t="s">
        <v>3687</v>
      </c>
      <c r="E1227" t="s">
        <v>3688</v>
      </c>
      <c r="F1227" t="s">
        <v>28</v>
      </c>
      <c r="G1227" s="1">
        <v>27409</v>
      </c>
      <c r="H1227" s="1">
        <v>41288</v>
      </c>
      <c r="I1227" t="str">
        <f t="shared" si="23"/>
        <v>51</v>
      </c>
      <c r="J1227" t="s">
        <v>471</v>
      </c>
      <c r="K1227" t="s">
        <v>25</v>
      </c>
      <c r="L1227" t="s">
        <v>26</v>
      </c>
      <c r="M1227" t="s">
        <v>27</v>
      </c>
      <c r="N1227" s="1">
        <v>18629</v>
      </c>
      <c r="O1227">
        <v>0</v>
      </c>
      <c r="P1227">
        <v>0</v>
      </c>
      <c r="Q1227" t="s">
        <v>28</v>
      </c>
      <c r="R1227" t="s">
        <v>29</v>
      </c>
      <c r="S1227" t="s">
        <v>1555</v>
      </c>
      <c r="T1227" t="s">
        <v>1556</v>
      </c>
    </row>
    <row r="1228" spans="1:20" x14ac:dyDescent="0.25">
      <c r="A1228" t="s">
        <v>3689</v>
      </c>
      <c r="B1228" t="str">
        <f>"6462"</f>
        <v>6462</v>
      </c>
      <c r="C1228" t="str">
        <f>"646666462"</f>
        <v>646666462</v>
      </c>
      <c r="D1228" t="s">
        <v>3690</v>
      </c>
      <c r="E1228" t="s">
        <v>3691</v>
      </c>
      <c r="G1228" s="1">
        <v>28934</v>
      </c>
      <c r="H1228" s="1">
        <v>41288</v>
      </c>
      <c r="I1228" t="str">
        <f t="shared" si="23"/>
        <v>51</v>
      </c>
      <c r="J1228" t="s">
        <v>471</v>
      </c>
      <c r="K1228" t="s">
        <v>25</v>
      </c>
      <c r="L1228" t="s">
        <v>26</v>
      </c>
      <c r="M1228" t="s">
        <v>27</v>
      </c>
      <c r="N1228" s="1">
        <v>18629</v>
      </c>
      <c r="O1228">
        <v>0</v>
      </c>
      <c r="P1228">
        <v>0</v>
      </c>
      <c r="Q1228" t="s">
        <v>37</v>
      </c>
      <c r="R1228" t="s">
        <v>51</v>
      </c>
      <c r="S1228" s="2" t="s">
        <v>3136</v>
      </c>
      <c r="T1228" t="s">
        <v>3137</v>
      </c>
    </row>
    <row r="1229" spans="1:20" x14ac:dyDescent="0.25">
      <c r="A1229" t="s">
        <v>3692</v>
      </c>
      <c r="B1229" t="str">
        <f>"5880"</f>
        <v>5880</v>
      </c>
      <c r="C1229" t="str">
        <f>"302885880"</f>
        <v>302885880</v>
      </c>
      <c r="D1229" t="s">
        <v>3693</v>
      </c>
      <c r="E1229" t="s">
        <v>1198</v>
      </c>
      <c r="F1229" t="s">
        <v>28</v>
      </c>
      <c r="G1229" s="1">
        <v>26837</v>
      </c>
      <c r="H1229" s="1">
        <v>41288</v>
      </c>
      <c r="I1229" t="str">
        <f>"52"</f>
        <v>52</v>
      </c>
      <c r="J1229" t="s">
        <v>330</v>
      </c>
      <c r="K1229" t="s">
        <v>25</v>
      </c>
      <c r="L1229" t="s">
        <v>26</v>
      </c>
      <c r="M1229" t="s">
        <v>27</v>
      </c>
      <c r="N1229" s="1">
        <v>18629</v>
      </c>
      <c r="O1229">
        <v>0</v>
      </c>
      <c r="P1229">
        <v>0</v>
      </c>
      <c r="Q1229" t="s">
        <v>28</v>
      </c>
      <c r="R1229" t="s">
        <v>258</v>
      </c>
      <c r="S1229" t="s">
        <v>331</v>
      </c>
      <c r="T1229" t="s">
        <v>332</v>
      </c>
    </row>
    <row r="1230" spans="1:20" x14ac:dyDescent="0.25">
      <c r="A1230" t="s">
        <v>3694</v>
      </c>
      <c r="B1230" t="str">
        <f>"6197"</f>
        <v>6197</v>
      </c>
      <c r="C1230" t="str">
        <f>"078386197"</f>
        <v>078386197</v>
      </c>
      <c r="D1230" t="s">
        <v>3695</v>
      </c>
      <c r="E1230" t="s">
        <v>3696</v>
      </c>
      <c r="F1230" t="s">
        <v>219</v>
      </c>
      <c r="G1230" s="1">
        <v>17551</v>
      </c>
      <c r="H1230" s="1">
        <v>41288</v>
      </c>
      <c r="I1230" t="str">
        <f>"51"</f>
        <v>51</v>
      </c>
      <c r="J1230" t="s">
        <v>471</v>
      </c>
      <c r="K1230" t="s">
        <v>25</v>
      </c>
      <c r="L1230" t="s">
        <v>26</v>
      </c>
      <c r="M1230" t="s">
        <v>27</v>
      </c>
      <c r="N1230" s="1">
        <v>18629</v>
      </c>
      <c r="O1230">
        <v>0</v>
      </c>
      <c r="P1230">
        <v>0</v>
      </c>
      <c r="Q1230" t="s">
        <v>37</v>
      </c>
      <c r="R1230" t="s">
        <v>29</v>
      </c>
      <c r="S1230" t="s">
        <v>251</v>
      </c>
      <c r="T1230" t="s">
        <v>252</v>
      </c>
    </row>
    <row r="1231" spans="1:20" x14ac:dyDescent="0.25">
      <c r="A1231" t="s">
        <v>3697</v>
      </c>
      <c r="B1231" t="str">
        <f>"9793"</f>
        <v>9793</v>
      </c>
      <c r="C1231" t="str">
        <f>"290889793"</f>
        <v>290889793</v>
      </c>
      <c r="D1231" t="s">
        <v>3698</v>
      </c>
      <c r="E1231" t="s">
        <v>3699</v>
      </c>
      <c r="F1231" t="s">
        <v>93</v>
      </c>
      <c r="G1231" s="1">
        <v>30188</v>
      </c>
      <c r="H1231" s="1">
        <v>41288</v>
      </c>
      <c r="I1231" t="str">
        <f>"51"</f>
        <v>51</v>
      </c>
      <c r="J1231" t="s">
        <v>471</v>
      </c>
      <c r="K1231" t="s">
        <v>25</v>
      </c>
      <c r="L1231" t="s">
        <v>26</v>
      </c>
      <c r="M1231" t="s">
        <v>27</v>
      </c>
      <c r="N1231" s="1">
        <v>18629</v>
      </c>
      <c r="O1231">
        <v>0</v>
      </c>
      <c r="P1231">
        <v>0</v>
      </c>
      <c r="Q1231" t="s">
        <v>37</v>
      </c>
      <c r="R1231" t="s">
        <v>71</v>
      </c>
      <c r="S1231" t="s">
        <v>1474</v>
      </c>
      <c r="T1231" t="s">
        <v>1475</v>
      </c>
    </row>
    <row r="1232" spans="1:20" x14ac:dyDescent="0.25">
      <c r="A1232" t="s">
        <v>3700</v>
      </c>
      <c r="B1232" t="str">
        <f>"2106"</f>
        <v>2106</v>
      </c>
      <c r="C1232" t="str">
        <f>"285582106"</f>
        <v>285582106</v>
      </c>
      <c r="D1232" t="s">
        <v>3701</v>
      </c>
      <c r="E1232" t="s">
        <v>1589</v>
      </c>
      <c r="F1232" t="s">
        <v>28</v>
      </c>
      <c r="G1232" s="1">
        <v>23111</v>
      </c>
      <c r="H1232" s="1">
        <v>41288</v>
      </c>
      <c r="I1232" t="str">
        <f>"51"</f>
        <v>51</v>
      </c>
      <c r="J1232" t="s">
        <v>471</v>
      </c>
      <c r="K1232" t="s">
        <v>25</v>
      </c>
      <c r="L1232" t="s">
        <v>26</v>
      </c>
      <c r="M1232" t="s">
        <v>27</v>
      </c>
      <c r="N1232" s="1">
        <v>18629</v>
      </c>
      <c r="O1232">
        <v>0</v>
      </c>
      <c r="P1232">
        <v>0</v>
      </c>
      <c r="Q1232" t="s">
        <v>37</v>
      </c>
      <c r="R1232" t="s">
        <v>29</v>
      </c>
      <c r="S1232" t="s">
        <v>3682</v>
      </c>
      <c r="T1232" t="s">
        <v>3683</v>
      </c>
    </row>
    <row r="1233" spans="1:20" x14ac:dyDescent="0.25">
      <c r="A1233" t="s">
        <v>3702</v>
      </c>
      <c r="B1233" t="str">
        <f>"2168"</f>
        <v>2168</v>
      </c>
      <c r="C1233" t="str">
        <f>"043902168"</f>
        <v>043902168</v>
      </c>
      <c r="D1233" t="s">
        <v>3703</v>
      </c>
      <c r="E1233" t="s">
        <v>1883</v>
      </c>
      <c r="F1233" t="s">
        <v>219</v>
      </c>
      <c r="G1233" s="1">
        <v>32416</v>
      </c>
      <c r="H1233" s="1">
        <v>41288</v>
      </c>
      <c r="I1233" t="str">
        <f>"33"</f>
        <v>33</v>
      </c>
      <c r="J1233" t="s">
        <v>45</v>
      </c>
      <c r="K1233" t="s">
        <v>25</v>
      </c>
      <c r="L1233" t="s">
        <v>26</v>
      </c>
      <c r="M1233" t="s">
        <v>27</v>
      </c>
      <c r="N1233" s="1">
        <v>18629</v>
      </c>
      <c r="O1233">
        <v>0</v>
      </c>
      <c r="P1233">
        <v>0</v>
      </c>
      <c r="Q1233" t="s">
        <v>37</v>
      </c>
      <c r="R1233" t="s">
        <v>599</v>
      </c>
      <c r="S1233" t="s">
        <v>600</v>
      </c>
      <c r="T1233" t="s">
        <v>601</v>
      </c>
    </row>
    <row r="1234" spans="1:20" x14ac:dyDescent="0.25">
      <c r="A1234" t="s">
        <v>3704</v>
      </c>
      <c r="B1234" t="str">
        <f>"2419"</f>
        <v>2419</v>
      </c>
      <c r="C1234" t="str">
        <f>"269582419"</f>
        <v>269582419</v>
      </c>
      <c r="D1234" t="s">
        <v>3705</v>
      </c>
      <c r="E1234" t="s">
        <v>3706</v>
      </c>
      <c r="F1234" t="s">
        <v>37</v>
      </c>
      <c r="G1234" s="1">
        <v>17234</v>
      </c>
      <c r="H1234" s="1">
        <v>41288</v>
      </c>
      <c r="I1234" t="str">
        <f t="shared" ref="I1234:I1239" si="24">"51"</f>
        <v>51</v>
      </c>
      <c r="J1234" t="s">
        <v>471</v>
      </c>
      <c r="K1234" t="s">
        <v>25</v>
      </c>
      <c r="L1234" t="s">
        <v>26</v>
      </c>
      <c r="M1234" t="s">
        <v>27</v>
      </c>
      <c r="N1234" s="1">
        <v>18629</v>
      </c>
      <c r="O1234">
        <v>0</v>
      </c>
      <c r="P1234">
        <v>0</v>
      </c>
      <c r="Q1234" t="s">
        <v>28</v>
      </c>
      <c r="R1234" t="s">
        <v>71</v>
      </c>
      <c r="S1234" t="s">
        <v>2190</v>
      </c>
      <c r="T1234" t="s">
        <v>2191</v>
      </c>
    </row>
    <row r="1235" spans="1:20" x14ac:dyDescent="0.25">
      <c r="A1235" t="s">
        <v>3707</v>
      </c>
      <c r="B1235" t="str">
        <f>"9034"</f>
        <v>9034</v>
      </c>
      <c r="C1235" t="str">
        <f>"321709034"</f>
        <v>321709034</v>
      </c>
      <c r="D1235" t="s">
        <v>3708</v>
      </c>
      <c r="E1235" t="s">
        <v>3709</v>
      </c>
      <c r="F1235" t="s">
        <v>44</v>
      </c>
      <c r="G1235" s="1">
        <v>25824</v>
      </c>
      <c r="H1235" s="1">
        <v>41288</v>
      </c>
      <c r="I1235" t="str">
        <f t="shared" si="24"/>
        <v>51</v>
      </c>
      <c r="J1235" t="s">
        <v>471</v>
      </c>
      <c r="K1235" t="s">
        <v>25</v>
      </c>
      <c r="L1235" t="s">
        <v>26</v>
      </c>
      <c r="M1235" t="s">
        <v>27</v>
      </c>
      <c r="N1235" s="1">
        <v>18629</v>
      </c>
      <c r="O1235">
        <v>0</v>
      </c>
      <c r="P1235">
        <v>0</v>
      </c>
      <c r="Q1235" t="s">
        <v>37</v>
      </c>
      <c r="R1235" t="s">
        <v>71</v>
      </c>
      <c r="S1235" t="s">
        <v>1474</v>
      </c>
      <c r="T1235" t="s">
        <v>1475</v>
      </c>
    </row>
    <row r="1236" spans="1:20" x14ac:dyDescent="0.25">
      <c r="A1236" t="s">
        <v>3710</v>
      </c>
      <c r="B1236" t="str">
        <f>"4530"</f>
        <v>4530</v>
      </c>
      <c r="C1236" t="str">
        <f>"231684530"</f>
        <v>231684530</v>
      </c>
      <c r="D1236" t="s">
        <v>3711</v>
      </c>
      <c r="E1236" t="s">
        <v>3712</v>
      </c>
      <c r="F1236" t="s">
        <v>556</v>
      </c>
      <c r="G1236" s="1">
        <v>18031</v>
      </c>
      <c r="H1236" s="1">
        <v>41288</v>
      </c>
      <c r="I1236" t="str">
        <f t="shared" si="24"/>
        <v>51</v>
      </c>
      <c r="J1236" t="s">
        <v>471</v>
      </c>
      <c r="K1236" t="s">
        <v>25</v>
      </c>
      <c r="L1236" t="s">
        <v>26</v>
      </c>
      <c r="M1236" t="s">
        <v>27</v>
      </c>
      <c r="N1236" s="1">
        <v>18629</v>
      </c>
      <c r="O1236">
        <v>0</v>
      </c>
      <c r="P1236">
        <v>0</v>
      </c>
      <c r="Q1236" t="s">
        <v>37</v>
      </c>
      <c r="R1236" t="s">
        <v>29</v>
      </c>
      <c r="S1236" t="s">
        <v>138</v>
      </c>
      <c r="T1236" t="s">
        <v>139</v>
      </c>
    </row>
    <row r="1237" spans="1:20" x14ac:dyDescent="0.25">
      <c r="A1237" t="s">
        <v>3713</v>
      </c>
      <c r="B1237" t="str">
        <f>"6216"</f>
        <v>6216</v>
      </c>
      <c r="C1237" t="str">
        <f>"288586216"</f>
        <v>288586216</v>
      </c>
      <c r="D1237" t="s">
        <v>1045</v>
      </c>
      <c r="E1237" t="s">
        <v>3714</v>
      </c>
      <c r="F1237" t="s">
        <v>165</v>
      </c>
      <c r="G1237" s="1">
        <v>21223</v>
      </c>
      <c r="H1237" s="1">
        <v>41288</v>
      </c>
      <c r="I1237" t="str">
        <f t="shared" si="24"/>
        <v>51</v>
      </c>
      <c r="J1237" t="s">
        <v>471</v>
      </c>
      <c r="K1237" t="s">
        <v>25</v>
      </c>
      <c r="L1237" t="s">
        <v>26</v>
      </c>
      <c r="M1237" t="s">
        <v>27</v>
      </c>
      <c r="N1237" s="1">
        <v>18629</v>
      </c>
      <c r="O1237">
        <v>0</v>
      </c>
      <c r="P1237">
        <v>0</v>
      </c>
      <c r="Q1237" t="s">
        <v>28</v>
      </c>
      <c r="R1237" t="s">
        <v>71</v>
      </c>
      <c r="S1237" t="s">
        <v>305</v>
      </c>
      <c r="T1237" t="s">
        <v>306</v>
      </c>
    </row>
    <row r="1238" spans="1:20" x14ac:dyDescent="0.25">
      <c r="A1238" t="s">
        <v>3715</v>
      </c>
      <c r="B1238" t="str">
        <f>"1050"</f>
        <v>1050</v>
      </c>
      <c r="C1238" t="str">
        <f>"274781050"</f>
        <v>274781050</v>
      </c>
      <c r="D1238" t="s">
        <v>674</v>
      </c>
      <c r="E1238" t="s">
        <v>3716</v>
      </c>
      <c r="F1238" t="s">
        <v>26</v>
      </c>
      <c r="G1238" s="1">
        <v>29800</v>
      </c>
      <c r="H1238" s="1">
        <v>41288</v>
      </c>
      <c r="I1238" t="str">
        <f t="shared" si="24"/>
        <v>51</v>
      </c>
      <c r="J1238" t="s">
        <v>471</v>
      </c>
      <c r="K1238" t="s">
        <v>25</v>
      </c>
      <c r="L1238" t="s">
        <v>26</v>
      </c>
      <c r="M1238" t="s">
        <v>27</v>
      </c>
      <c r="N1238" s="1">
        <v>18629</v>
      </c>
      <c r="O1238">
        <v>0</v>
      </c>
      <c r="P1238">
        <v>0</v>
      </c>
      <c r="Q1238" t="s">
        <v>37</v>
      </c>
      <c r="R1238" t="s">
        <v>51</v>
      </c>
      <c r="S1238" s="2" t="s">
        <v>2202</v>
      </c>
      <c r="T1238" t="s">
        <v>2203</v>
      </c>
    </row>
    <row r="1239" spans="1:20" x14ac:dyDescent="0.25">
      <c r="A1239" t="s">
        <v>3717</v>
      </c>
      <c r="B1239" t="str">
        <f>"2507"</f>
        <v>2507</v>
      </c>
      <c r="C1239" t="str">
        <f>"281682507"</f>
        <v>281682507</v>
      </c>
      <c r="D1239" t="s">
        <v>3718</v>
      </c>
      <c r="E1239" t="s">
        <v>3646</v>
      </c>
      <c r="F1239" t="s">
        <v>438</v>
      </c>
      <c r="G1239" s="1">
        <v>23209</v>
      </c>
      <c r="H1239" s="1">
        <v>41288</v>
      </c>
      <c r="I1239" t="str">
        <f t="shared" si="24"/>
        <v>51</v>
      </c>
      <c r="J1239" t="s">
        <v>471</v>
      </c>
      <c r="K1239" t="s">
        <v>25</v>
      </c>
      <c r="L1239" t="s">
        <v>26</v>
      </c>
      <c r="M1239" t="s">
        <v>27</v>
      </c>
      <c r="N1239" s="1">
        <v>18629</v>
      </c>
      <c r="O1239">
        <v>0</v>
      </c>
      <c r="P1239">
        <v>0</v>
      </c>
      <c r="Q1239" t="s">
        <v>28</v>
      </c>
      <c r="R1239" t="s">
        <v>29</v>
      </c>
      <c r="S1239" t="s">
        <v>3719</v>
      </c>
      <c r="T1239" t="s">
        <v>3720</v>
      </c>
    </row>
    <row r="1240" spans="1:20" x14ac:dyDescent="0.25">
      <c r="A1240" t="s">
        <v>3721</v>
      </c>
      <c r="B1240" t="str">
        <f>"3269"</f>
        <v>3269</v>
      </c>
      <c r="C1240" t="str">
        <f>"297843269"</f>
        <v>297843269</v>
      </c>
      <c r="D1240" t="s">
        <v>3722</v>
      </c>
      <c r="E1240" t="s">
        <v>1854</v>
      </c>
      <c r="F1240" t="s">
        <v>93</v>
      </c>
      <c r="G1240" s="1">
        <v>26122</v>
      </c>
      <c r="H1240" s="1">
        <v>41288</v>
      </c>
      <c r="I1240" t="str">
        <f>"52"</f>
        <v>52</v>
      </c>
      <c r="J1240" t="s">
        <v>330</v>
      </c>
      <c r="K1240" t="s">
        <v>25</v>
      </c>
      <c r="L1240" t="s">
        <v>26</v>
      </c>
      <c r="M1240" t="s">
        <v>27</v>
      </c>
      <c r="N1240" s="1">
        <v>18629</v>
      </c>
      <c r="O1240">
        <v>0</v>
      </c>
      <c r="P1240">
        <v>0</v>
      </c>
      <c r="Q1240" t="s">
        <v>28</v>
      </c>
      <c r="R1240" t="s">
        <v>29</v>
      </c>
      <c r="S1240" t="s">
        <v>331</v>
      </c>
      <c r="T1240" t="s">
        <v>332</v>
      </c>
    </row>
    <row r="1241" spans="1:20" x14ac:dyDescent="0.25">
      <c r="A1241" t="s">
        <v>3723</v>
      </c>
      <c r="B1241" t="str">
        <f>"3781"</f>
        <v>3781</v>
      </c>
      <c r="C1241" t="str">
        <f>"288783781"</f>
        <v>288783781</v>
      </c>
      <c r="D1241" t="s">
        <v>3724</v>
      </c>
      <c r="E1241" t="s">
        <v>1600</v>
      </c>
      <c r="F1241" t="s">
        <v>44</v>
      </c>
      <c r="G1241" s="1">
        <v>24631</v>
      </c>
      <c r="H1241" s="1">
        <v>41288</v>
      </c>
      <c r="I1241" t="str">
        <f t="shared" ref="I1241:I1256" si="25">"51"</f>
        <v>51</v>
      </c>
      <c r="J1241" t="s">
        <v>471</v>
      </c>
      <c r="K1241" t="s">
        <v>25</v>
      </c>
      <c r="L1241" t="s">
        <v>26</v>
      </c>
      <c r="M1241" t="s">
        <v>27</v>
      </c>
      <c r="N1241" s="1">
        <v>18629</v>
      </c>
      <c r="O1241">
        <v>0</v>
      </c>
      <c r="P1241">
        <v>0</v>
      </c>
      <c r="Q1241" t="s">
        <v>37</v>
      </c>
      <c r="R1241" t="s">
        <v>29</v>
      </c>
      <c r="S1241" t="s">
        <v>2355</v>
      </c>
      <c r="T1241" t="s">
        <v>2356</v>
      </c>
    </row>
    <row r="1242" spans="1:20" x14ac:dyDescent="0.25">
      <c r="A1242" t="s">
        <v>3725</v>
      </c>
      <c r="B1242" t="str">
        <f>"2698"</f>
        <v>2698</v>
      </c>
      <c r="C1242" t="str">
        <f>"298822698"</f>
        <v>298822698</v>
      </c>
      <c r="D1242" t="s">
        <v>1624</v>
      </c>
      <c r="E1242" t="s">
        <v>48</v>
      </c>
      <c r="F1242" t="s">
        <v>93</v>
      </c>
      <c r="G1242" s="1">
        <v>28832</v>
      </c>
      <c r="H1242" s="1">
        <v>41288</v>
      </c>
      <c r="I1242" t="str">
        <f t="shared" si="25"/>
        <v>51</v>
      </c>
      <c r="J1242" t="s">
        <v>471</v>
      </c>
      <c r="K1242" t="s">
        <v>25</v>
      </c>
      <c r="L1242" t="s">
        <v>26</v>
      </c>
      <c r="M1242" t="s">
        <v>27</v>
      </c>
      <c r="N1242" s="1">
        <v>18629</v>
      </c>
      <c r="O1242">
        <v>0</v>
      </c>
      <c r="P1242">
        <v>0</v>
      </c>
      <c r="Q1242" t="s">
        <v>37</v>
      </c>
      <c r="R1242" t="s">
        <v>29</v>
      </c>
      <c r="S1242" t="s">
        <v>138</v>
      </c>
      <c r="T1242" t="s">
        <v>139</v>
      </c>
    </row>
    <row r="1243" spans="1:20" x14ac:dyDescent="0.25">
      <c r="A1243" t="s">
        <v>3726</v>
      </c>
      <c r="B1243" t="str">
        <f>"3999"</f>
        <v>3999</v>
      </c>
      <c r="C1243" t="str">
        <f>"271883999"</f>
        <v>271883999</v>
      </c>
      <c r="D1243" t="s">
        <v>3727</v>
      </c>
      <c r="E1243" t="s">
        <v>941</v>
      </c>
      <c r="F1243" t="s">
        <v>282</v>
      </c>
      <c r="G1243" s="1">
        <v>28320</v>
      </c>
      <c r="H1243" s="1">
        <v>41288</v>
      </c>
      <c r="I1243" t="str">
        <f t="shared" si="25"/>
        <v>51</v>
      </c>
      <c r="J1243" t="s">
        <v>471</v>
      </c>
      <c r="K1243" t="s">
        <v>25</v>
      </c>
      <c r="L1243" t="s">
        <v>26</v>
      </c>
      <c r="M1243" t="s">
        <v>27</v>
      </c>
      <c r="N1243" s="1">
        <v>18629</v>
      </c>
      <c r="O1243">
        <v>0</v>
      </c>
      <c r="P1243">
        <v>0</v>
      </c>
      <c r="Q1243" t="s">
        <v>28</v>
      </c>
      <c r="R1243" t="s">
        <v>71</v>
      </c>
      <c r="S1243" t="s">
        <v>871</v>
      </c>
      <c r="T1243" t="s">
        <v>872</v>
      </c>
    </row>
    <row r="1244" spans="1:20" x14ac:dyDescent="0.25">
      <c r="A1244" t="s">
        <v>3728</v>
      </c>
      <c r="B1244" t="str">
        <f>"4693"</f>
        <v>4693</v>
      </c>
      <c r="C1244" t="str">
        <f>"107624693"</f>
        <v>107624693</v>
      </c>
      <c r="D1244" t="s">
        <v>3729</v>
      </c>
      <c r="E1244" t="s">
        <v>1726</v>
      </c>
      <c r="F1244" t="s">
        <v>93</v>
      </c>
      <c r="G1244" s="1">
        <v>23055</v>
      </c>
      <c r="H1244" s="1">
        <v>41288</v>
      </c>
      <c r="I1244" t="str">
        <f t="shared" si="25"/>
        <v>51</v>
      </c>
      <c r="J1244" t="s">
        <v>471</v>
      </c>
      <c r="K1244" t="s">
        <v>25</v>
      </c>
      <c r="L1244" t="s">
        <v>26</v>
      </c>
      <c r="M1244" t="s">
        <v>27</v>
      </c>
      <c r="N1244" s="1">
        <v>18629</v>
      </c>
      <c r="O1244">
        <v>0</v>
      </c>
      <c r="P1244">
        <v>0</v>
      </c>
      <c r="Q1244" t="s">
        <v>37</v>
      </c>
      <c r="R1244" t="s">
        <v>29</v>
      </c>
      <c r="S1244" s="2" t="s">
        <v>3730</v>
      </c>
      <c r="T1244" t="s">
        <v>3731</v>
      </c>
    </row>
    <row r="1245" spans="1:20" x14ac:dyDescent="0.25">
      <c r="A1245" t="s">
        <v>3732</v>
      </c>
      <c r="B1245" t="str">
        <f>"6770"</f>
        <v>6770</v>
      </c>
      <c r="C1245" t="str">
        <f>"371026770"</f>
        <v>371026770</v>
      </c>
      <c r="D1245" t="s">
        <v>2757</v>
      </c>
      <c r="E1245" t="s">
        <v>3733</v>
      </c>
      <c r="F1245" t="s">
        <v>438</v>
      </c>
      <c r="G1245" s="1">
        <v>28489</v>
      </c>
      <c r="H1245" s="1">
        <v>41288</v>
      </c>
      <c r="I1245" t="str">
        <f t="shared" si="25"/>
        <v>51</v>
      </c>
      <c r="J1245" t="s">
        <v>471</v>
      </c>
      <c r="K1245" t="s">
        <v>25</v>
      </c>
      <c r="L1245" t="s">
        <v>26</v>
      </c>
      <c r="M1245" t="s">
        <v>27</v>
      </c>
      <c r="N1245" s="1">
        <v>18629</v>
      </c>
      <c r="O1245">
        <v>0</v>
      </c>
      <c r="P1245">
        <v>0</v>
      </c>
      <c r="Q1245" t="s">
        <v>37</v>
      </c>
      <c r="R1245" t="s">
        <v>71</v>
      </c>
      <c r="S1245" t="s">
        <v>3734</v>
      </c>
      <c r="T1245" t="s">
        <v>3735</v>
      </c>
    </row>
    <row r="1246" spans="1:20" x14ac:dyDescent="0.25">
      <c r="A1246" t="s">
        <v>3736</v>
      </c>
      <c r="B1246" t="str">
        <f>"0173"</f>
        <v>0173</v>
      </c>
      <c r="C1246" t="str">
        <f>"294500173"</f>
        <v>294500173</v>
      </c>
      <c r="D1246" t="s">
        <v>2997</v>
      </c>
      <c r="E1246" t="s">
        <v>3080</v>
      </c>
      <c r="F1246" t="s">
        <v>97</v>
      </c>
      <c r="G1246" s="1">
        <v>18498</v>
      </c>
      <c r="H1246" s="1">
        <v>41288</v>
      </c>
      <c r="I1246" t="str">
        <f t="shared" si="25"/>
        <v>51</v>
      </c>
      <c r="J1246" t="s">
        <v>471</v>
      </c>
      <c r="K1246" t="s">
        <v>25</v>
      </c>
      <c r="L1246" t="s">
        <v>26</v>
      </c>
      <c r="M1246" t="s">
        <v>27</v>
      </c>
      <c r="N1246" s="1">
        <v>18629</v>
      </c>
      <c r="O1246">
        <v>0</v>
      </c>
      <c r="P1246">
        <v>0</v>
      </c>
      <c r="Q1246" t="s">
        <v>37</v>
      </c>
      <c r="R1246" t="s">
        <v>29</v>
      </c>
      <c r="S1246" t="s">
        <v>138</v>
      </c>
      <c r="T1246" t="s">
        <v>139</v>
      </c>
    </row>
    <row r="1247" spans="1:20" x14ac:dyDescent="0.25">
      <c r="A1247" t="s">
        <v>3737</v>
      </c>
      <c r="B1247" t="str">
        <f>"7253"</f>
        <v>7253</v>
      </c>
      <c r="C1247" t="str">
        <f>"237737253"</f>
        <v>237737253</v>
      </c>
      <c r="D1247" t="s">
        <v>3738</v>
      </c>
      <c r="E1247" t="s">
        <v>1546</v>
      </c>
      <c r="F1247" t="s">
        <v>93</v>
      </c>
      <c r="G1247" s="1">
        <v>31075</v>
      </c>
      <c r="H1247" s="1">
        <v>41288</v>
      </c>
      <c r="I1247" t="str">
        <f t="shared" si="25"/>
        <v>51</v>
      </c>
      <c r="J1247" t="s">
        <v>471</v>
      </c>
      <c r="K1247" t="s">
        <v>25</v>
      </c>
      <c r="L1247" t="s">
        <v>26</v>
      </c>
      <c r="M1247" t="s">
        <v>27</v>
      </c>
      <c r="N1247" s="1">
        <v>18629</v>
      </c>
      <c r="O1247">
        <v>0</v>
      </c>
      <c r="P1247">
        <v>0</v>
      </c>
      <c r="Q1247" t="s">
        <v>37</v>
      </c>
      <c r="R1247" t="s">
        <v>51</v>
      </c>
      <c r="S1247" s="2" t="s">
        <v>1568</v>
      </c>
      <c r="T1247" t="s">
        <v>1569</v>
      </c>
    </row>
    <row r="1248" spans="1:20" x14ac:dyDescent="0.25">
      <c r="A1248" t="s">
        <v>3739</v>
      </c>
      <c r="B1248" t="str">
        <f>"3116"</f>
        <v>3116</v>
      </c>
      <c r="C1248" t="str">
        <f>"361803116"</f>
        <v>361803116</v>
      </c>
      <c r="D1248" t="s">
        <v>3740</v>
      </c>
      <c r="E1248" t="s">
        <v>3741</v>
      </c>
      <c r="F1248" t="s">
        <v>97</v>
      </c>
      <c r="G1248" s="1">
        <v>30852</v>
      </c>
      <c r="H1248" s="1">
        <v>41288</v>
      </c>
      <c r="I1248" t="str">
        <f t="shared" si="25"/>
        <v>51</v>
      </c>
      <c r="J1248" t="s">
        <v>471</v>
      </c>
      <c r="K1248" t="s">
        <v>25</v>
      </c>
      <c r="L1248" t="s">
        <v>26</v>
      </c>
      <c r="M1248" t="s">
        <v>27</v>
      </c>
      <c r="N1248" s="1">
        <v>18629</v>
      </c>
      <c r="O1248">
        <v>0</v>
      </c>
      <c r="P1248">
        <v>0</v>
      </c>
      <c r="Q1248" t="s">
        <v>37</v>
      </c>
      <c r="R1248" t="s">
        <v>29</v>
      </c>
      <c r="S1248" t="s">
        <v>3609</v>
      </c>
      <c r="T1248" t="s">
        <v>3610</v>
      </c>
    </row>
    <row r="1249" spans="1:20" x14ac:dyDescent="0.25">
      <c r="A1249" t="s">
        <v>3742</v>
      </c>
      <c r="B1249" t="str">
        <f>"9021"</f>
        <v>9021</v>
      </c>
      <c r="C1249" t="str">
        <f>"287829021"</f>
        <v>287829021</v>
      </c>
      <c r="D1249" t="s">
        <v>3743</v>
      </c>
      <c r="E1249" t="s">
        <v>3744</v>
      </c>
      <c r="F1249" t="s">
        <v>629</v>
      </c>
      <c r="G1249" s="1">
        <v>28970</v>
      </c>
      <c r="H1249" s="1">
        <v>41288</v>
      </c>
      <c r="I1249" t="str">
        <f t="shared" si="25"/>
        <v>51</v>
      </c>
      <c r="J1249" t="s">
        <v>471</v>
      </c>
      <c r="K1249" t="s">
        <v>25</v>
      </c>
      <c r="L1249" t="s">
        <v>26</v>
      </c>
      <c r="M1249" t="s">
        <v>27</v>
      </c>
      <c r="N1249" s="1">
        <v>18629</v>
      </c>
      <c r="O1249">
        <v>0</v>
      </c>
      <c r="P1249">
        <v>0</v>
      </c>
      <c r="Q1249" t="s">
        <v>37</v>
      </c>
      <c r="R1249" t="s">
        <v>29</v>
      </c>
      <c r="S1249" t="s">
        <v>138</v>
      </c>
      <c r="T1249" t="s">
        <v>139</v>
      </c>
    </row>
    <row r="1250" spans="1:20" x14ac:dyDescent="0.25">
      <c r="A1250" t="s">
        <v>3745</v>
      </c>
      <c r="B1250" t="str">
        <f>"8372"</f>
        <v>8372</v>
      </c>
      <c r="C1250" t="str">
        <f>"294448372"</f>
        <v>294448372</v>
      </c>
      <c r="D1250" t="s">
        <v>3746</v>
      </c>
      <c r="E1250" t="s">
        <v>3747</v>
      </c>
      <c r="F1250" t="s">
        <v>219</v>
      </c>
      <c r="G1250" s="1">
        <v>18743</v>
      </c>
      <c r="H1250" s="1">
        <v>41288</v>
      </c>
      <c r="I1250" t="str">
        <f t="shared" si="25"/>
        <v>51</v>
      </c>
      <c r="J1250" t="s">
        <v>471</v>
      </c>
      <c r="K1250" t="s">
        <v>25</v>
      </c>
      <c r="L1250" t="s">
        <v>26</v>
      </c>
      <c r="M1250" t="s">
        <v>27</v>
      </c>
      <c r="N1250" s="1">
        <v>18629</v>
      </c>
      <c r="O1250">
        <v>0</v>
      </c>
      <c r="P1250">
        <v>0</v>
      </c>
      <c r="Q1250" t="s">
        <v>28</v>
      </c>
      <c r="R1250" t="s">
        <v>71</v>
      </c>
      <c r="S1250" t="s">
        <v>305</v>
      </c>
      <c r="T1250" t="s">
        <v>306</v>
      </c>
    </row>
    <row r="1251" spans="1:20" x14ac:dyDescent="0.25">
      <c r="A1251" t="s">
        <v>3748</v>
      </c>
      <c r="B1251" t="str">
        <f>"4374"</f>
        <v>4374</v>
      </c>
      <c r="C1251" t="str">
        <f>"297824374"</f>
        <v>297824374</v>
      </c>
      <c r="D1251" t="s">
        <v>3749</v>
      </c>
      <c r="E1251" t="s">
        <v>469</v>
      </c>
      <c r="G1251" s="1">
        <v>31117</v>
      </c>
      <c r="H1251" s="1">
        <v>41288</v>
      </c>
      <c r="I1251" t="str">
        <f t="shared" si="25"/>
        <v>51</v>
      </c>
      <c r="J1251" t="s">
        <v>471</v>
      </c>
      <c r="K1251" t="s">
        <v>25</v>
      </c>
      <c r="L1251" t="s">
        <v>26</v>
      </c>
      <c r="M1251" t="s">
        <v>27</v>
      </c>
      <c r="N1251" s="1">
        <v>18629</v>
      </c>
      <c r="O1251">
        <v>0</v>
      </c>
      <c r="P1251">
        <v>0</v>
      </c>
      <c r="Q1251" t="s">
        <v>37</v>
      </c>
      <c r="R1251" t="s">
        <v>71</v>
      </c>
      <c r="S1251" t="s">
        <v>3750</v>
      </c>
      <c r="T1251" t="s">
        <v>3751</v>
      </c>
    </row>
    <row r="1252" spans="1:20" x14ac:dyDescent="0.25">
      <c r="A1252" t="s">
        <v>3752</v>
      </c>
      <c r="B1252" t="str">
        <f>"3554"</f>
        <v>3554</v>
      </c>
      <c r="C1252" t="str">
        <f>"095363554"</f>
        <v>095363554</v>
      </c>
      <c r="D1252" t="s">
        <v>3753</v>
      </c>
      <c r="E1252" t="s">
        <v>628</v>
      </c>
      <c r="F1252" t="s">
        <v>93</v>
      </c>
      <c r="G1252" s="1">
        <v>17210</v>
      </c>
      <c r="H1252" s="1">
        <v>41288</v>
      </c>
      <c r="I1252" t="str">
        <f t="shared" si="25"/>
        <v>51</v>
      </c>
      <c r="J1252" t="s">
        <v>471</v>
      </c>
      <c r="K1252" t="s">
        <v>25</v>
      </c>
      <c r="L1252" t="s">
        <v>26</v>
      </c>
      <c r="M1252" t="s">
        <v>27</v>
      </c>
      <c r="N1252" s="1">
        <v>18629</v>
      </c>
      <c r="O1252">
        <v>0</v>
      </c>
      <c r="P1252">
        <v>0</v>
      </c>
      <c r="Q1252" t="s">
        <v>37</v>
      </c>
      <c r="R1252" t="s">
        <v>29</v>
      </c>
      <c r="S1252" t="s">
        <v>1513</v>
      </c>
      <c r="T1252" t="s">
        <v>1514</v>
      </c>
    </row>
    <row r="1253" spans="1:20" x14ac:dyDescent="0.25">
      <c r="A1253" t="s">
        <v>3754</v>
      </c>
      <c r="B1253" t="str">
        <f>"1155"</f>
        <v>1155</v>
      </c>
      <c r="C1253" t="str">
        <f>"533861155"</f>
        <v>533861155</v>
      </c>
      <c r="D1253" t="s">
        <v>3755</v>
      </c>
      <c r="E1253" t="s">
        <v>3756</v>
      </c>
      <c r="F1253" t="s">
        <v>329</v>
      </c>
      <c r="G1253" s="1">
        <v>28676</v>
      </c>
      <c r="H1253" s="1">
        <v>41288</v>
      </c>
      <c r="I1253" t="str">
        <f t="shared" si="25"/>
        <v>51</v>
      </c>
      <c r="J1253" t="s">
        <v>471</v>
      </c>
      <c r="K1253" t="s">
        <v>25</v>
      </c>
      <c r="L1253" t="s">
        <v>26</v>
      </c>
      <c r="M1253" t="s">
        <v>27</v>
      </c>
      <c r="N1253" s="1">
        <v>18629</v>
      </c>
      <c r="O1253">
        <v>0</v>
      </c>
      <c r="P1253">
        <v>0</v>
      </c>
      <c r="Q1253" t="s">
        <v>28</v>
      </c>
      <c r="R1253" t="s">
        <v>71</v>
      </c>
      <c r="S1253" t="s">
        <v>923</v>
      </c>
      <c r="T1253" t="s">
        <v>924</v>
      </c>
    </row>
    <row r="1254" spans="1:20" x14ac:dyDescent="0.25">
      <c r="A1254" t="s">
        <v>3757</v>
      </c>
      <c r="B1254" t="str">
        <f>"2689"</f>
        <v>2689</v>
      </c>
      <c r="C1254" t="str">
        <f>"288462689"</f>
        <v>288462689</v>
      </c>
      <c r="D1254" t="s">
        <v>563</v>
      </c>
      <c r="E1254" t="s">
        <v>33</v>
      </c>
      <c r="F1254" t="s">
        <v>282</v>
      </c>
      <c r="G1254" s="1">
        <v>17182</v>
      </c>
      <c r="H1254" s="1">
        <v>41288</v>
      </c>
      <c r="I1254" t="str">
        <f t="shared" si="25"/>
        <v>51</v>
      </c>
      <c r="J1254" t="s">
        <v>471</v>
      </c>
      <c r="K1254" t="s">
        <v>25</v>
      </c>
      <c r="L1254" t="s">
        <v>26</v>
      </c>
      <c r="M1254" t="s">
        <v>27</v>
      </c>
      <c r="N1254" s="1">
        <v>18629</v>
      </c>
      <c r="O1254">
        <v>0</v>
      </c>
      <c r="P1254">
        <v>0</v>
      </c>
      <c r="Q1254" t="s">
        <v>28</v>
      </c>
      <c r="R1254" t="s">
        <v>51</v>
      </c>
      <c r="S1254" t="s">
        <v>717</v>
      </c>
      <c r="T1254" t="s">
        <v>718</v>
      </c>
    </row>
    <row r="1255" spans="1:20" x14ac:dyDescent="0.25">
      <c r="A1255" t="s">
        <v>3758</v>
      </c>
      <c r="B1255" t="str">
        <f>"9985"</f>
        <v>9985</v>
      </c>
      <c r="C1255" t="str">
        <f>"285829985"</f>
        <v>285829985</v>
      </c>
      <c r="D1255" t="s">
        <v>3759</v>
      </c>
      <c r="E1255" t="s">
        <v>3760</v>
      </c>
      <c r="F1255" t="s">
        <v>44</v>
      </c>
      <c r="G1255" s="1">
        <v>29079</v>
      </c>
      <c r="H1255" s="1">
        <v>41288</v>
      </c>
      <c r="I1255" t="str">
        <f t="shared" si="25"/>
        <v>51</v>
      </c>
      <c r="J1255" t="s">
        <v>471</v>
      </c>
      <c r="K1255" t="s">
        <v>25</v>
      </c>
      <c r="L1255" t="s">
        <v>26</v>
      </c>
      <c r="M1255" t="s">
        <v>27</v>
      </c>
      <c r="N1255" s="1">
        <v>18629</v>
      </c>
      <c r="O1255">
        <v>0</v>
      </c>
      <c r="P1255">
        <v>0</v>
      </c>
      <c r="Q1255" t="s">
        <v>37</v>
      </c>
      <c r="R1255" t="s">
        <v>51</v>
      </c>
      <c r="S1255" s="2" t="s">
        <v>1568</v>
      </c>
      <c r="T1255" t="s">
        <v>1569</v>
      </c>
    </row>
    <row r="1256" spans="1:20" x14ac:dyDescent="0.25">
      <c r="A1256" t="s">
        <v>3761</v>
      </c>
      <c r="B1256" t="str">
        <f>"4046"</f>
        <v>4046</v>
      </c>
      <c r="C1256" t="str">
        <f>"279784046"</f>
        <v>279784046</v>
      </c>
      <c r="D1256" t="s">
        <v>3762</v>
      </c>
      <c r="E1256" t="s">
        <v>35</v>
      </c>
      <c r="F1256" t="s">
        <v>165</v>
      </c>
      <c r="G1256" s="1">
        <v>24731</v>
      </c>
      <c r="H1256" s="1">
        <v>41288</v>
      </c>
      <c r="I1256" t="str">
        <f t="shared" si="25"/>
        <v>51</v>
      </c>
      <c r="J1256" t="s">
        <v>471</v>
      </c>
      <c r="K1256" t="s">
        <v>25</v>
      </c>
      <c r="L1256" t="s">
        <v>26</v>
      </c>
      <c r="M1256" t="s">
        <v>27</v>
      </c>
      <c r="N1256" s="1">
        <v>18629</v>
      </c>
      <c r="O1256">
        <v>0</v>
      </c>
      <c r="P1256">
        <v>0</v>
      </c>
      <c r="Q1256" t="s">
        <v>28</v>
      </c>
      <c r="R1256" t="s">
        <v>29</v>
      </c>
      <c r="S1256" t="s">
        <v>3763</v>
      </c>
      <c r="T1256" t="s">
        <v>3764</v>
      </c>
    </row>
    <row r="1257" spans="1:20" x14ac:dyDescent="0.25">
      <c r="A1257" t="s">
        <v>3765</v>
      </c>
      <c r="B1257" t="str">
        <f>"2735"</f>
        <v>2735</v>
      </c>
      <c r="C1257" t="str">
        <f>"284482735"</f>
        <v>284482735</v>
      </c>
      <c r="D1257" t="s">
        <v>3766</v>
      </c>
      <c r="E1257" t="s">
        <v>233</v>
      </c>
      <c r="F1257" t="s">
        <v>629</v>
      </c>
      <c r="G1257" s="1">
        <v>17725</v>
      </c>
      <c r="H1257" s="1">
        <v>41288</v>
      </c>
      <c r="I1257" t="str">
        <f>"41"</f>
        <v>41</v>
      </c>
      <c r="J1257" t="s">
        <v>24</v>
      </c>
      <c r="K1257" t="s">
        <v>25</v>
      </c>
      <c r="L1257" t="s">
        <v>26</v>
      </c>
      <c r="M1257" t="s">
        <v>27</v>
      </c>
      <c r="N1257" s="1">
        <v>18629</v>
      </c>
      <c r="O1257">
        <v>0</v>
      </c>
      <c r="P1257">
        <v>0</v>
      </c>
      <c r="Q1257" t="s">
        <v>28</v>
      </c>
      <c r="R1257" t="s">
        <v>258</v>
      </c>
      <c r="S1257" t="s">
        <v>533</v>
      </c>
      <c r="T1257" t="s">
        <v>534</v>
      </c>
    </row>
    <row r="1258" spans="1:20" x14ac:dyDescent="0.25">
      <c r="A1258" t="s">
        <v>3767</v>
      </c>
      <c r="B1258" t="str">
        <f>"8491"</f>
        <v>8491</v>
      </c>
      <c r="C1258" t="str">
        <f>"270848491"</f>
        <v>270848491</v>
      </c>
      <c r="D1258" t="s">
        <v>2441</v>
      </c>
      <c r="E1258" t="s">
        <v>588</v>
      </c>
      <c r="F1258" t="s">
        <v>165</v>
      </c>
      <c r="G1258" s="1">
        <v>26704</v>
      </c>
      <c r="H1258" s="1">
        <v>41288</v>
      </c>
      <c r="I1258" t="str">
        <f>"51"</f>
        <v>51</v>
      </c>
      <c r="J1258" t="s">
        <v>471</v>
      </c>
      <c r="K1258" t="s">
        <v>25</v>
      </c>
      <c r="L1258" t="s">
        <v>26</v>
      </c>
      <c r="M1258" t="s">
        <v>27</v>
      </c>
      <c r="N1258" s="1">
        <v>18629</v>
      </c>
      <c r="O1258">
        <v>0</v>
      </c>
      <c r="P1258">
        <v>0</v>
      </c>
      <c r="Q1258" t="s">
        <v>28</v>
      </c>
      <c r="R1258" t="s">
        <v>71</v>
      </c>
      <c r="S1258" t="s">
        <v>1474</v>
      </c>
      <c r="T1258" t="s">
        <v>1475</v>
      </c>
    </row>
    <row r="1259" spans="1:20" x14ac:dyDescent="0.25">
      <c r="A1259" t="s">
        <v>3768</v>
      </c>
      <c r="B1259" t="str">
        <f>"3791"</f>
        <v>3791</v>
      </c>
      <c r="C1259" t="str">
        <f>"282843791"</f>
        <v>282843791</v>
      </c>
      <c r="D1259" t="s">
        <v>3769</v>
      </c>
      <c r="E1259" t="s">
        <v>35</v>
      </c>
      <c r="F1259" t="s">
        <v>97</v>
      </c>
      <c r="G1259" s="1">
        <v>29098</v>
      </c>
      <c r="H1259" s="1">
        <v>41288</v>
      </c>
      <c r="I1259" t="str">
        <f>"51"</f>
        <v>51</v>
      </c>
      <c r="J1259" t="s">
        <v>471</v>
      </c>
      <c r="K1259" t="s">
        <v>25</v>
      </c>
      <c r="L1259" t="s">
        <v>26</v>
      </c>
      <c r="M1259" t="s">
        <v>27</v>
      </c>
      <c r="N1259" s="1">
        <v>18629</v>
      </c>
      <c r="O1259">
        <v>0</v>
      </c>
      <c r="P1259">
        <v>0</v>
      </c>
      <c r="Q1259" t="s">
        <v>28</v>
      </c>
      <c r="R1259" t="s">
        <v>71</v>
      </c>
      <c r="S1259" t="s">
        <v>1513</v>
      </c>
      <c r="T1259" t="s">
        <v>1514</v>
      </c>
    </row>
    <row r="1260" spans="1:20" x14ac:dyDescent="0.25">
      <c r="A1260" t="s">
        <v>3770</v>
      </c>
      <c r="B1260" t="str">
        <f>"0033"</f>
        <v>0033</v>
      </c>
      <c r="C1260" t="str">
        <f>"299760033"</f>
        <v>299760033</v>
      </c>
      <c r="D1260" t="s">
        <v>2064</v>
      </c>
      <c r="E1260" t="s">
        <v>3412</v>
      </c>
      <c r="F1260" t="s">
        <v>97</v>
      </c>
      <c r="G1260" s="1">
        <v>23872</v>
      </c>
      <c r="H1260" s="1">
        <v>41288</v>
      </c>
      <c r="I1260" t="str">
        <f>"41"</f>
        <v>41</v>
      </c>
      <c r="J1260" t="s">
        <v>24</v>
      </c>
      <c r="K1260" t="s">
        <v>25</v>
      </c>
      <c r="L1260" t="s">
        <v>26</v>
      </c>
      <c r="M1260" t="s">
        <v>27</v>
      </c>
      <c r="N1260" s="1">
        <v>18629</v>
      </c>
      <c r="O1260">
        <v>0</v>
      </c>
      <c r="P1260">
        <v>0</v>
      </c>
      <c r="Q1260" t="s">
        <v>28</v>
      </c>
      <c r="R1260" t="s">
        <v>258</v>
      </c>
      <c r="S1260" t="s">
        <v>533</v>
      </c>
      <c r="T1260" t="s">
        <v>534</v>
      </c>
    </row>
    <row r="1261" spans="1:20" x14ac:dyDescent="0.25">
      <c r="A1261" t="s">
        <v>3771</v>
      </c>
      <c r="B1261" t="str">
        <f>"9044"</f>
        <v>9044</v>
      </c>
      <c r="C1261" t="str">
        <f>"301869044"</f>
        <v>301869044</v>
      </c>
      <c r="D1261" t="s">
        <v>114</v>
      </c>
      <c r="E1261" t="s">
        <v>3772</v>
      </c>
      <c r="F1261" t="s">
        <v>174</v>
      </c>
      <c r="G1261" s="1">
        <v>31315</v>
      </c>
      <c r="H1261" s="1">
        <v>41288</v>
      </c>
      <c r="I1261" t="str">
        <f>"51"</f>
        <v>51</v>
      </c>
      <c r="J1261" t="s">
        <v>471</v>
      </c>
      <c r="K1261" t="s">
        <v>25</v>
      </c>
      <c r="L1261" t="s">
        <v>26</v>
      </c>
      <c r="M1261" t="s">
        <v>27</v>
      </c>
      <c r="N1261" s="1">
        <v>18629</v>
      </c>
      <c r="O1261">
        <v>0</v>
      </c>
      <c r="P1261">
        <v>0</v>
      </c>
      <c r="Q1261" t="s">
        <v>28</v>
      </c>
      <c r="R1261" t="s">
        <v>29</v>
      </c>
      <c r="S1261" t="s">
        <v>3543</v>
      </c>
      <c r="T1261" t="s">
        <v>3544</v>
      </c>
    </row>
    <row r="1262" spans="1:20" x14ac:dyDescent="0.25">
      <c r="A1262" t="s">
        <v>3773</v>
      </c>
      <c r="B1262" t="str">
        <f>"6271"</f>
        <v>6271</v>
      </c>
      <c r="C1262" t="str">
        <f>"279786271"</f>
        <v>279786271</v>
      </c>
      <c r="D1262" t="s">
        <v>3774</v>
      </c>
      <c r="E1262" t="s">
        <v>598</v>
      </c>
      <c r="F1262" t="s">
        <v>3775</v>
      </c>
      <c r="G1262" s="1">
        <v>27006</v>
      </c>
      <c r="H1262" s="1">
        <v>41288</v>
      </c>
      <c r="I1262" t="str">
        <f>"51"</f>
        <v>51</v>
      </c>
      <c r="J1262" t="s">
        <v>471</v>
      </c>
      <c r="K1262" t="s">
        <v>25</v>
      </c>
      <c r="L1262" t="s">
        <v>26</v>
      </c>
      <c r="M1262" t="s">
        <v>27</v>
      </c>
      <c r="N1262" s="1">
        <v>18629</v>
      </c>
      <c r="O1262">
        <v>0</v>
      </c>
      <c r="P1262">
        <v>0</v>
      </c>
      <c r="Q1262" t="s">
        <v>37</v>
      </c>
      <c r="R1262" t="s">
        <v>29</v>
      </c>
      <c r="S1262" t="s">
        <v>1427</v>
      </c>
      <c r="T1262" t="s">
        <v>1428</v>
      </c>
    </row>
    <row r="1263" spans="1:20" x14ac:dyDescent="0.25">
      <c r="A1263" t="s">
        <v>3776</v>
      </c>
      <c r="B1263" t="str">
        <f>"7732"</f>
        <v>7732</v>
      </c>
      <c r="C1263" t="str">
        <f>"299667732"</f>
        <v>299667732</v>
      </c>
      <c r="D1263" t="s">
        <v>3777</v>
      </c>
      <c r="E1263" t="s">
        <v>2455</v>
      </c>
      <c r="F1263" t="s">
        <v>44</v>
      </c>
      <c r="G1263" s="1">
        <v>22097</v>
      </c>
      <c r="H1263" s="1">
        <v>41288</v>
      </c>
      <c r="I1263" t="str">
        <f>"51"</f>
        <v>51</v>
      </c>
      <c r="J1263" t="s">
        <v>471</v>
      </c>
      <c r="K1263" t="s">
        <v>25</v>
      </c>
      <c r="L1263" t="s">
        <v>26</v>
      </c>
      <c r="M1263" t="s">
        <v>27</v>
      </c>
      <c r="N1263" s="1">
        <v>18629</v>
      </c>
      <c r="O1263">
        <v>0</v>
      </c>
      <c r="P1263">
        <v>0</v>
      </c>
      <c r="Q1263" t="s">
        <v>37</v>
      </c>
      <c r="R1263" t="s">
        <v>51</v>
      </c>
      <c r="S1263" s="2" t="s">
        <v>3778</v>
      </c>
      <c r="T1263" t="s">
        <v>3779</v>
      </c>
    </row>
    <row r="1264" spans="1:20" x14ac:dyDescent="0.25">
      <c r="A1264" t="s">
        <v>3780</v>
      </c>
      <c r="B1264" t="str">
        <f>"5154"</f>
        <v>5154</v>
      </c>
      <c r="C1264" t="str">
        <f>"298965154"</f>
        <v>298965154</v>
      </c>
      <c r="D1264" t="s">
        <v>3781</v>
      </c>
      <c r="E1264" t="s">
        <v>410</v>
      </c>
      <c r="F1264" t="s">
        <v>165</v>
      </c>
      <c r="G1264" s="1">
        <v>34452</v>
      </c>
      <c r="H1264" s="1">
        <v>41281</v>
      </c>
      <c r="I1264" t="str">
        <f>"34"</f>
        <v>34</v>
      </c>
      <c r="J1264" t="s">
        <v>388</v>
      </c>
      <c r="K1264" t="s">
        <v>25</v>
      </c>
      <c r="L1264" t="s">
        <v>26</v>
      </c>
      <c r="M1264" t="s">
        <v>27</v>
      </c>
      <c r="N1264" s="1">
        <v>18629</v>
      </c>
      <c r="O1264">
        <v>0</v>
      </c>
      <c r="P1264">
        <v>0</v>
      </c>
      <c r="Q1264" t="s">
        <v>28</v>
      </c>
      <c r="R1264" t="s">
        <v>29</v>
      </c>
      <c r="S1264" t="s">
        <v>615</v>
      </c>
      <c r="T1264" t="s">
        <v>616</v>
      </c>
    </row>
    <row r="1265" spans="1:20" x14ac:dyDescent="0.25">
      <c r="A1265" t="s">
        <v>3782</v>
      </c>
      <c r="B1265" t="str">
        <f>"0509"</f>
        <v>0509</v>
      </c>
      <c r="C1265" t="str">
        <f>"280660509"</f>
        <v>280660509</v>
      </c>
      <c r="D1265" t="s">
        <v>3783</v>
      </c>
      <c r="E1265" t="s">
        <v>1589</v>
      </c>
      <c r="F1265" t="s">
        <v>28</v>
      </c>
      <c r="G1265" s="1">
        <v>21595</v>
      </c>
      <c r="H1265" s="1">
        <v>41281</v>
      </c>
      <c r="I1265" t="str">
        <f>"30"</f>
        <v>30</v>
      </c>
      <c r="J1265" t="s">
        <v>50</v>
      </c>
      <c r="K1265" t="s">
        <v>25</v>
      </c>
      <c r="L1265" t="s">
        <v>26</v>
      </c>
      <c r="M1265" t="s">
        <v>27</v>
      </c>
      <c r="N1265" s="1">
        <v>18629</v>
      </c>
      <c r="O1265">
        <v>0</v>
      </c>
      <c r="P1265">
        <v>0</v>
      </c>
      <c r="Q1265" t="s">
        <v>37</v>
      </c>
      <c r="R1265" t="s">
        <v>51</v>
      </c>
      <c r="S1265" t="s">
        <v>795</v>
      </c>
      <c r="T1265" t="s">
        <v>796</v>
      </c>
    </row>
    <row r="1266" spans="1:20" x14ac:dyDescent="0.25">
      <c r="A1266" t="s">
        <v>3784</v>
      </c>
      <c r="B1266" t="str">
        <f>"5560"</f>
        <v>5560</v>
      </c>
      <c r="C1266" t="str">
        <f>"280545560"</f>
        <v>280545560</v>
      </c>
      <c r="D1266" t="s">
        <v>3785</v>
      </c>
      <c r="E1266" t="s">
        <v>2786</v>
      </c>
      <c r="F1266" t="s">
        <v>264</v>
      </c>
      <c r="G1266" s="1">
        <v>20798</v>
      </c>
      <c r="H1266" s="1">
        <v>41281</v>
      </c>
      <c r="I1266" t="str">
        <f>"03"</f>
        <v>03</v>
      </c>
      <c r="J1266" t="s">
        <v>70</v>
      </c>
      <c r="K1266" t="s">
        <v>98</v>
      </c>
      <c r="L1266" t="s">
        <v>37</v>
      </c>
      <c r="M1266" t="s">
        <v>117</v>
      </c>
      <c r="N1266" s="1">
        <v>41617</v>
      </c>
      <c r="O1266">
        <v>4951.96</v>
      </c>
      <c r="P1266">
        <v>1237.8599999999999</v>
      </c>
      <c r="Q1266" t="s">
        <v>37</v>
      </c>
      <c r="R1266" t="s">
        <v>29</v>
      </c>
      <c r="S1266" t="s">
        <v>138</v>
      </c>
      <c r="T1266" t="s">
        <v>139</v>
      </c>
    </row>
    <row r="1267" spans="1:20" x14ac:dyDescent="0.25">
      <c r="A1267" t="s">
        <v>3786</v>
      </c>
      <c r="B1267" t="str">
        <f>"0633"</f>
        <v>0633</v>
      </c>
      <c r="C1267" t="str">
        <f>"595620633"</f>
        <v>595620633</v>
      </c>
      <c r="D1267" t="s">
        <v>1323</v>
      </c>
      <c r="E1267" t="s">
        <v>466</v>
      </c>
      <c r="F1267" t="s">
        <v>264</v>
      </c>
      <c r="G1267" s="1">
        <v>30143</v>
      </c>
      <c r="H1267" s="1">
        <v>41281</v>
      </c>
      <c r="I1267" t="str">
        <f>"01"</f>
        <v>01</v>
      </c>
      <c r="J1267" t="s">
        <v>116</v>
      </c>
      <c r="K1267" t="s">
        <v>98</v>
      </c>
      <c r="L1267" t="s">
        <v>37</v>
      </c>
      <c r="M1267" t="s">
        <v>99</v>
      </c>
      <c r="N1267" s="1">
        <v>41617</v>
      </c>
      <c r="O1267">
        <v>14801.8</v>
      </c>
      <c r="P1267">
        <v>3700.32</v>
      </c>
      <c r="Q1267" t="s">
        <v>28</v>
      </c>
      <c r="R1267" t="s">
        <v>29</v>
      </c>
      <c r="S1267" t="s">
        <v>3444</v>
      </c>
      <c r="T1267" t="s">
        <v>3445</v>
      </c>
    </row>
    <row r="1268" spans="1:20" x14ac:dyDescent="0.25">
      <c r="A1268" t="s">
        <v>3787</v>
      </c>
      <c r="B1268" t="str">
        <f>"2024"</f>
        <v>2024</v>
      </c>
      <c r="C1268" t="str">
        <f>"240592024"</f>
        <v>240592024</v>
      </c>
      <c r="D1268" t="s">
        <v>3788</v>
      </c>
      <c r="E1268" t="s">
        <v>48</v>
      </c>
      <c r="F1268" t="s">
        <v>165</v>
      </c>
      <c r="G1268" s="1">
        <v>29298</v>
      </c>
      <c r="H1268" s="1">
        <v>41281</v>
      </c>
      <c r="I1268" t="str">
        <f>"20"</f>
        <v>20</v>
      </c>
      <c r="J1268" t="s">
        <v>123</v>
      </c>
      <c r="K1268" t="s">
        <v>98</v>
      </c>
      <c r="L1268" t="s">
        <v>37</v>
      </c>
      <c r="M1268" t="s">
        <v>99</v>
      </c>
      <c r="N1268" s="1">
        <v>41631</v>
      </c>
      <c r="O1268">
        <v>14801.82</v>
      </c>
      <c r="P1268">
        <v>3700.4</v>
      </c>
      <c r="Q1268" t="s">
        <v>37</v>
      </c>
      <c r="R1268" t="s">
        <v>29</v>
      </c>
      <c r="S1268" t="s">
        <v>1707</v>
      </c>
      <c r="T1268" t="s">
        <v>1708</v>
      </c>
    </row>
    <row r="1269" spans="1:20" x14ac:dyDescent="0.25">
      <c r="A1269" t="s">
        <v>3789</v>
      </c>
      <c r="B1269" t="str">
        <f>"3241"</f>
        <v>3241</v>
      </c>
      <c r="C1269" t="str">
        <f>"285563241"</f>
        <v>285563241</v>
      </c>
      <c r="D1269" t="s">
        <v>3790</v>
      </c>
      <c r="E1269" t="s">
        <v>179</v>
      </c>
      <c r="F1269" t="s">
        <v>219</v>
      </c>
      <c r="G1269" s="1">
        <v>20684</v>
      </c>
      <c r="H1269" s="1">
        <v>41281</v>
      </c>
      <c r="I1269" t="str">
        <f>"30"</f>
        <v>30</v>
      </c>
      <c r="J1269" t="s">
        <v>50</v>
      </c>
      <c r="K1269" t="s">
        <v>25</v>
      </c>
      <c r="L1269" t="s">
        <v>26</v>
      </c>
      <c r="M1269" t="s">
        <v>27</v>
      </c>
      <c r="N1269" s="1">
        <v>18629</v>
      </c>
      <c r="O1269">
        <v>0</v>
      </c>
      <c r="P1269">
        <v>0</v>
      </c>
      <c r="Q1269" t="s">
        <v>28</v>
      </c>
      <c r="R1269" t="s">
        <v>71</v>
      </c>
      <c r="S1269" t="s">
        <v>584</v>
      </c>
      <c r="T1269" t="s">
        <v>585</v>
      </c>
    </row>
    <row r="1270" spans="1:20" x14ac:dyDescent="0.25">
      <c r="A1270" t="s">
        <v>3791</v>
      </c>
      <c r="B1270" t="str">
        <f>"4065"</f>
        <v>4065</v>
      </c>
      <c r="C1270" t="str">
        <f>"287744065"</f>
        <v>287744065</v>
      </c>
      <c r="D1270" t="s">
        <v>663</v>
      </c>
      <c r="E1270" t="s">
        <v>1450</v>
      </c>
      <c r="F1270" t="s">
        <v>44</v>
      </c>
      <c r="G1270" s="1">
        <v>28757</v>
      </c>
      <c r="H1270" s="1">
        <v>41281</v>
      </c>
      <c r="I1270" t="str">
        <f>"41"</f>
        <v>41</v>
      </c>
      <c r="J1270" t="s">
        <v>24</v>
      </c>
      <c r="K1270" t="s">
        <v>25</v>
      </c>
      <c r="L1270" t="s">
        <v>26</v>
      </c>
      <c r="M1270" t="s">
        <v>27</v>
      </c>
      <c r="N1270" s="1">
        <v>18629</v>
      </c>
      <c r="O1270">
        <v>0</v>
      </c>
      <c r="P1270">
        <v>0</v>
      </c>
      <c r="Q1270" t="s">
        <v>37</v>
      </c>
      <c r="R1270" t="s">
        <v>110</v>
      </c>
      <c r="S1270" t="s">
        <v>3792</v>
      </c>
      <c r="T1270" t="s">
        <v>3793</v>
      </c>
    </row>
    <row r="1271" spans="1:20" x14ac:dyDescent="0.25">
      <c r="A1271" t="s">
        <v>3794</v>
      </c>
      <c r="B1271" t="str">
        <f>"8658"</f>
        <v>8658</v>
      </c>
      <c r="C1271" t="str">
        <f>"459638658"</f>
        <v>459638658</v>
      </c>
      <c r="D1271" t="s">
        <v>3795</v>
      </c>
      <c r="E1271" t="s">
        <v>146</v>
      </c>
      <c r="F1271" t="s">
        <v>219</v>
      </c>
      <c r="G1271" s="1">
        <v>30351</v>
      </c>
      <c r="H1271" s="1">
        <v>41281</v>
      </c>
      <c r="I1271" t="str">
        <f>"15"</f>
        <v>15</v>
      </c>
      <c r="J1271" t="s">
        <v>36</v>
      </c>
      <c r="K1271" t="s">
        <v>98</v>
      </c>
      <c r="L1271" t="s">
        <v>37</v>
      </c>
      <c r="M1271" t="s">
        <v>257</v>
      </c>
      <c r="N1271" s="1">
        <v>41813</v>
      </c>
      <c r="O1271">
        <v>10753.08</v>
      </c>
      <c r="P1271">
        <v>2688.4</v>
      </c>
      <c r="Q1271" t="s">
        <v>37</v>
      </c>
      <c r="R1271" t="s">
        <v>38</v>
      </c>
      <c r="S1271" t="s">
        <v>1819</v>
      </c>
      <c r="T1271" t="s">
        <v>1820</v>
      </c>
    </row>
    <row r="1272" spans="1:20" x14ac:dyDescent="0.25">
      <c r="A1272" t="s">
        <v>3796</v>
      </c>
      <c r="B1272" t="str">
        <f>"4049"</f>
        <v>4049</v>
      </c>
      <c r="C1272" t="str">
        <f>"525064049"</f>
        <v>525064049</v>
      </c>
      <c r="D1272" t="s">
        <v>3797</v>
      </c>
      <c r="E1272" t="s">
        <v>3798</v>
      </c>
      <c r="F1272" t="s">
        <v>93</v>
      </c>
      <c r="G1272" s="1">
        <v>21841</v>
      </c>
      <c r="H1272" s="1">
        <v>41281</v>
      </c>
      <c r="I1272" t="str">
        <f>"41"</f>
        <v>41</v>
      </c>
      <c r="J1272" t="s">
        <v>24</v>
      </c>
      <c r="K1272" t="s">
        <v>25</v>
      </c>
      <c r="L1272" t="s">
        <v>26</v>
      </c>
      <c r="M1272" t="s">
        <v>27</v>
      </c>
      <c r="N1272" s="1">
        <v>18629</v>
      </c>
      <c r="O1272">
        <v>0</v>
      </c>
      <c r="P1272">
        <v>0</v>
      </c>
      <c r="Q1272" t="s">
        <v>28</v>
      </c>
      <c r="R1272" t="s">
        <v>38</v>
      </c>
      <c r="S1272" t="s">
        <v>982</v>
      </c>
      <c r="T1272" t="s">
        <v>983</v>
      </c>
    </row>
    <row r="1273" spans="1:20" x14ac:dyDescent="0.25">
      <c r="A1273" t="s">
        <v>3799</v>
      </c>
      <c r="B1273" t="str">
        <f>"9212"</f>
        <v>9212</v>
      </c>
      <c r="C1273" t="str">
        <f>"292869212"</f>
        <v>292869212</v>
      </c>
      <c r="D1273" t="s">
        <v>3800</v>
      </c>
      <c r="E1273" t="s">
        <v>3747</v>
      </c>
      <c r="G1273" s="1">
        <v>29969</v>
      </c>
      <c r="H1273" s="1">
        <v>41281</v>
      </c>
      <c r="I1273" t="str">
        <f>"52"</f>
        <v>52</v>
      </c>
      <c r="J1273" t="s">
        <v>330</v>
      </c>
      <c r="K1273" t="s">
        <v>25</v>
      </c>
      <c r="L1273" t="s">
        <v>26</v>
      </c>
      <c r="M1273" t="s">
        <v>27</v>
      </c>
      <c r="N1273" s="1">
        <v>18629</v>
      </c>
      <c r="O1273">
        <v>0</v>
      </c>
      <c r="P1273">
        <v>0</v>
      </c>
      <c r="Q1273" t="s">
        <v>28</v>
      </c>
      <c r="R1273" t="s">
        <v>71</v>
      </c>
      <c r="S1273" s="2" t="s">
        <v>1148</v>
      </c>
      <c r="T1273" t="s">
        <v>1149</v>
      </c>
    </row>
    <row r="1274" spans="1:20" x14ac:dyDescent="0.25">
      <c r="A1274" t="s">
        <v>3801</v>
      </c>
      <c r="B1274" t="str">
        <f>"2909"</f>
        <v>2909</v>
      </c>
      <c r="C1274" t="str">
        <f>"286702909"</f>
        <v>286702909</v>
      </c>
      <c r="D1274" t="s">
        <v>3802</v>
      </c>
      <c r="E1274" t="s">
        <v>255</v>
      </c>
      <c r="F1274" t="s">
        <v>93</v>
      </c>
      <c r="G1274" s="1">
        <v>26976</v>
      </c>
      <c r="H1274" s="1">
        <v>41281</v>
      </c>
      <c r="I1274" t="str">
        <f>"20"</f>
        <v>20</v>
      </c>
      <c r="J1274" t="s">
        <v>123</v>
      </c>
      <c r="K1274" t="s">
        <v>510</v>
      </c>
      <c r="L1274" t="s">
        <v>37</v>
      </c>
      <c r="M1274" t="s">
        <v>99</v>
      </c>
      <c r="N1274" s="1">
        <v>41631</v>
      </c>
      <c r="O1274">
        <v>19521.919999999998</v>
      </c>
      <c r="P1274">
        <v>4880.4799999999996</v>
      </c>
      <c r="Q1274" t="s">
        <v>37</v>
      </c>
      <c r="R1274" t="s">
        <v>29</v>
      </c>
      <c r="S1274" t="s">
        <v>717</v>
      </c>
      <c r="T1274" t="s">
        <v>718</v>
      </c>
    </row>
    <row r="1275" spans="1:20" x14ac:dyDescent="0.25">
      <c r="A1275" t="s">
        <v>3803</v>
      </c>
      <c r="B1275" t="str">
        <f>"4272"</f>
        <v>4272</v>
      </c>
      <c r="C1275" t="str">
        <f>"282764272"</f>
        <v>282764272</v>
      </c>
      <c r="D1275" t="s">
        <v>3804</v>
      </c>
      <c r="E1275" t="s">
        <v>430</v>
      </c>
      <c r="F1275" t="s">
        <v>282</v>
      </c>
      <c r="G1275" s="1">
        <v>26281</v>
      </c>
      <c r="H1275" s="1">
        <v>41281</v>
      </c>
      <c r="I1275" t="str">
        <f>"20"</f>
        <v>20</v>
      </c>
      <c r="J1275" t="s">
        <v>123</v>
      </c>
      <c r="K1275" t="s">
        <v>175</v>
      </c>
      <c r="L1275" t="s">
        <v>37</v>
      </c>
      <c r="M1275" t="s">
        <v>117</v>
      </c>
      <c r="N1275" s="1">
        <v>41631</v>
      </c>
      <c r="O1275">
        <v>5288.8</v>
      </c>
      <c r="P1275">
        <v>1322.2</v>
      </c>
      <c r="Q1275" t="s">
        <v>28</v>
      </c>
      <c r="R1275" t="s">
        <v>29</v>
      </c>
      <c r="S1275" t="s">
        <v>185</v>
      </c>
      <c r="T1275" t="s">
        <v>186</v>
      </c>
    </row>
    <row r="1276" spans="1:20" x14ac:dyDescent="0.25">
      <c r="A1276" t="s">
        <v>3805</v>
      </c>
      <c r="B1276" t="str">
        <f>"5715"</f>
        <v>5715</v>
      </c>
      <c r="C1276" t="str">
        <f>"282785715"</f>
        <v>282785715</v>
      </c>
      <c r="D1276" t="s">
        <v>3806</v>
      </c>
      <c r="E1276" t="s">
        <v>499</v>
      </c>
      <c r="F1276" t="s">
        <v>93</v>
      </c>
      <c r="G1276" s="1">
        <v>26303</v>
      </c>
      <c r="H1276" s="1">
        <v>41281</v>
      </c>
      <c r="I1276" t="str">
        <f>"52"</f>
        <v>52</v>
      </c>
      <c r="J1276" t="s">
        <v>330</v>
      </c>
      <c r="K1276" t="s">
        <v>25</v>
      </c>
      <c r="L1276" t="s">
        <v>26</v>
      </c>
      <c r="M1276" t="s">
        <v>27</v>
      </c>
      <c r="N1276" s="1">
        <v>18629</v>
      </c>
      <c r="O1276">
        <v>0</v>
      </c>
      <c r="P1276">
        <v>0</v>
      </c>
      <c r="Q1276" t="s">
        <v>28</v>
      </c>
      <c r="R1276" t="s">
        <v>29</v>
      </c>
      <c r="S1276" t="s">
        <v>331</v>
      </c>
      <c r="T1276" t="s">
        <v>332</v>
      </c>
    </row>
    <row r="1277" spans="1:20" x14ac:dyDescent="0.25">
      <c r="A1277" t="s">
        <v>3807</v>
      </c>
      <c r="B1277" t="str">
        <f>"1037"</f>
        <v>1037</v>
      </c>
      <c r="C1277" t="str">
        <f>"280581037"</f>
        <v>280581037</v>
      </c>
      <c r="D1277" t="s">
        <v>1191</v>
      </c>
      <c r="E1277" t="s">
        <v>1589</v>
      </c>
      <c r="F1277" t="s">
        <v>28</v>
      </c>
      <c r="G1277" s="1">
        <v>20263</v>
      </c>
      <c r="H1277" s="1">
        <v>41281</v>
      </c>
      <c r="I1277" t="str">
        <f>"01"</f>
        <v>01</v>
      </c>
      <c r="J1277" t="s">
        <v>116</v>
      </c>
      <c r="K1277" t="s">
        <v>98</v>
      </c>
      <c r="L1277" t="s">
        <v>37</v>
      </c>
      <c r="M1277" t="s">
        <v>117</v>
      </c>
      <c r="N1277" s="1">
        <v>41617</v>
      </c>
      <c r="O1277">
        <v>4951.96</v>
      </c>
      <c r="P1277">
        <v>1237.8599999999999</v>
      </c>
      <c r="Q1277" t="s">
        <v>37</v>
      </c>
      <c r="R1277" t="s">
        <v>38</v>
      </c>
      <c r="S1277" t="s">
        <v>39</v>
      </c>
      <c r="T1277" t="s">
        <v>40</v>
      </c>
    </row>
    <row r="1278" spans="1:20" x14ac:dyDescent="0.25">
      <c r="A1278" t="s">
        <v>3808</v>
      </c>
      <c r="B1278" t="str">
        <f>"6342"</f>
        <v>6342</v>
      </c>
      <c r="C1278" t="str">
        <f>"272446342"</f>
        <v>272446342</v>
      </c>
      <c r="D1278" t="s">
        <v>114</v>
      </c>
      <c r="E1278" t="s">
        <v>3809</v>
      </c>
      <c r="F1278" t="s">
        <v>1911</v>
      </c>
      <c r="G1278" s="1">
        <v>21816</v>
      </c>
      <c r="H1278" s="1">
        <v>41281</v>
      </c>
      <c r="I1278" t="str">
        <f>"20"</f>
        <v>20</v>
      </c>
      <c r="J1278" t="s">
        <v>123</v>
      </c>
      <c r="L1278" t="s">
        <v>37</v>
      </c>
      <c r="M1278" t="s">
        <v>143</v>
      </c>
      <c r="N1278" s="1">
        <v>41631</v>
      </c>
      <c r="O1278">
        <v>185.9</v>
      </c>
      <c r="P1278">
        <v>-185.9</v>
      </c>
      <c r="Q1278" t="s">
        <v>37</v>
      </c>
      <c r="R1278" t="s">
        <v>51</v>
      </c>
      <c r="S1278" s="2" t="s">
        <v>683</v>
      </c>
      <c r="T1278" t="s">
        <v>684</v>
      </c>
    </row>
    <row r="1279" spans="1:20" x14ac:dyDescent="0.25">
      <c r="A1279" t="s">
        <v>3810</v>
      </c>
      <c r="B1279" t="str">
        <f>"5892"</f>
        <v>5892</v>
      </c>
      <c r="C1279" t="str">
        <f>"148405892"</f>
        <v>148405892</v>
      </c>
      <c r="D1279" t="s">
        <v>3811</v>
      </c>
      <c r="E1279" t="s">
        <v>3812</v>
      </c>
      <c r="F1279" t="s">
        <v>190</v>
      </c>
      <c r="G1279" s="1">
        <v>17935</v>
      </c>
      <c r="H1279" s="1">
        <v>41279</v>
      </c>
      <c r="I1279" t="str">
        <f>"52"</f>
        <v>52</v>
      </c>
      <c r="J1279" t="s">
        <v>330</v>
      </c>
      <c r="K1279" t="s">
        <v>25</v>
      </c>
      <c r="L1279" t="s">
        <v>26</v>
      </c>
      <c r="M1279" t="s">
        <v>27</v>
      </c>
      <c r="N1279" s="1">
        <v>18629</v>
      </c>
      <c r="O1279">
        <v>0</v>
      </c>
      <c r="P1279">
        <v>0</v>
      </c>
      <c r="Q1279" t="s">
        <v>28</v>
      </c>
      <c r="R1279" t="s">
        <v>51</v>
      </c>
      <c r="S1279" s="2" t="s">
        <v>1148</v>
      </c>
      <c r="T1279" t="s">
        <v>1149</v>
      </c>
    </row>
    <row r="1280" spans="1:20" x14ac:dyDescent="0.25">
      <c r="A1280" t="s">
        <v>3813</v>
      </c>
      <c r="B1280" t="str">
        <f>"8627"</f>
        <v>8627</v>
      </c>
      <c r="C1280" t="str">
        <f>"297968627"</f>
        <v>297968627</v>
      </c>
      <c r="D1280" t="s">
        <v>3814</v>
      </c>
      <c r="E1280" t="s">
        <v>1434</v>
      </c>
      <c r="F1280" t="s">
        <v>93</v>
      </c>
      <c r="G1280" s="1">
        <v>34489</v>
      </c>
      <c r="H1280" s="1">
        <v>41276</v>
      </c>
      <c r="I1280" t="str">
        <f>"34"</f>
        <v>34</v>
      </c>
      <c r="J1280" t="s">
        <v>388</v>
      </c>
      <c r="K1280" t="s">
        <v>25</v>
      </c>
      <c r="L1280" t="s">
        <v>26</v>
      </c>
      <c r="M1280" t="s">
        <v>27</v>
      </c>
      <c r="N1280" s="1">
        <v>18629</v>
      </c>
      <c r="O1280">
        <v>0</v>
      </c>
      <c r="P1280">
        <v>0</v>
      </c>
      <c r="Q1280" t="s">
        <v>28</v>
      </c>
      <c r="R1280" t="s">
        <v>29</v>
      </c>
      <c r="S1280" t="s">
        <v>615</v>
      </c>
      <c r="T1280" t="s">
        <v>616</v>
      </c>
    </row>
    <row r="1281" spans="1:20" x14ac:dyDescent="0.25">
      <c r="A1281" t="s">
        <v>3815</v>
      </c>
      <c r="B1281" t="str">
        <f>"5452"</f>
        <v>5452</v>
      </c>
      <c r="C1281" t="str">
        <f>"278945452"</f>
        <v>278945452</v>
      </c>
      <c r="D1281" t="s">
        <v>1087</v>
      </c>
      <c r="E1281" t="s">
        <v>463</v>
      </c>
      <c r="F1281" t="s">
        <v>44</v>
      </c>
      <c r="G1281" s="1">
        <v>33566</v>
      </c>
      <c r="H1281" s="1">
        <v>41276</v>
      </c>
      <c r="I1281" t="str">
        <f>"34"</f>
        <v>34</v>
      </c>
      <c r="J1281" t="s">
        <v>388</v>
      </c>
      <c r="K1281" t="s">
        <v>25</v>
      </c>
      <c r="L1281" t="s">
        <v>26</v>
      </c>
      <c r="M1281" t="s">
        <v>27</v>
      </c>
      <c r="N1281" s="1">
        <v>18629</v>
      </c>
      <c r="O1281">
        <v>0</v>
      </c>
      <c r="P1281">
        <v>0</v>
      </c>
      <c r="Q1281" t="s">
        <v>28</v>
      </c>
      <c r="R1281" t="s">
        <v>258</v>
      </c>
      <c r="S1281" t="s">
        <v>615</v>
      </c>
      <c r="T1281" t="s">
        <v>616</v>
      </c>
    </row>
    <row r="1282" spans="1:20" x14ac:dyDescent="0.25">
      <c r="A1282" t="s">
        <v>3816</v>
      </c>
      <c r="B1282" t="str">
        <f>"5398"</f>
        <v>5398</v>
      </c>
      <c r="C1282" t="str">
        <f>"291785398"</f>
        <v>291785398</v>
      </c>
      <c r="D1282" t="s">
        <v>3817</v>
      </c>
      <c r="E1282" t="s">
        <v>3818</v>
      </c>
      <c r="F1282" t="s">
        <v>44</v>
      </c>
      <c r="G1282" s="1">
        <v>24799</v>
      </c>
      <c r="H1282" s="1">
        <v>41276</v>
      </c>
      <c r="I1282" t="str">
        <f>"01"</f>
        <v>01</v>
      </c>
      <c r="J1282" t="s">
        <v>116</v>
      </c>
      <c r="K1282" t="s">
        <v>175</v>
      </c>
      <c r="L1282" t="s">
        <v>37</v>
      </c>
      <c r="M1282" t="s">
        <v>99</v>
      </c>
      <c r="N1282" s="1">
        <v>41617</v>
      </c>
      <c r="O1282">
        <v>16411.72</v>
      </c>
      <c r="P1282">
        <v>4102.8</v>
      </c>
      <c r="Q1282" t="s">
        <v>37</v>
      </c>
      <c r="R1282" t="s">
        <v>38</v>
      </c>
      <c r="S1282" t="s">
        <v>3819</v>
      </c>
      <c r="T1282" t="s">
        <v>3820</v>
      </c>
    </row>
    <row r="1283" spans="1:20" x14ac:dyDescent="0.25">
      <c r="A1283" t="s">
        <v>3821</v>
      </c>
      <c r="B1283" t="str">
        <f>"1293"</f>
        <v>1293</v>
      </c>
      <c r="C1283" t="str">
        <f>"440981293"</f>
        <v>440981293</v>
      </c>
      <c r="D1283" t="s">
        <v>385</v>
      </c>
      <c r="E1283" t="s">
        <v>963</v>
      </c>
      <c r="F1283" t="s">
        <v>28</v>
      </c>
      <c r="G1283" s="1">
        <v>31856</v>
      </c>
      <c r="H1283" s="1">
        <v>41275</v>
      </c>
      <c r="I1283" t="str">
        <f>"41"</f>
        <v>41</v>
      </c>
      <c r="J1283" t="s">
        <v>24</v>
      </c>
      <c r="K1283" t="s">
        <v>25</v>
      </c>
      <c r="L1283" t="s">
        <v>26</v>
      </c>
      <c r="M1283" t="s">
        <v>27</v>
      </c>
      <c r="N1283" s="1">
        <v>18629</v>
      </c>
      <c r="O1283">
        <v>0</v>
      </c>
      <c r="P1283">
        <v>0</v>
      </c>
      <c r="Q1283" t="s">
        <v>37</v>
      </c>
      <c r="R1283" t="s">
        <v>71</v>
      </c>
      <c r="S1283" t="s">
        <v>3819</v>
      </c>
      <c r="T1283" t="s">
        <v>3820</v>
      </c>
    </row>
    <row r="1284" spans="1:20" x14ac:dyDescent="0.25">
      <c r="A1284" t="s">
        <v>3822</v>
      </c>
      <c r="B1284" t="str">
        <f>"8857"</f>
        <v>8857</v>
      </c>
      <c r="C1284" t="str">
        <f>"275808857"</f>
        <v>275808857</v>
      </c>
      <c r="D1284" t="s">
        <v>2328</v>
      </c>
      <c r="E1284" t="s">
        <v>3823</v>
      </c>
      <c r="F1284" t="s">
        <v>264</v>
      </c>
      <c r="G1284" s="1">
        <v>29680</v>
      </c>
      <c r="H1284" s="1">
        <v>41275</v>
      </c>
      <c r="I1284" t="str">
        <f>"01"</f>
        <v>01</v>
      </c>
      <c r="J1284" t="s">
        <v>116</v>
      </c>
      <c r="K1284" t="s">
        <v>98</v>
      </c>
      <c r="L1284" t="s">
        <v>37</v>
      </c>
      <c r="M1284" t="s">
        <v>117</v>
      </c>
      <c r="N1284" s="1">
        <v>41617</v>
      </c>
      <c r="O1284">
        <v>4951.96</v>
      </c>
      <c r="P1284">
        <v>1237.8599999999999</v>
      </c>
      <c r="Q1284" t="s">
        <v>37</v>
      </c>
      <c r="R1284" t="s">
        <v>51</v>
      </c>
      <c r="S1284" t="s">
        <v>1736</v>
      </c>
      <c r="T1284" t="s">
        <v>1737</v>
      </c>
    </row>
    <row r="1285" spans="1:20" x14ac:dyDescent="0.25">
      <c r="A1285" t="s">
        <v>3824</v>
      </c>
      <c r="B1285" t="str">
        <f>"5814"</f>
        <v>5814</v>
      </c>
      <c r="C1285" t="str">
        <f>"298645814"</f>
        <v>298645814</v>
      </c>
      <c r="D1285" t="s">
        <v>3825</v>
      </c>
      <c r="E1285" t="s">
        <v>3826</v>
      </c>
      <c r="G1285" s="1">
        <v>22467</v>
      </c>
      <c r="H1285" s="1">
        <v>41275</v>
      </c>
      <c r="I1285" t="str">
        <f>"41"</f>
        <v>41</v>
      </c>
      <c r="J1285" t="s">
        <v>24</v>
      </c>
      <c r="K1285" t="s">
        <v>25</v>
      </c>
      <c r="L1285" t="s">
        <v>26</v>
      </c>
      <c r="M1285" t="s">
        <v>27</v>
      </c>
      <c r="N1285" s="1">
        <v>18629</v>
      </c>
      <c r="O1285">
        <v>0</v>
      </c>
      <c r="P1285">
        <v>0</v>
      </c>
      <c r="Q1285" t="s">
        <v>37</v>
      </c>
      <c r="R1285" t="s">
        <v>71</v>
      </c>
      <c r="S1285" t="s">
        <v>3819</v>
      </c>
      <c r="T1285" t="s">
        <v>3820</v>
      </c>
    </row>
    <row r="1286" spans="1:20" x14ac:dyDescent="0.25">
      <c r="A1286" t="s">
        <v>3827</v>
      </c>
      <c r="B1286" t="str">
        <f>"9098"</f>
        <v>9098</v>
      </c>
      <c r="C1286" t="str">
        <f>"302589098"</f>
        <v>302589098</v>
      </c>
      <c r="D1286" t="s">
        <v>3828</v>
      </c>
      <c r="E1286" t="s">
        <v>1883</v>
      </c>
      <c r="F1286" t="s">
        <v>414</v>
      </c>
      <c r="G1286" s="1">
        <v>26343</v>
      </c>
      <c r="H1286" s="1">
        <v>41275</v>
      </c>
      <c r="I1286" t="str">
        <f>"41"</f>
        <v>41</v>
      </c>
      <c r="J1286" t="s">
        <v>24</v>
      </c>
      <c r="K1286" t="s">
        <v>25</v>
      </c>
      <c r="L1286" t="s">
        <v>26</v>
      </c>
      <c r="M1286" t="s">
        <v>27</v>
      </c>
      <c r="N1286" s="1">
        <v>18629</v>
      </c>
      <c r="O1286">
        <v>0</v>
      </c>
      <c r="P1286">
        <v>0</v>
      </c>
      <c r="Q1286" t="s">
        <v>37</v>
      </c>
      <c r="R1286" t="s">
        <v>71</v>
      </c>
      <c r="S1286" t="s">
        <v>3819</v>
      </c>
      <c r="T1286" t="s">
        <v>3820</v>
      </c>
    </row>
    <row r="1287" spans="1:20" x14ac:dyDescent="0.25">
      <c r="A1287" t="s">
        <v>3829</v>
      </c>
      <c r="B1287" t="str">
        <f>"0408"</f>
        <v>0408</v>
      </c>
      <c r="C1287" t="str">
        <f>"269920408"</f>
        <v>269920408</v>
      </c>
      <c r="D1287" t="s">
        <v>3830</v>
      </c>
      <c r="E1287" t="s">
        <v>2177</v>
      </c>
      <c r="F1287" t="s">
        <v>93</v>
      </c>
      <c r="G1287" s="1">
        <v>32132</v>
      </c>
      <c r="H1287" s="1">
        <v>41275</v>
      </c>
      <c r="I1287" t="str">
        <f>"41"</f>
        <v>41</v>
      </c>
      <c r="J1287" t="s">
        <v>24</v>
      </c>
      <c r="K1287" t="s">
        <v>25</v>
      </c>
      <c r="L1287" t="s">
        <v>26</v>
      </c>
      <c r="M1287" t="s">
        <v>27</v>
      </c>
      <c r="N1287" s="1">
        <v>18629</v>
      </c>
      <c r="O1287">
        <v>0</v>
      </c>
      <c r="P1287">
        <v>0</v>
      </c>
      <c r="Q1287" t="s">
        <v>37</v>
      </c>
      <c r="R1287" t="s">
        <v>71</v>
      </c>
      <c r="S1287" t="s">
        <v>3819</v>
      </c>
      <c r="T1287" t="s">
        <v>3820</v>
      </c>
    </row>
    <row r="1288" spans="1:20" x14ac:dyDescent="0.25">
      <c r="A1288" t="s">
        <v>3831</v>
      </c>
      <c r="B1288" t="str">
        <f>"6496"</f>
        <v>6496</v>
      </c>
      <c r="C1288" t="str">
        <f>"300586496"</f>
        <v>300586496</v>
      </c>
      <c r="D1288" t="s">
        <v>3832</v>
      </c>
      <c r="E1288" t="s">
        <v>2483</v>
      </c>
      <c r="F1288" t="s">
        <v>219</v>
      </c>
      <c r="G1288" s="1">
        <v>24837</v>
      </c>
      <c r="H1288" s="1">
        <v>41275</v>
      </c>
      <c r="I1288" t="str">
        <f>"41"</f>
        <v>41</v>
      </c>
      <c r="J1288" t="s">
        <v>24</v>
      </c>
      <c r="K1288" t="s">
        <v>25</v>
      </c>
      <c r="L1288" t="s">
        <v>26</v>
      </c>
      <c r="M1288" t="s">
        <v>27</v>
      </c>
      <c r="N1288" s="1">
        <v>18629</v>
      </c>
      <c r="O1288">
        <v>0</v>
      </c>
      <c r="P1288">
        <v>0</v>
      </c>
      <c r="Q1288" t="s">
        <v>37</v>
      </c>
      <c r="R1288" t="s">
        <v>71</v>
      </c>
      <c r="S1288" t="s">
        <v>3819</v>
      </c>
      <c r="T1288" t="s">
        <v>3820</v>
      </c>
    </row>
    <row r="1289" spans="1:20" x14ac:dyDescent="0.25">
      <c r="A1289" t="s">
        <v>3833</v>
      </c>
      <c r="B1289" t="str">
        <f>"7350"</f>
        <v>7350</v>
      </c>
      <c r="C1289" t="str">
        <f>"077647350"</f>
        <v>077647350</v>
      </c>
      <c r="D1289" t="s">
        <v>3834</v>
      </c>
      <c r="E1289" t="s">
        <v>3835</v>
      </c>
      <c r="F1289" t="s">
        <v>93</v>
      </c>
      <c r="G1289" s="1">
        <v>25100</v>
      </c>
      <c r="H1289" s="1">
        <v>41267</v>
      </c>
      <c r="I1289" t="str">
        <f>"12"</f>
        <v>12</v>
      </c>
      <c r="J1289" t="s">
        <v>245</v>
      </c>
      <c r="K1289" t="s">
        <v>175</v>
      </c>
      <c r="L1289" t="s">
        <v>37</v>
      </c>
      <c r="M1289" t="s">
        <v>257</v>
      </c>
      <c r="N1289" s="1">
        <v>41617</v>
      </c>
      <c r="O1289">
        <v>11847.94</v>
      </c>
      <c r="P1289">
        <v>2961.92</v>
      </c>
      <c r="Q1289" t="s">
        <v>37</v>
      </c>
      <c r="R1289" t="s">
        <v>110</v>
      </c>
      <c r="S1289" t="s">
        <v>2071</v>
      </c>
      <c r="T1289" t="s">
        <v>2072</v>
      </c>
    </row>
    <row r="1290" spans="1:20" x14ac:dyDescent="0.25">
      <c r="A1290" t="s">
        <v>3836</v>
      </c>
      <c r="B1290" t="str">
        <f>"2783"</f>
        <v>2783</v>
      </c>
      <c r="C1290" t="str">
        <f>"277702783"</f>
        <v>277702783</v>
      </c>
      <c r="D1290" t="s">
        <v>3837</v>
      </c>
      <c r="E1290" t="s">
        <v>3838</v>
      </c>
      <c r="F1290" t="s">
        <v>26</v>
      </c>
      <c r="G1290" s="1">
        <v>24281</v>
      </c>
      <c r="H1290" s="1">
        <v>41260</v>
      </c>
      <c r="I1290" t="str">
        <f>"15"</f>
        <v>15</v>
      </c>
      <c r="J1290" t="s">
        <v>36</v>
      </c>
      <c r="K1290" t="s">
        <v>98</v>
      </c>
      <c r="L1290" t="s">
        <v>37</v>
      </c>
      <c r="M1290" t="s">
        <v>257</v>
      </c>
      <c r="N1290" s="1">
        <v>41617</v>
      </c>
      <c r="O1290">
        <v>10753.08</v>
      </c>
      <c r="P1290">
        <v>2688.4</v>
      </c>
      <c r="Q1290" t="s">
        <v>37</v>
      </c>
      <c r="R1290" t="s">
        <v>312</v>
      </c>
      <c r="S1290" t="s">
        <v>3171</v>
      </c>
      <c r="T1290" t="s">
        <v>3172</v>
      </c>
    </row>
    <row r="1291" spans="1:20" x14ac:dyDescent="0.25">
      <c r="A1291" t="s">
        <v>3839</v>
      </c>
      <c r="B1291" t="str">
        <f>"5880"</f>
        <v>5880</v>
      </c>
      <c r="C1291" t="str">
        <f>"271865880"</f>
        <v>271865880</v>
      </c>
      <c r="D1291" t="s">
        <v>3840</v>
      </c>
      <c r="E1291" t="s">
        <v>3841</v>
      </c>
      <c r="F1291" t="s">
        <v>44</v>
      </c>
      <c r="G1291" s="1">
        <v>29072</v>
      </c>
      <c r="H1291" s="1">
        <v>41253</v>
      </c>
      <c r="I1291" t="str">
        <f>"01"</f>
        <v>01</v>
      </c>
      <c r="J1291" t="s">
        <v>116</v>
      </c>
      <c r="K1291" t="s">
        <v>510</v>
      </c>
      <c r="L1291" t="s">
        <v>37</v>
      </c>
      <c r="M1291" t="s">
        <v>117</v>
      </c>
      <c r="N1291" s="1">
        <v>41617</v>
      </c>
      <c r="O1291">
        <v>6477.12</v>
      </c>
      <c r="P1291">
        <v>1619.28</v>
      </c>
      <c r="Q1291" t="s">
        <v>37</v>
      </c>
      <c r="R1291" t="s">
        <v>29</v>
      </c>
      <c r="S1291" t="s">
        <v>1887</v>
      </c>
      <c r="T1291" t="s">
        <v>1888</v>
      </c>
    </row>
    <row r="1292" spans="1:20" x14ac:dyDescent="0.25">
      <c r="A1292" t="s">
        <v>3842</v>
      </c>
      <c r="B1292" t="str">
        <f>"7572"</f>
        <v>7572</v>
      </c>
      <c r="C1292" t="str">
        <f>"295767572"</f>
        <v>295767572</v>
      </c>
      <c r="D1292" t="s">
        <v>3843</v>
      </c>
      <c r="E1292" t="s">
        <v>2311</v>
      </c>
      <c r="F1292" t="s">
        <v>165</v>
      </c>
      <c r="G1292" s="1">
        <v>25975</v>
      </c>
      <c r="H1292" s="1">
        <v>41253</v>
      </c>
      <c r="I1292" t="str">
        <f>"03"</f>
        <v>03</v>
      </c>
      <c r="J1292" t="s">
        <v>70</v>
      </c>
      <c r="K1292" t="s">
        <v>510</v>
      </c>
      <c r="L1292" t="s">
        <v>37</v>
      </c>
      <c r="M1292" t="s">
        <v>99</v>
      </c>
      <c r="N1292" s="1">
        <v>41617</v>
      </c>
      <c r="O1292">
        <v>19521.84</v>
      </c>
      <c r="P1292">
        <v>4880.46</v>
      </c>
      <c r="Q1292" t="s">
        <v>37</v>
      </c>
      <c r="R1292" t="s">
        <v>71</v>
      </c>
      <c r="S1292" t="s">
        <v>3844</v>
      </c>
      <c r="T1292" t="s">
        <v>3845</v>
      </c>
    </row>
    <row r="1293" spans="1:20" x14ac:dyDescent="0.25">
      <c r="A1293" t="s">
        <v>3846</v>
      </c>
      <c r="B1293" t="str">
        <f>"3785"</f>
        <v>3785</v>
      </c>
      <c r="C1293" t="str">
        <f>"268883785"</f>
        <v>268883785</v>
      </c>
      <c r="D1293" t="s">
        <v>3847</v>
      </c>
      <c r="E1293" t="s">
        <v>2969</v>
      </c>
      <c r="F1293" t="s">
        <v>28</v>
      </c>
      <c r="G1293" s="1">
        <v>31967</v>
      </c>
      <c r="H1293" s="1">
        <v>41253</v>
      </c>
      <c r="I1293" t="str">
        <f>"05"</f>
        <v>05</v>
      </c>
      <c r="J1293" t="s">
        <v>58</v>
      </c>
      <c r="K1293" t="s">
        <v>510</v>
      </c>
      <c r="L1293" t="s">
        <v>37</v>
      </c>
      <c r="M1293" t="s">
        <v>117</v>
      </c>
      <c r="N1293" s="1">
        <v>41617</v>
      </c>
      <c r="O1293">
        <v>6477.12</v>
      </c>
      <c r="P1293">
        <v>1619.28</v>
      </c>
      <c r="Q1293" t="s">
        <v>28</v>
      </c>
      <c r="R1293" t="s">
        <v>312</v>
      </c>
      <c r="S1293" t="s">
        <v>1173</v>
      </c>
      <c r="T1293" t="s">
        <v>1174</v>
      </c>
    </row>
    <row r="1294" spans="1:20" x14ac:dyDescent="0.25">
      <c r="A1294" t="s">
        <v>3848</v>
      </c>
      <c r="B1294" t="str">
        <f>"8259"</f>
        <v>8259</v>
      </c>
      <c r="C1294" t="str">
        <f>"288788259"</f>
        <v>288788259</v>
      </c>
      <c r="D1294" t="s">
        <v>445</v>
      </c>
      <c r="E1294" t="s">
        <v>3849</v>
      </c>
      <c r="G1294" s="1">
        <v>29604</v>
      </c>
      <c r="H1294" s="1">
        <v>41253</v>
      </c>
      <c r="I1294" t="str">
        <f>"03"</f>
        <v>03</v>
      </c>
      <c r="J1294" t="s">
        <v>70</v>
      </c>
      <c r="K1294" t="s">
        <v>98</v>
      </c>
      <c r="L1294" t="s">
        <v>37</v>
      </c>
      <c r="M1294" t="s">
        <v>117</v>
      </c>
      <c r="N1294" s="1">
        <v>41617</v>
      </c>
      <c r="O1294">
        <v>4951.96</v>
      </c>
      <c r="P1294">
        <v>1237.8599999999999</v>
      </c>
      <c r="Q1294" t="s">
        <v>37</v>
      </c>
      <c r="R1294" t="s">
        <v>38</v>
      </c>
      <c r="S1294" t="s">
        <v>353</v>
      </c>
      <c r="T1294" t="s">
        <v>354</v>
      </c>
    </row>
    <row r="1295" spans="1:20" x14ac:dyDescent="0.25">
      <c r="A1295" t="s">
        <v>3850</v>
      </c>
      <c r="B1295" t="str">
        <f>"1573"</f>
        <v>1573</v>
      </c>
      <c r="C1295" t="str">
        <f>"293861573"</f>
        <v>293861573</v>
      </c>
      <c r="D1295" t="s">
        <v>3851</v>
      </c>
      <c r="E1295" t="s">
        <v>1592</v>
      </c>
      <c r="F1295" t="s">
        <v>44</v>
      </c>
      <c r="G1295" s="1">
        <v>31969</v>
      </c>
      <c r="H1295" s="1">
        <v>41253</v>
      </c>
      <c r="I1295" t="str">
        <f>"15"</f>
        <v>15</v>
      </c>
      <c r="J1295" t="s">
        <v>36</v>
      </c>
      <c r="L1295" t="s">
        <v>37</v>
      </c>
      <c r="M1295" t="s">
        <v>143</v>
      </c>
      <c r="N1295" s="1">
        <v>41617</v>
      </c>
      <c r="O1295">
        <v>185.9</v>
      </c>
      <c r="P1295">
        <v>-185.9</v>
      </c>
      <c r="Q1295" t="s">
        <v>37</v>
      </c>
      <c r="R1295" t="s">
        <v>312</v>
      </c>
      <c r="S1295" t="s">
        <v>3171</v>
      </c>
      <c r="T1295" t="s">
        <v>3172</v>
      </c>
    </row>
    <row r="1296" spans="1:20" x14ac:dyDescent="0.25">
      <c r="A1296" t="s">
        <v>3852</v>
      </c>
      <c r="B1296" t="str">
        <f>"7981"</f>
        <v>7981</v>
      </c>
      <c r="C1296" t="str">
        <f>"290787981"</f>
        <v>290787981</v>
      </c>
      <c r="D1296" t="s">
        <v>3853</v>
      </c>
      <c r="E1296" t="s">
        <v>518</v>
      </c>
      <c r="G1296" s="1">
        <v>24808</v>
      </c>
      <c r="H1296" s="1">
        <v>41253</v>
      </c>
      <c r="I1296" t="str">
        <f>"15"</f>
        <v>15</v>
      </c>
      <c r="J1296" t="s">
        <v>36</v>
      </c>
      <c r="L1296" t="s">
        <v>37</v>
      </c>
      <c r="M1296" t="s">
        <v>143</v>
      </c>
      <c r="N1296" s="1">
        <v>41617</v>
      </c>
      <c r="O1296">
        <v>185.9</v>
      </c>
      <c r="P1296">
        <v>-185.9</v>
      </c>
      <c r="Q1296" t="s">
        <v>37</v>
      </c>
      <c r="R1296" t="s">
        <v>312</v>
      </c>
      <c r="S1296" t="s">
        <v>3171</v>
      </c>
      <c r="T1296" t="s">
        <v>3172</v>
      </c>
    </row>
    <row r="1297" spans="1:20" x14ac:dyDescent="0.25">
      <c r="A1297" t="s">
        <v>3854</v>
      </c>
      <c r="B1297" t="str">
        <f>"7659"</f>
        <v>7659</v>
      </c>
      <c r="C1297" t="str">
        <f>"283527659"</f>
        <v>283527659</v>
      </c>
      <c r="D1297" t="s">
        <v>33</v>
      </c>
      <c r="E1297" t="s">
        <v>231</v>
      </c>
      <c r="F1297" t="s">
        <v>174</v>
      </c>
      <c r="G1297" s="1">
        <v>19905</v>
      </c>
      <c r="H1297" s="1">
        <v>41253</v>
      </c>
      <c r="I1297" t="str">
        <f>"01"</f>
        <v>01</v>
      </c>
      <c r="J1297" t="s">
        <v>116</v>
      </c>
      <c r="K1297" t="s">
        <v>510</v>
      </c>
      <c r="L1297" t="s">
        <v>37</v>
      </c>
      <c r="M1297" t="s">
        <v>117</v>
      </c>
      <c r="N1297" s="1">
        <v>41617</v>
      </c>
      <c r="O1297">
        <v>6477.12</v>
      </c>
      <c r="P1297">
        <v>1619.28</v>
      </c>
      <c r="Q1297" t="s">
        <v>37</v>
      </c>
      <c r="R1297" t="s">
        <v>110</v>
      </c>
      <c r="S1297" t="s">
        <v>111</v>
      </c>
      <c r="T1297" t="s">
        <v>112</v>
      </c>
    </row>
    <row r="1298" spans="1:20" x14ac:dyDescent="0.25">
      <c r="A1298" t="s">
        <v>3855</v>
      </c>
      <c r="B1298" t="str">
        <f>"7055"</f>
        <v>7055</v>
      </c>
      <c r="C1298" t="str">
        <f>"272847055"</f>
        <v>272847055</v>
      </c>
      <c r="D1298" t="s">
        <v>3856</v>
      </c>
      <c r="E1298" t="s">
        <v>3857</v>
      </c>
      <c r="F1298" t="s">
        <v>93</v>
      </c>
      <c r="G1298" s="1">
        <v>30806</v>
      </c>
      <c r="H1298" s="1">
        <v>41253</v>
      </c>
      <c r="I1298" t="str">
        <f>"05"</f>
        <v>05</v>
      </c>
      <c r="J1298" t="s">
        <v>58</v>
      </c>
      <c r="K1298" t="s">
        <v>98</v>
      </c>
      <c r="L1298" t="s">
        <v>37</v>
      </c>
      <c r="M1298" t="s">
        <v>257</v>
      </c>
      <c r="N1298" s="1">
        <v>41771</v>
      </c>
      <c r="O1298">
        <v>10753.08</v>
      </c>
      <c r="P1298">
        <v>2688.4</v>
      </c>
      <c r="Q1298" t="s">
        <v>37</v>
      </c>
      <c r="R1298" t="s">
        <v>258</v>
      </c>
      <c r="S1298" t="s">
        <v>259</v>
      </c>
      <c r="T1298" t="s">
        <v>260</v>
      </c>
    </row>
    <row r="1299" spans="1:20" x14ac:dyDescent="0.25">
      <c r="A1299" t="s">
        <v>3858</v>
      </c>
      <c r="B1299" t="str">
        <f>"2418"</f>
        <v>2418</v>
      </c>
      <c r="C1299" t="str">
        <f>"273722418"</f>
        <v>273722418</v>
      </c>
      <c r="D1299" t="s">
        <v>3859</v>
      </c>
      <c r="E1299" t="s">
        <v>3860</v>
      </c>
      <c r="F1299" t="s">
        <v>37</v>
      </c>
      <c r="G1299" s="1">
        <v>25841</v>
      </c>
      <c r="H1299" s="1">
        <v>41253</v>
      </c>
      <c r="I1299" t="str">
        <f>"41"</f>
        <v>41</v>
      </c>
      <c r="J1299" t="s">
        <v>24</v>
      </c>
      <c r="K1299" t="s">
        <v>25</v>
      </c>
      <c r="L1299" t="s">
        <v>26</v>
      </c>
      <c r="M1299" t="s">
        <v>27</v>
      </c>
      <c r="N1299" s="1">
        <v>18629</v>
      </c>
      <c r="O1299">
        <v>0</v>
      </c>
      <c r="P1299">
        <v>0</v>
      </c>
      <c r="Q1299" t="s">
        <v>37</v>
      </c>
      <c r="R1299" t="s">
        <v>29</v>
      </c>
      <c r="S1299" t="s">
        <v>1075</v>
      </c>
      <c r="T1299" t="s">
        <v>1076</v>
      </c>
    </row>
    <row r="1300" spans="1:20" x14ac:dyDescent="0.25">
      <c r="A1300" t="s">
        <v>3861</v>
      </c>
      <c r="B1300" t="str">
        <f>"6775"</f>
        <v>6775</v>
      </c>
      <c r="C1300" t="str">
        <f>"281766775"</f>
        <v>281766775</v>
      </c>
      <c r="D1300" t="s">
        <v>3862</v>
      </c>
      <c r="E1300" t="s">
        <v>756</v>
      </c>
      <c r="F1300" t="s">
        <v>97</v>
      </c>
      <c r="G1300" s="1">
        <v>23603</v>
      </c>
      <c r="H1300" s="1">
        <v>41246</v>
      </c>
      <c r="I1300" t="str">
        <f>"12"</f>
        <v>12</v>
      </c>
      <c r="J1300" t="s">
        <v>245</v>
      </c>
      <c r="K1300" t="s">
        <v>98</v>
      </c>
      <c r="L1300" t="s">
        <v>37</v>
      </c>
      <c r="M1300" t="s">
        <v>117</v>
      </c>
      <c r="N1300" s="1">
        <v>41617</v>
      </c>
      <c r="O1300">
        <v>4951.96</v>
      </c>
      <c r="P1300">
        <v>1237.8599999999999</v>
      </c>
      <c r="Q1300" t="s">
        <v>37</v>
      </c>
      <c r="R1300" t="s">
        <v>110</v>
      </c>
      <c r="S1300" t="s">
        <v>2257</v>
      </c>
      <c r="T1300" t="s">
        <v>2258</v>
      </c>
    </row>
    <row r="1301" spans="1:20" x14ac:dyDescent="0.25">
      <c r="A1301" t="s">
        <v>3863</v>
      </c>
      <c r="B1301" t="str">
        <f>"3747"</f>
        <v>3747</v>
      </c>
      <c r="C1301" t="str">
        <f>"291843747"</f>
        <v>291843747</v>
      </c>
      <c r="D1301" t="s">
        <v>3864</v>
      </c>
      <c r="E1301" t="s">
        <v>35</v>
      </c>
      <c r="F1301" t="s">
        <v>26</v>
      </c>
      <c r="G1301" s="1">
        <v>26370</v>
      </c>
      <c r="H1301" s="1">
        <v>41246</v>
      </c>
      <c r="I1301" t="str">
        <f>"52"</f>
        <v>52</v>
      </c>
      <c r="J1301" t="s">
        <v>330</v>
      </c>
      <c r="K1301" t="s">
        <v>25</v>
      </c>
      <c r="L1301" t="s">
        <v>26</v>
      </c>
      <c r="M1301" t="s">
        <v>27</v>
      </c>
      <c r="N1301" s="1">
        <v>18629</v>
      </c>
      <c r="O1301">
        <v>0</v>
      </c>
      <c r="P1301">
        <v>0</v>
      </c>
      <c r="Q1301" t="s">
        <v>28</v>
      </c>
      <c r="R1301" t="s">
        <v>258</v>
      </c>
      <c r="S1301" t="s">
        <v>331</v>
      </c>
      <c r="T1301" t="s">
        <v>332</v>
      </c>
    </row>
    <row r="1302" spans="1:20" x14ac:dyDescent="0.25">
      <c r="A1302" t="s">
        <v>3865</v>
      </c>
      <c r="B1302" t="str">
        <f>"8449"</f>
        <v>8449</v>
      </c>
      <c r="C1302" t="str">
        <f>"288728449"</f>
        <v>288728449</v>
      </c>
      <c r="D1302" t="s">
        <v>3866</v>
      </c>
      <c r="E1302" t="s">
        <v>1450</v>
      </c>
      <c r="F1302" t="s">
        <v>165</v>
      </c>
      <c r="G1302" s="1">
        <v>28152</v>
      </c>
      <c r="H1302" s="1">
        <v>41244</v>
      </c>
      <c r="I1302" t="str">
        <f>"52"</f>
        <v>52</v>
      </c>
      <c r="J1302" t="s">
        <v>330</v>
      </c>
      <c r="K1302" t="s">
        <v>25</v>
      </c>
      <c r="L1302" t="s">
        <v>26</v>
      </c>
      <c r="M1302" t="s">
        <v>27</v>
      </c>
      <c r="N1302" s="1">
        <v>18629</v>
      </c>
      <c r="O1302">
        <v>0</v>
      </c>
      <c r="P1302">
        <v>0</v>
      </c>
      <c r="Q1302" t="s">
        <v>37</v>
      </c>
      <c r="R1302" t="s">
        <v>29</v>
      </c>
      <c r="S1302" t="s">
        <v>1761</v>
      </c>
      <c r="T1302" t="s">
        <v>1762</v>
      </c>
    </row>
    <row r="1303" spans="1:20" x14ac:dyDescent="0.25">
      <c r="A1303" t="s">
        <v>3867</v>
      </c>
      <c r="B1303" t="str">
        <f>"7534"</f>
        <v>7534</v>
      </c>
      <c r="C1303" t="str">
        <f>"300067534"</f>
        <v>300067534</v>
      </c>
      <c r="D1303" t="s">
        <v>3868</v>
      </c>
      <c r="E1303" t="s">
        <v>3869</v>
      </c>
      <c r="G1303" s="1">
        <v>24493</v>
      </c>
      <c r="H1303" s="1">
        <v>41243</v>
      </c>
      <c r="I1303" t="str">
        <f>"52"</f>
        <v>52</v>
      </c>
      <c r="J1303" t="s">
        <v>330</v>
      </c>
      <c r="K1303" t="s">
        <v>25</v>
      </c>
      <c r="L1303" t="s">
        <v>26</v>
      </c>
      <c r="M1303" t="s">
        <v>27</v>
      </c>
      <c r="N1303" s="1">
        <v>18629</v>
      </c>
      <c r="O1303">
        <v>0</v>
      </c>
      <c r="P1303">
        <v>0</v>
      </c>
      <c r="Q1303" t="s">
        <v>37</v>
      </c>
      <c r="R1303" t="s">
        <v>258</v>
      </c>
      <c r="S1303" t="s">
        <v>678</v>
      </c>
      <c r="T1303" t="s">
        <v>679</v>
      </c>
    </row>
    <row r="1304" spans="1:20" x14ac:dyDescent="0.25">
      <c r="A1304" t="s">
        <v>3870</v>
      </c>
      <c r="B1304" t="str">
        <f>"4569"</f>
        <v>4569</v>
      </c>
      <c r="C1304" t="str">
        <f>"285624569"</f>
        <v>285624569</v>
      </c>
      <c r="D1304" t="s">
        <v>3871</v>
      </c>
      <c r="E1304" t="s">
        <v>2115</v>
      </c>
      <c r="F1304" t="s">
        <v>97</v>
      </c>
      <c r="G1304" s="1">
        <v>23981</v>
      </c>
      <c r="H1304" s="1">
        <v>41243</v>
      </c>
      <c r="I1304" t="str">
        <f>"41"</f>
        <v>41</v>
      </c>
      <c r="J1304" t="s">
        <v>24</v>
      </c>
      <c r="K1304" t="s">
        <v>25</v>
      </c>
      <c r="L1304" t="s">
        <v>26</v>
      </c>
      <c r="M1304" t="s">
        <v>27</v>
      </c>
      <c r="N1304" s="1">
        <v>18629</v>
      </c>
      <c r="O1304">
        <v>0</v>
      </c>
      <c r="P1304">
        <v>0</v>
      </c>
      <c r="Q1304" t="s">
        <v>37</v>
      </c>
      <c r="R1304" t="s">
        <v>51</v>
      </c>
      <c r="S1304" s="2" t="s">
        <v>2496</v>
      </c>
      <c r="T1304" t="s">
        <v>2497</v>
      </c>
    </row>
    <row r="1305" spans="1:20" x14ac:dyDescent="0.25">
      <c r="A1305" t="s">
        <v>3872</v>
      </c>
      <c r="B1305" t="str">
        <f>"3544"</f>
        <v>3544</v>
      </c>
      <c r="C1305" t="str">
        <f>"280823544"</f>
        <v>280823544</v>
      </c>
      <c r="D1305" t="s">
        <v>3873</v>
      </c>
      <c r="E1305" t="s">
        <v>682</v>
      </c>
      <c r="F1305" t="s">
        <v>93</v>
      </c>
      <c r="G1305" s="1">
        <v>25511</v>
      </c>
      <c r="H1305" s="1">
        <v>41243</v>
      </c>
      <c r="I1305" t="str">
        <f>"41"</f>
        <v>41</v>
      </c>
      <c r="J1305" t="s">
        <v>24</v>
      </c>
      <c r="K1305" t="s">
        <v>25</v>
      </c>
      <c r="L1305" t="s">
        <v>26</v>
      </c>
      <c r="M1305" t="s">
        <v>27</v>
      </c>
      <c r="N1305" s="1">
        <v>18629</v>
      </c>
      <c r="O1305">
        <v>0</v>
      </c>
      <c r="P1305">
        <v>0</v>
      </c>
      <c r="Q1305" t="s">
        <v>37</v>
      </c>
      <c r="R1305" t="s">
        <v>71</v>
      </c>
      <c r="S1305" t="s">
        <v>402</v>
      </c>
      <c r="T1305" t="s">
        <v>403</v>
      </c>
    </row>
    <row r="1306" spans="1:20" x14ac:dyDescent="0.25">
      <c r="A1306" t="s">
        <v>3874</v>
      </c>
      <c r="B1306" t="str">
        <f>"7753"</f>
        <v>7753</v>
      </c>
      <c r="C1306" t="str">
        <f>"270807753"</f>
        <v>270807753</v>
      </c>
      <c r="D1306" t="s">
        <v>3875</v>
      </c>
      <c r="E1306" t="s">
        <v>3876</v>
      </c>
      <c r="F1306" t="s">
        <v>44</v>
      </c>
      <c r="G1306" s="1">
        <v>28833</v>
      </c>
      <c r="H1306" s="1">
        <v>41241</v>
      </c>
      <c r="I1306" t="str">
        <f>"53"</f>
        <v>53</v>
      </c>
      <c r="J1306" t="s">
        <v>917</v>
      </c>
      <c r="K1306" t="s">
        <v>25</v>
      </c>
      <c r="L1306" t="s">
        <v>26</v>
      </c>
      <c r="M1306" t="s">
        <v>27</v>
      </c>
      <c r="N1306" s="1">
        <v>18629</v>
      </c>
      <c r="O1306">
        <v>0</v>
      </c>
      <c r="P1306">
        <v>0</v>
      </c>
      <c r="Q1306" t="s">
        <v>37</v>
      </c>
      <c r="R1306" t="s">
        <v>312</v>
      </c>
      <c r="S1306" t="s">
        <v>2184</v>
      </c>
      <c r="T1306" t="s">
        <v>2185</v>
      </c>
    </row>
    <row r="1307" spans="1:20" x14ac:dyDescent="0.25">
      <c r="A1307" t="s">
        <v>3877</v>
      </c>
      <c r="B1307" t="str">
        <f>"4937"</f>
        <v>4937</v>
      </c>
      <c r="C1307" t="str">
        <f>"220724937"</f>
        <v>220724937</v>
      </c>
      <c r="D1307" t="s">
        <v>3878</v>
      </c>
      <c r="E1307" t="s">
        <v>588</v>
      </c>
      <c r="F1307" t="s">
        <v>174</v>
      </c>
      <c r="G1307" s="1">
        <v>20968</v>
      </c>
      <c r="H1307" s="1">
        <v>41239</v>
      </c>
      <c r="I1307" t="str">
        <f>"01"</f>
        <v>01</v>
      </c>
      <c r="J1307" t="s">
        <v>116</v>
      </c>
      <c r="K1307" t="s">
        <v>98</v>
      </c>
      <c r="L1307" t="s">
        <v>37</v>
      </c>
      <c r="M1307" t="s">
        <v>257</v>
      </c>
      <c r="N1307" s="1">
        <v>41617</v>
      </c>
      <c r="O1307">
        <v>10753.08</v>
      </c>
      <c r="P1307">
        <v>2688.4</v>
      </c>
      <c r="Q1307" t="s">
        <v>28</v>
      </c>
      <c r="R1307" t="s">
        <v>312</v>
      </c>
      <c r="S1307" t="s">
        <v>2043</v>
      </c>
      <c r="T1307" t="s">
        <v>2044</v>
      </c>
    </row>
    <row r="1308" spans="1:20" x14ac:dyDescent="0.25">
      <c r="A1308" t="s">
        <v>3879</v>
      </c>
      <c r="B1308" t="str">
        <f>"4528"</f>
        <v>4528</v>
      </c>
      <c r="C1308" t="str">
        <f>"768094528"</f>
        <v>768094528</v>
      </c>
      <c r="D1308" t="s">
        <v>3880</v>
      </c>
      <c r="E1308" t="s">
        <v>1864</v>
      </c>
      <c r="F1308" t="s">
        <v>93</v>
      </c>
      <c r="G1308" s="1">
        <v>26093</v>
      </c>
      <c r="H1308" s="1">
        <v>41239</v>
      </c>
      <c r="I1308" t="str">
        <f>"01"</f>
        <v>01</v>
      </c>
      <c r="J1308" t="s">
        <v>116</v>
      </c>
      <c r="K1308" t="s">
        <v>98</v>
      </c>
      <c r="L1308" t="s">
        <v>37</v>
      </c>
      <c r="M1308" t="s">
        <v>99</v>
      </c>
      <c r="N1308" s="1">
        <v>41729</v>
      </c>
      <c r="O1308">
        <v>14801.8</v>
      </c>
      <c r="P1308">
        <v>3700.32</v>
      </c>
      <c r="Q1308" t="s">
        <v>28</v>
      </c>
      <c r="R1308" t="s">
        <v>312</v>
      </c>
      <c r="S1308" t="s">
        <v>3171</v>
      </c>
      <c r="T1308" t="s">
        <v>3172</v>
      </c>
    </row>
    <row r="1309" spans="1:20" x14ac:dyDescent="0.25">
      <c r="A1309" t="s">
        <v>3881</v>
      </c>
      <c r="B1309" t="str">
        <f>"5229"</f>
        <v>5229</v>
      </c>
      <c r="C1309" t="str">
        <f>"236295229"</f>
        <v>236295229</v>
      </c>
      <c r="D1309" t="s">
        <v>3882</v>
      </c>
      <c r="E1309" t="s">
        <v>3163</v>
      </c>
      <c r="F1309" t="s">
        <v>629</v>
      </c>
      <c r="G1309" s="1">
        <v>26925</v>
      </c>
      <c r="H1309" s="1">
        <v>41239</v>
      </c>
      <c r="I1309" t="str">
        <f>"41"</f>
        <v>41</v>
      </c>
      <c r="J1309" t="s">
        <v>24</v>
      </c>
      <c r="K1309" t="s">
        <v>25</v>
      </c>
      <c r="L1309" t="s">
        <v>26</v>
      </c>
      <c r="M1309" t="s">
        <v>27</v>
      </c>
      <c r="N1309" s="1">
        <v>18629</v>
      </c>
      <c r="O1309">
        <v>0</v>
      </c>
      <c r="P1309">
        <v>0</v>
      </c>
      <c r="Q1309" t="s">
        <v>37</v>
      </c>
      <c r="R1309" t="s">
        <v>71</v>
      </c>
      <c r="S1309" t="s">
        <v>1736</v>
      </c>
      <c r="T1309" t="s">
        <v>1737</v>
      </c>
    </row>
    <row r="1310" spans="1:20" x14ac:dyDescent="0.25">
      <c r="A1310" t="s">
        <v>3883</v>
      </c>
      <c r="B1310" t="str">
        <f>"3844"</f>
        <v>3844</v>
      </c>
      <c r="C1310" t="str">
        <f>"088363844"</f>
        <v>088363844</v>
      </c>
      <c r="D1310" t="s">
        <v>3884</v>
      </c>
      <c r="E1310" t="s">
        <v>813</v>
      </c>
      <c r="F1310" t="s">
        <v>28</v>
      </c>
      <c r="G1310" s="1">
        <v>16272</v>
      </c>
      <c r="H1310" s="1">
        <v>41232</v>
      </c>
      <c r="I1310" t="str">
        <f>"41"</f>
        <v>41</v>
      </c>
      <c r="J1310" t="s">
        <v>24</v>
      </c>
      <c r="K1310" t="s">
        <v>25</v>
      </c>
      <c r="L1310" t="s">
        <v>26</v>
      </c>
      <c r="M1310" t="s">
        <v>27</v>
      </c>
      <c r="N1310" s="1">
        <v>18629</v>
      </c>
      <c r="O1310">
        <v>0</v>
      </c>
      <c r="P1310">
        <v>0</v>
      </c>
      <c r="Q1310" t="s">
        <v>37</v>
      </c>
      <c r="R1310" t="s">
        <v>51</v>
      </c>
      <c r="S1310" s="2" t="s">
        <v>362</v>
      </c>
      <c r="T1310" t="s">
        <v>363</v>
      </c>
    </row>
    <row r="1311" spans="1:20" x14ac:dyDescent="0.25">
      <c r="A1311" t="s">
        <v>3885</v>
      </c>
      <c r="B1311" t="str">
        <f>"2241"</f>
        <v>2241</v>
      </c>
      <c r="C1311" t="str">
        <f>"285862241"</f>
        <v>285862241</v>
      </c>
      <c r="D1311" t="s">
        <v>1854</v>
      </c>
      <c r="E1311" t="s">
        <v>3886</v>
      </c>
      <c r="F1311" t="s">
        <v>239</v>
      </c>
      <c r="G1311" s="1">
        <v>26108</v>
      </c>
      <c r="H1311" s="1">
        <v>41226</v>
      </c>
      <c r="I1311" t="str">
        <f>"12"</f>
        <v>12</v>
      </c>
      <c r="J1311" t="s">
        <v>245</v>
      </c>
      <c r="K1311" t="s">
        <v>175</v>
      </c>
      <c r="L1311" t="s">
        <v>37</v>
      </c>
      <c r="M1311" t="s">
        <v>117</v>
      </c>
      <c r="N1311" s="1">
        <v>41617</v>
      </c>
      <c r="O1311">
        <v>5288.66</v>
      </c>
      <c r="P1311">
        <v>1322.1</v>
      </c>
      <c r="Q1311" t="s">
        <v>37</v>
      </c>
      <c r="R1311" t="s">
        <v>71</v>
      </c>
      <c r="S1311" t="s">
        <v>2825</v>
      </c>
      <c r="T1311" t="s">
        <v>2826</v>
      </c>
    </row>
    <row r="1312" spans="1:20" x14ac:dyDescent="0.25">
      <c r="A1312" t="s">
        <v>3887</v>
      </c>
      <c r="B1312" t="str">
        <f>"8567"</f>
        <v>8567</v>
      </c>
      <c r="C1312" t="str">
        <f>"277728567"</f>
        <v>277728567</v>
      </c>
      <c r="D1312" t="s">
        <v>663</v>
      </c>
      <c r="E1312" t="s">
        <v>3474</v>
      </c>
      <c r="G1312" s="1">
        <v>25401</v>
      </c>
      <c r="H1312" s="1">
        <v>41226</v>
      </c>
      <c r="I1312" t="str">
        <f>"41"</f>
        <v>41</v>
      </c>
      <c r="J1312" t="s">
        <v>24</v>
      </c>
      <c r="K1312" t="s">
        <v>25</v>
      </c>
      <c r="L1312" t="s">
        <v>26</v>
      </c>
      <c r="M1312" t="s">
        <v>27</v>
      </c>
      <c r="N1312" s="1">
        <v>18629</v>
      </c>
      <c r="O1312">
        <v>0</v>
      </c>
      <c r="P1312">
        <v>0</v>
      </c>
      <c r="Q1312" t="s">
        <v>37</v>
      </c>
      <c r="R1312" t="s">
        <v>51</v>
      </c>
      <c r="S1312" s="2" t="s">
        <v>1359</v>
      </c>
      <c r="T1312" t="s">
        <v>1360</v>
      </c>
    </row>
    <row r="1313" spans="1:20" x14ac:dyDescent="0.25">
      <c r="A1313" t="s">
        <v>3888</v>
      </c>
      <c r="B1313" t="str">
        <f>"8830"</f>
        <v>8830</v>
      </c>
      <c r="C1313" t="str">
        <f>"284668830"</f>
        <v>284668830</v>
      </c>
      <c r="D1313" t="s">
        <v>433</v>
      </c>
      <c r="E1313" t="s">
        <v>1134</v>
      </c>
      <c r="F1313" t="s">
        <v>97</v>
      </c>
      <c r="G1313" s="1">
        <v>23445</v>
      </c>
      <c r="H1313" s="1">
        <v>41226</v>
      </c>
      <c r="I1313" t="str">
        <f>"03"</f>
        <v>03</v>
      </c>
      <c r="J1313" t="s">
        <v>70</v>
      </c>
      <c r="K1313" t="s">
        <v>98</v>
      </c>
      <c r="L1313" t="s">
        <v>37</v>
      </c>
      <c r="M1313" t="s">
        <v>99</v>
      </c>
      <c r="N1313" s="1">
        <v>41617</v>
      </c>
      <c r="O1313">
        <v>14801.8</v>
      </c>
      <c r="P1313">
        <v>3700.32</v>
      </c>
      <c r="Q1313" t="s">
        <v>37</v>
      </c>
      <c r="R1313" t="s">
        <v>38</v>
      </c>
      <c r="S1313" t="s">
        <v>1264</v>
      </c>
      <c r="T1313" t="s">
        <v>1265</v>
      </c>
    </row>
    <row r="1314" spans="1:20" x14ac:dyDescent="0.25">
      <c r="A1314" t="s">
        <v>3889</v>
      </c>
      <c r="B1314" t="str">
        <f>"0021"</f>
        <v>0021</v>
      </c>
      <c r="C1314" t="str">
        <f>"151600021"</f>
        <v>151600021</v>
      </c>
      <c r="D1314" t="s">
        <v>3890</v>
      </c>
      <c r="E1314" t="s">
        <v>3646</v>
      </c>
      <c r="F1314" t="s">
        <v>438</v>
      </c>
      <c r="G1314" s="1">
        <v>22430</v>
      </c>
      <c r="H1314" s="1">
        <v>41226</v>
      </c>
      <c r="I1314" t="str">
        <f>"52"</f>
        <v>52</v>
      </c>
      <c r="J1314" t="s">
        <v>330</v>
      </c>
      <c r="K1314" t="s">
        <v>25</v>
      </c>
      <c r="L1314" t="s">
        <v>26</v>
      </c>
      <c r="M1314" t="s">
        <v>27</v>
      </c>
      <c r="N1314" s="1">
        <v>18629</v>
      </c>
      <c r="O1314">
        <v>0</v>
      </c>
      <c r="P1314">
        <v>0</v>
      </c>
      <c r="Q1314" t="s">
        <v>28</v>
      </c>
      <c r="R1314" t="s">
        <v>51</v>
      </c>
      <c r="S1314" s="2" t="s">
        <v>362</v>
      </c>
      <c r="T1314" t="s">
        <v>363</v>
      </c>
    </row>
    <row r="1315" spans="1:20" x14ac:dyDescent="0.25">
      <c r="A1315" t="s">
        <v>3891</v>
      </c>
      <c r="B1315" t="str">
        <f>"5484"</f>
        <v>5484</v>
      </c>
      <c r="C1315" t="str">
        <f>"413495484"</f>
        <v>413495484</v>
      </c>
      <c r="D1315" t="s">
        <v>3892</v>
      </c>
      <c r="E1315" t="s">
        <v>1666</v>
      </c>
      <c r="F1315" t="s">
        <v>219</v>
      </c>
      <c r="G1315" s="1">
        <v>31067</v>
      </c>
      <c r="H1315" s="1">
        <v>41225</v>
      </c>
      <c r="I1315" t="str">
        <f>"12"</f>
        <v>12</v>
      </c>
      <c r="J1315" t="s">
        <v>245</v>
      </c>
      <c r="K1315" t="s">
        <v>510</v>
      </c>
      <c r="L1315" t="s">
        <v>37</v>
      </c>
      <c r="M1315" t="s">
        <v>99</v>
      </c>
      <c r="N1315" s="1">
        <v>41617</v>
      </c>
      <c r="O1315">
        <v>19521.84</v>
      </c>
      <c r="P1315">
        <v>4880.46</v>
      </c>
      <c r="Q1315" t="s">
        <v>37</v>
      </c>
      <c r="R1315" t="s">
        <v>29</v>
      </c>
      <c r="S1315" t="s">
        <v>1887</v>
      </c>
      <c r="T1315" t="s">
        <v>1888</v>
      </c>
    </row>
    <row r="1316" spans="1:20" x14ac:dyDescent="0.25">
      <c r="A1316" t="s">
        <v>3893</v>
      </c>
      <c r="B1316" t="str">
        <f>"5254"</f>
        <v>5254</v>
      </c>
      <c r="C1316" t="str">
        <f>"302865254"</f>
        <v>302865254</v>
      </c>
      <c r="D1316" t="s">
        <v>3894</v>
      </c>
      <c r="E1316" t="s">
        <v>2042</v>
      </c>
      <c r="F1316" t="s">
        <v>28</v>
      </c>
      <c r="G1316" s="1">
        <v>29289</v>
      </c>
      <c r="H1316" s="1">
        <v>41221</v>
      </c>
      <c r="I1316" t="str">
        <f>"51"</f>
        <v>51</v>
      </c>
      <c r="J1316" t="s">
        <v>471</v>
      </c>
      <c r="K1316" t="s">
        <v>25</v>
      </c>
      <c r="L1316" t="s">
        <v>26</v>
      </c>
      <c r="M1316" t="s">
        <v>27</v>
      </c>
      <c r="N1316" s="1">
        <v>18629</v>
      </c>
      <c r="O1316">
        <v>0</v>
      </c>
      <c r="P1316">
        <v>0</v>
      </c>
      <c r="Q1316" t="s">
        <v>37</v>
      </c>
      <c r="R1316" t="s">
        <v>29</v>
      </c>
      <c r="S1316" t="s">
        <v>138</v>
      </c>
      <c r="T1316" t="s">
        <v>139</v>
      </c>
    </row>
    <row r="1317" spans="1:20" x14ac:dyDescent="0.25">
      <c r="A1317" t="s">
        <v>3895</v>
      </c>
      <c r="B1317" t="str">
        <f>"5358"</f>
        <v>5358</v>
      </c>
      <c r="C1317" t="str">
        <f>"276605358"</f>
        <v>276605358</v>
      </c>
      <c r="D1317" t="s">
        <v>3896</v>
      </c>
      <c r="E1317" t="s">
        <v>672</v>
      </c>
      <c r="G1317" s="1">
        <v>21688</v>
      </c>
      <c r="H1317" s="1">
        <v>41218</v>
      </c>
      <c r="I1317" t="str">
        <f>"41"</f>
        <v>41</v>
      </c>
      <c r="J1317" t="s">
        <v>24</v>
      </c>
      <c r="K1317" t="s">
        <v>25</v>
      </c>
      <c r="L1317" t="s">
        <v>26</v>
      </c>
      <c r="M1317" t="s">
        <v>27</v>
      </c>
      <c r="N1317" s="1">
        <v>18629</v>
      </c>
      <c r="O1317">
        <v>0</v>
      </c>
      <c r="P1317">
        <v>0</v>
      </c>
      <c r="Q1317" t="s">
        <v>28</v>
      </c>
      <c r="R1317" t="s">
        <v>71</v>
      </c>
      <c r="S1317" t="s">
        <v>1780</v>
      </c>
      <c r="T1317" t="s">
        <v>1781</v>
      </c>
    </row>
    <row r="1318" spans="1:20" x14ac:dyDescent="0.25">
      <c r="A1318" t="s">
        <v>3897</v>
      </c>
      <c r="B1318" t="str">
        <f>"5740"</f>
        <v>5740</v>
      </c>
      <c r="C1318" t="str">
        <f>"302445740"</f>
        <v>302445740</v>
      </c>
      <c r="D1318" t="s">
        <v>3898</v>
      </c>
      <c r="E1318" t="s">
        <v>304</v>
      </c>
      <c r="F1318" t="s">
        <v>239</v>
      </c>
      <c r="G1318" s="1">
        <v>18546</v>
      </c>
      <c r="H1318" s="1">
        <v>41218</v>
      </c>
      <c r="I1318" t="str">
        <f>"50"</f>
        <v>50</v>
      </c>
      <c r="J1318" t="s">
        <v>208</v>
      </c>
      <c r="K1318" t="s">
        <v>25</v>
      </c>
      <c r="L1318" t="s">
        <v>26</v>
      </c>
      <c r="M1318" t="s">
        <v>27</v>
      </c>
      <c r="N1318" s="1">
        <v>18629</v>
      </c>
      <c r="O1318">
        <v>0</v>
      </c>
      <c r="P1318">
        <v>0</v>
      </c>
      <c r="Q1318" t="s">
        <v>28</v>
      </c>
      <c r="R1318" t="s">
        <v>29</v>
      </c>
      <c r="S1318" t="s">
        <v>185</v>
      </c>
      <c r="T1318" t="s">
        <v>186</v>
      </c>
    </row>
    <row r="1319" spans="1:20" x14ac:dyDescent="0.25">
      <c r="A1319" t="s">
        <v>3899</v>
      </c>
      <c r="B1319" t="str">
        <f>"1350"</f>
        <v>1350</v>
      </c>
      <c r="C1319" t="str">
        <f>"277801350"</f>
        <v>277801350</v>
      </c>
      <c r="D1319" t="s">
        <v>3900</v>
      </c>
      <c r="E1319" t="s">
        <v>466</v>
      </c>
      <c r="F1319" t="s">
        <v>239</v>
      </c>
      <c r="G1319" s="1">
        <v>27278</v>
      </c>
      <c r="H1319" s="1">
        <v>41214</v>
      </c>
      <c r="I1319" t="str">
        <f>"52"</f>
        <v>52</v>
      </c>
      <c r="J1319" t="s">
        <v>330</v>
      </c>
      <c r="K1319" t="s">
        <v>25</v>
      </c>
      <c r="L1319" t="s">
        <v>26</v>
      </c>
      <c r="M1319" t="s">
        <v>27</v>
      </c>
      <c r="N1319" s="1">
        <v>18629</v>
      </c>
      <c r="O1319">
        <v>0</v>
      </c>
      <c r="P1319">
        <v>0</v>
      </c>
      <c r="Q1319" t="s">
        <v>28</v>
      </c>
      <c r="R1319" t="s">
        <v>346</v>
      </c>
      <c r="S1319" t="s">
        <v>960</v>
      </c>
      <c r="T1319" t="s">
        <v>314</v>
      </c>
    </row>
    <row r="1320" spans="1:20" x14ac:dyDescent="0.25">
      <c r="A1320" t="s">
        <v>3901</v>
      </c>
      <c r="B1320" t="str">
        <f>"1788"</f>
        <v>1788</v>
      </c>
      <c r="C1320" t="str">
        <f>"302901788"</f>
        <v>302901788</v>
      </c>
      <c r="D1320" t="s">
        <v>3902</v>
      </c>
      <c r="E1320" t="s">
        <v>2483</v>
      </c>
      <c r="F1320" t="s">
        <v>165</v>
      </c>
      <c r="G1320" s="1">
        <v>31513</v>
      </c>
      <c r="H1320" s="1">
        <v>41214</v>
      </c>
      <c r="I1320" t="str">
        <f>"51"</f>
        <v>51</v>
      </c>
      <c r="J1320" t="s">
        <v>471</v>
      </c>
      <c r="K1320" t="s">
        <v>25</v>
      </c>
      <c r="L1320" t="s">
        <v>26</v>
      </c>
      <c r="M1320" t="s">
        <v>27</v>
      </c>
      <c r="N1320" s="1">
        <v>18629</v>
      </c>
      <c r="O1320">
        <v>0</v>
      </c>
      <c r="P1320">
        <v>0</v>
      </c>
      <c r="Q1320" t="s">
        <v>37</v>
      </c>
      <c r="R1320" t="s">
        <v>29</v>
      </c>
      <c r="S1320" t="s">
        <v>3588</v>
      </c>
      <c r="T1320" t="s">
        <v>3589</v>
      </c>
    </row>
    <row r="1321" spans="1:20" x14ac:dyDescent="0.25">
      <c r="A1321" t="s">
        <v>3903</v>
      </c>
      <c r="B1321" t="str">
        <f>"4068"</f>
        <v>4068</v>
      </c>
      <c r="C1321" t="str">
        <f>"296624068"</f>
        <v>296624068</v>
      </c>
      <c r="D1321" t="s">
        <v>2158</v>
      </c>
      <c r="E1321" t="s">
        <v>3904</v>
      </c>
      <c r="G1321" s="1">
        <v>21613</v>
      </c>
      <c r="H1321" s="1">
        <v>41211</v>
      </c>
      <c r="I1321" t="str">
        <f>"41"</f>
        <v>41</v>
      </c>
      <c r="J1321" t="s">
        <v>24</v>
      </c>
      <c r="K1321" t="s">
        <v>25</v>
      </c>
      <c r="L1321" t="s">
        <v>26</v>
      </c>
      <c r="M1321" t="s">
        <v>27</v>
      </c>
      <c r="N1321" s="1">
        <v>18629</v>
      </c>
      <c r="O1321">
        <v>0</v>
      </c>
      <c r="P1321">
        <v>0</v>
      </c>
      <c r="Q1321" t="s">
        <v>37</v>
      </c>
      <c r="R1321" t="s">
        <v>38</v>
      </c>
      <c r="S1321" t="s">
        <v>1194</v>
      </c>
      <c r="T1321" t="s">
        <v>1195</v>
      </c>
    </row>
    <row r="1322" spans="1:20" x14ac:dyDescent="0.25">
      <c r="A1322" t="s">
        <v>3905</v>
      </c>
      <c r="B1322" t="str">
        <f>"5961"</f>
        <v>5961</v>
      </c>
      <c r="C1322" t="str">
        <f>"295825961"</f>
        <v>295825961</v>
      </c>
      <c r="D1322" t="s">
        <v>3906</v>
      </c>
      <c r="E1322" t="s">
        <v>1981</v>
      </c>
      <c r="F1322" t="s">
        <v>97</v>
      </c>
      <c r="G1322" s="1">
        <v>25301</v>
      </c>
      <c r="H1322" s="1">
        <v>41211</v>
      </c>
      <c r="I1322" t="str">
        <f>"12"</f>
        <v>12</v>
      </c>
      <c r="J1322" t="s">
        <v>245</v>
      </c>
      <c r="L1322" t="s">
        <v>37</v>
      </c>
      <c r="M1322" t="s">
        <v>143</v>
      </c>
      <c r="N1322" s="1">
        <v>41617</v>
      </c>
      <c r="O1322">
        <v>185.9</v>
      </c>
      <c r="P1322">
        <v>-185.9</v>
      </c>
      <c r="Q1322" t="s">
        <v>37</v>
      </c>
      <c r="R1322" t="s">
        <v>38</v>
      </c>
      <c r="S1322" t="s">
        <v>39</v>
      </c>
      <c r="T1322" t="s">
        <v>40</v>
      </c>
    </row>
    <row r="1323" spans="1:20" x14ac:dyDescent="0.25">
      <c r="A1323" t="s">
        <v>3907</v>
      </c>
      <c r="B1323" t="str">
        <f>"3390"</f>
        <v>3390</v>
      </c>
      <c r="C1323" t="str">
        <f>"141743390"</f>
        <v>141743390</v>
      </c>
      <c r="D1323" t="s">
        <v>2987</v>
      </c>
      <c r="E1323" t="s">
        <v>194</v>
      </c>
      <c r="F1323" t="s">
        <v>69</v>
      </c>
      <c r="G1323" s="1">
        <v>25412</v>
      </c>
      <c r="H1323" s="1">
        <v>41211</v>
      </c>
      <c r="I1323" t="str">
        <f>"01"</f>
        <v>01</v>
      </c>
      <c r="J1323" t="s">
        <v>116</v>
      </c>
      <c r="K1323" t="s">
        <v>98</v>
      </c>
      <c r="L1323" t="s">
        <v>37</v>
      </c>
      <c r="M1323" t="s">
        <v>257</v>
      </c>
      <c r="N1323" s="1">
        <v>41617</v>
      </c>
      <c r="O1323">
        <v>10753.08</v>
      </c>
      <c r="P1323">
        <v>2688.4</v>
      </c>
      <c r="Q1323" t="s">
        <v>37</v>
      </c>
      <c r="R1323" t="s">
        <v>29</v>
      </c>
      <c r="S1323" t="s">
        <v>620</v>
      </c>
      <c r="T1323" t="s">
        <v>621</v>
      </c>
    </row>
    <row r="1324" spans="1:20" x14ac:dyDescent="0.25">
      <c r="A1324" t="s">
        <v>3908</v>
      </c>
      <c r="B1324" t="str">
        <f>"4700"</f>
        <v>4700</v>
      </c>
      <c r="C1324" t="str">
        <f>"298784700"</f>
        <v>298784700</v>
      </c>
      <c r="D1324" t="s">
        <v>3909</v>
      </c>
      <c r="E1324" t="s">
        <v>3910</v>
      </c>
      <c r="F1324" t="s">
        <v>44</v>
      </c>
      <c r="G1324" s="1">
        <v>24310</v>
      </c>
      <c r="H1324" s="1">
        <v>41211</v>
      </c>
      <c r="I1324" t="str">
        <f>"41"</f>
        <v>41</v>
      </c>
      <c r="J1324" t="s">
        <v>24</v>
      </c>
      <c r="K1324" t="s">
        <v>25</v>
      </c>
      <c r="L1324" t="s">
        <v>26</v>
      </c>
      <c r="M1324" t="s">
        <v>27</v>
      </c>
      <c r="N1324" s="1">
        <v>18629</v>
      </c>
      <c r="O1324">
        <v>0</v>
      </c>
      <c r="P1324">
        <v>0</v>
      </c>
      <c r="Q1324" t="s">
        <v>37</v>
      </c>
      <c r="R1324" t="s">
        <v>51</v>
      </c>
      <c r="S1324" t="s">
        <v>203</v>
      </c>
      <c r="T1324" t="s">
        <v>204</v>
      </c>
    </row>
    <row r="1325" spans="1:20" x14ac:dyDescent="0.25">
      <c r="A1325" t="s">
        <v>3911</v>
      </c>
      <c r="B1325" t="str">
        <f>"3486"</f>
        <v>3486</v>
      </c>
      <c r="C1325" t="str">
        <f>"268723486"</f>
        <v>268723486</v>
      </c>
      <c r="D1325" t="s">
        <v>866</v>
      </c>
      <c r="E1325" t="s">
        <v>2070</v>
      </c>
      <c r="F1325" t="s">
        <v>93</v>
      </c>
      <c r="G1325" s="1">
        <v>27213</v>
      </c>
      <c r="H1325" s="1">
        <v>41206</v>
      </c>
      <c r="I1325" t="str">
        <f>"51"</f>
        <v>51</v>
      </c>
      <c r="J1325" t="s">
        <v>471</v>
      </c>
      <c r="K1325" t="s">
        <v>25</v>
      </c>
      <c r="L1325" t="s">
        <v>26</v>
      </c>
      <c r="M1325" t="s">
        <v>27</v>
      </c>
      <c r="N1325" s="1">
        <v>18629</v>
      </c>
      <c r="O1325">
        <v>0</v>
      </c>
      <c r="P1325">
        <v>0</v>
      </c>
      <c r="Q1325" t="s">
        <v>37</v>
      </c>
      <c r="R1325" t="s">
        <v>29</v>
      </c>
      <c r="S1325" t="s">
        <v>1828</v>
      </c>
      <c r="T1325" t="s">
        <v>1829</v>
      </c>
    </row>
    <row r="1326" spans="1:20" x14ac:dyDescent="0.25">
      <c r="A1326" t="s">
        <v>3912</v>
      </c>
      <c r="B1326" t="str">
        <f>"6355"</f>
        <v>6355</v>
      </c>
      <c r="C1326" t="str">
        <f>"284766355"</f>
        <v>284766355</v>
      </c>
      <c r="D1326" t="s">
        <v>3913</v>
      </c>
      <c r="E1326" t="s">
        <v>173</v>
      </c>
      <c r="F1326" t="s">
        <v>556</v>
      </c>
      <c r="G1326" s="1">
        <v>29281</v>
      </c>
      <c r="H1326" s="1">
        <v>41205</v>
      </c>
      <c r="I1326" t="str">
        <f>"51"</f>
        <v>51</v>
      </c>
      <c r="J1326" t="s">
        <v>471</v>
      </c>
      <c r="K1326" t="s">
        <v>25</v>
      </c>
      <c r="L1326" t="s">
        <v>26</v>
      </c>
      <c r="M1326" t="s">
        <v>27</v>
      </c>
      <c r="N1326" s="1">
        <v>18629</v>
      </c>
      <c r="O1326">
        <v>0</v>
      </c>
      <c r="P1326">
        <v>0</v>
      </c>
      <c r="Q1326" t="s">
        <v>37</v>
      </c>
      <c r="R1326" t="s">
        <v>29</v>
      </c>
      <c r="S1326" t="s">
        <v>2736</v>
      </c>
      <c r="T1326" t="s">
        <v>2737</v>
      </c>
    </row>
    <row r="1327" spans="1:20" x14ac:dyDescent="0.25">
      <c r="A1327" t="s">
        <v>3914</v>
      </c>
      <c r="B1327" t="str">
        <f>"3859"</f>
        <v>3859</v>
      </c>
      <c r="C1327" t="str">
        <f>"281723859"</f>
        <v>281723859</v>
      </c>
      <c r="D1327" t="s">
        <v>3915</v>
      </c>
      <c r="E1327" t="s">
        <v>782</v>
      </c>
      <c r="F1327" t="s">
        <v>93</v>
      </c>
      <c r="G1327" s="1">
        <v>23751</v>
      </c>
      <c r="H1327" s="1">
        <v>41204</v>
      </c>
      <c r="I1327" t="str">
        <f>"51"</f>
        <v>51</v>
      </c>
      <c r="J1327" t="s">
        <v>471</v>
      </c>
      <c r="K1327" t="s">
        <v>25</v>
      </c>
      <c r="L1327" t="s">
        <v>26</v>
      </c>
      <c r="M1327" t="s">
        <v>27</v>
      </c>
      <c r="N1327" s="1">
        <v>18629</v>
      </c>
      <c r="O1327">
        <v>0</v>
      </c>
      <c r="P1327">
        <v>0</v>
      </c>
      <c r="Q1327" t="s">
        <v>37</v>
      </c>
      <c r="R1327" t="s">
        <v>71</v>
      </c>
      <c r="S1327" t="s">
        <v>3635</v>
      </c>
      <c r="T1327" t="s">
        <v>3636</v>
      </c>
    </row>
    <row r="1328" spans="1:20" x14ac:dyDescent="0.25">
      <c r="A1328" t="s">
        <v>3916</v>
      </c>
      <c r="B1328" t="str">
        <f>"5576"</f>
        <v>5576</v>
      </c>
      <c r="C1328" t="str">
        <f>"277525576"</f>
        <v>277525576</v>
      </c>
      <c r="D1328" t="s">
        <v>3917</v>
      </c>
      <c r="E1328" t="s">
        <v>3346</v>
      </c>
      <c r="F1328" t="s">
        <v>69</v>
      </c>
      <c r="G1328" s="1">
        <v>19640</v>
      </c>
      <c r="H1328" s="1">
        <v>41204</v>
      </c>
      <c r="I1328" t="str">
        <f>"51"</f>
        <v>51</v>
      </c>
      <c r="J1328" t="s">
        <v>471</v>
      </c>
      <c r="K1328" t="s">
        <v>25</v>
      </c>
      <c r="L1328" t="s">
        <v>26</v>
      </c>
      <c r="M1328" t="s">
        <v>27</v>
      </c>
      <c r="N1328" s="1">
        <v>18629</v>
      </c>
      <c r="O1328">
        <v>0</v>
      </c>
      <c r="P1328">
        <v>0</v>
      </c>
      <c r="Q1328" t="s">
        <v>28</v>
      </c>
      <c r="R1328" t="s">
        <v>71</v>
      </c>
      <c r="S1328" t="s">
        <v>180</v>
      </c>
      <c r="T1328" t="s">
        <v>181</v>
      </c>
    </row>
    <row r="1329" spans="1:20" x14ac:dyDescent="0.25">
      <c r="A1329" t="s">
        <v>3918</v>
      </c>
      <c r="B1329" t="str">
        <f>"4593"</f>
        <v>4593</v>
      </c>
      <c r="C1329" t="str">
        <f>"274864593"</f>
        <v>274864593</v>
      </c>
      <c r="D1329" t="s">
        <v>3919</v>
      </c>
      <c r="E1329" t="s">
        <v>721</v>
      </c>
      <c r="F1329" t="s">
        <v>264</v>
      </c>
      <c r="G1329" s="1">
        <v>30061</v>
      </c>
      <c r="H1329" s="1">
        <v>41204</v>
      </c>
      <c r="I1329" t="str">
        <f>"51"</f>
        <v>51</v>
      </c>
      <c r="J1329" t="s">
        <v>471</v>
      </c>
      <c r="K1329" t="s">
        <v>25</v>
      </c>
      <c r="L1329" t="s">
        <v>26</v>
      </c>
      <c r="M1329" t="s">
        <v>27</v>
      </c>
      <c r="N1329" s="1">
        <v>18629</v>
      </c>
      <c r="O1329">
        <v>0</v>
      </c>
      <c r="P1329">
        <v>0</v>
      </c>
      <c r="Q1329" t="s">
        <v>28</v>
      </c>
      <c r="R1329" t="s">
        <v>71</v>
      </c>
      <c r="S1329" t="s">
        <v>2458</v>
      </c>
      <c r="T1329" t="s">
        <v>2459</v>
      </c>
    </row>
    <row r="1330" spans="1:20" x14ac:dyDescent="0.25">
      <c r="A1330" t="s">
        <v>3920</v>
      </c>
      <c r="B1330" t="str">
        <f>"9103"</f>
        <v>9103</v>
      </c>
      <c r="C1330" t="str">
        <f>"275869103"</f>
        <v>275869103</v>
      </c>
      <c r="D1330" t="s">
        <v>3921</v>
      </c>
      <c r="E1330" t="s">
        <v>48</v>
      </c>
      <c r="F1330" t="s">
        <v>44</v>
      </c>
      <c r="G1330" s="1">
        <v>27065</v>
      </c>
      <c r="H1330" s="1">
        <v>41199</v>
      </c>
      <c r="I1330" t="str">
        <f>"52"</f>
        <v>52</v>
      </c>
      <c r="J1330" t="s">
        <v>330</v>
      </c>
      <c r="K1330" t="s">
        <v>25</v>
      </c>
      <c r="L1330" t="s">
        <v>26</v>
      </c>
      <c r="M1330" t="s">
        <v>27</v>
      </c>
      <c r="N1330" s="1">
        <v>18629</v>
      </c>
      <c r="O1330">
        <v>0</v>
      </c>
      <c r="P1330">
        <v>0</v>
      </c>
      <c r="Q1330" t="s">
        <v>37</v>
      </c>
      <c r="R1330" t="s">
        <v>258</v>
      </c>
      <c r="S1330" t="s">
        <v>678</v>
      </c>
      <c r="T1330" t="s">
        <v>679</v>
      </c>
    </row>
    <row r="1331" spans="1:20" x14ac:dyDescent="0.25">
      <c r="A1331" t="s">
        <v>3922</v>
      </c>
      <c r="B1331" t="str">
        <f>"0337"</f>
        <v>0337</v>
      </c>
      <c r="C1331" t="str">
        <f>"299740337"</f>
        <v>299740337</v>
      </c>
      <c r="D1331" t="s">
        <v>3923</v>
      </c>
      <c r="E1331" t="s">
        <v>3924</v>
      </c>
      <c r="G1331" s="1">
        <v>28552</v>
      </c>
      <c r="H1331" s="1">
        <v>41197</v>
      </c>
      <c r="I1331" t="str">
        <f>"52"</f>
        <v>52</v>
      </c>
      <c r="J1331" t="s">
        <v>330</v>
      </c>
      <c r="K1331" t="s">
        <v>25</v>
      </c>
      <c r="L1331" t="s">
        <v>26</v>
      </c>
      <c r="M1331" t="s">
        <v>27</v>
      </c>
      <c r="N1331" s="1">
        <v>18629</v>
      </c>
      <c r="O1331">
        <v>0</v>
      </c>
      <c r="P1331">
        <v>0</v>
      </c>
      <c r="Q1331" t="s">
        <v>37</v>
      </c>
      <c r="R1331" t="s">
        <v>29</v>
      </c>
      <c r="S1331" t="s">
        <v>1761</v>
      </c>
      <c r="T1331" t="s">
        <v>1762</v>
      </c>
    </row>
    <row r="1332" spans="1:20" x14ac:dyDescent="0.25">
      <c r="A1332" t="s">
        <v>3925</v>
      </c>
      <c r="B1332" t="str">
        <f>"4894"</f>
        <v>4894</v>
      </c>
      <c r="C1332" t="str">
        <f>"270844894"</f>
        <v>270844894</v>
      </c>
      <c r="D1332" t="s">
        <v>3926</v>
      </c>
      <c r="E1332" t="s">
        <v>3927</v>
      </c>
      <c r="G1332" s="1">
        <v>31243</v>
      </c>
      <c r="H1332" s="1">
        <v>41197</v>
      </c>
      <c r="I1332" t="str">
        <f>"15"</f>
        <v>15</v>
      </c>
      <c r="J1332" t="s">
        <v>36</v>
      </c>
      <c r="K1332" t="s">
        <v>98</v>
      </c>
      <c r="L1332" t="s">
        <v>37</v>
      </c>
      <c r="M1332" t="s">
        <v>117</v>
      </c>
      <c r="N1332" s="1">
        <v>41617</v>
      </c>
      <c r="O1332">
        <v>4951.96</v>
      </c>
      <c r="P1332">
        <v>1237.8599999999999</v>
      </c>
      <c r="Q1332" t="s">
        <v>37</v>
      </c>
      <c r="R1332" t="s">
        <v>29</v>
      </c>
      <c r="S1332" t="s">
        <v>1182</v>
      </c>
      <c r="T1332" t="s">
        <v>1183</v>
      </c>
    </row>
    <row r="1333" spans="1:20" x14ac:dyDescent="0.25">
      <c r="A1333" t="s">
        <v>3928</v>
      </c>
      <c r="B1333" t="str">
        <f>"0969"</f>
        <v>0969</v>
      </c>
      <c r="C1333" t="str">
        <f>"281620969"</f>
        <v>281620969</v>
      </c>
      <c r="D1333" t="s">
        <v>3929</v>
      </c>
      <c r="E1333" t="s">
        <v>184</v>
      </c>
      <c r="G1333" s="1">
        <v>24437</v>
      </c>
      <c r="H1333" s="1">
        <v>41197</v>
      </c>
      <c r="I1333" t="str">
        <f>"03"</f>
        <v>03</v>
      </c>
      <c r="J1333" t="s">
        <v>70</v>
      </c>
      <c r="K1333" t="s">
        <v>98</v>
      </c>
      <c r="L1333" t="s">
        <v>37</v>
      </c>
      <c r="M1333" t="s">
        <v>257</v>
      </c>
      <c r="N1333" s="1">
        <v>41617</v>
      </c>
      <c r="O1333">
        <v>10753.08</v>
      </c>
      <c r="P1333">
        <v>2688.4</v>
      </c>
      <c r="Q1333" t="s">
        <v>37</v>
      </c>
      <c r="R1333" t="s">
        <v>29</v>
      </c>
      <c r="S1333" t="s">
        <v>960</v>
      </c>
      <c r="T1333" t="s">
        <v>314</v>
      </c>
    </row>
    <row r="1334" spans="1:20" x14ac:dyDescent="0.25">
      <c r="A1334" t="s">
        <v>3930</v>
      </c>
      <c r="B1334" t="str">
        <f>"7293"</f>
        <v>7293</v>
      </c>
      <c r="C1334" t="str">
        <f>"272887293"</f>
        <v>272887293</v>
      </c>
      <c r="D1334" t="s">
        <v>663</v>
      </c>
      <c r="E1334" t="s">
        <v>304</v>
      </c>
      <c r="F1334" t="s">
        <v>69</v>
      </c>
      <c r="G1334" s="1">
        <v>27250</v>
      </c>
      <c r="H1334" s="1">
        <v>41197</v>
      </c>
      <c r="I1334" t="str">
        <f>"30"</f>
        <v>30</v>
      </c>
      <c r="J1334" t="s">
        <v>50</v>
      </c>
      <c r="K1334" t="s">
        <v>25</v>
      </c>
      <c r="L1334" t="s">
        <v>26</v>
      </c>
      <c r="M1334" t="s">
        <v>27</v>
      </c>
      <c r="N1334" s="1">
        <v>18629</v>
      </c>
      <c r="O1334">
        <v>0</v>
      </c>
      <c r="P1334">
        <v>0</v>
      </c>
      <c r="Q1334" t="s">
        <v>28</v>
      </c>
      <c r="R1334" t="s">
        <v>71</v>
      </c>
      <c r="S1334" t="s">
        <v>373</v>
      </c>
      <c r="T1334" t="s">
        <v>374</v>
      </c>
    </row>
    <row r="1335" spans="1:20" x14ac:dyDescent="0.25">
      <c r="A1335" t="s">
        <v>3931</v>
      </c>
      <c r="B1335" t="str">
        <f>"8380"</f>
        <v>8380</v>
      </c>
      <c r="C1335" t="str">
        <f>"609288380"</f>
        <v>609288380</v>
      </c>
      <c r="D1335" t="s">
        <v>3932</v>
      </c>
      <c r="E1335" t="s">
        <v>722</v>
      </c>
      <c r="F1335" t="s">
        <v>282</v>
      </c>
      <c r="G1335" s="1">
        <v>32355</v>
      </c>
      <c r="H1335" s="1">
        <v>41197</v>
      </c>
      <c r="I1335" t="str">
        <f>"03"</f>
        <v>03</v>
      </c>
      <c r="J1335" t="s">
        <v>70</v>
      </c>
      <c r="K1335" t="s">
        <v>98</v>
      </c>
      <c r="L1335" t="s">
        <v>37</v>
      </c>
      <c r="M1335" t="s">
        <v>117</v>
      </c>
      <c r="N1335" s="1">
        <v>41617</v>
      </c>
      <c r="O1335">
        <v>4951.96</v>
      </c>
      <c r="P1335">
        <v>1237.8599999999999</v>
      </c>
      <c r="Q1335" t="s">
        <v>28</v>
      </c>
      <c r="R1335" t="s">
        <v>38</v>
      </c>
      <c r="S1335" t="s">
        <v>2678</v>
      </c>
      <c r="T1335" t="s">
        <v>2679</v>
      </c>
    </row>
    <row r="1336" spans="1:20" x14ac:dyDescent="0.25">
      <c r="A1336" t="s">
        <v>3933</v>
      </c>
      <c r="B1336" t="str">
        <f>"2022"</f>
        <v>2022</v>
      </c>
      <c r="C1336" t="str">
        <f>"286562022"</f>
        <v>286562022</v>
      </c>
      <c r="D1336" t="s">
        <v>2696</v>
      </c>
      <c r="E1336" t="s">
        <v>304</v>
      </c>
      <c r="F1336" t="s">
        <v>3934</v>
      </c>
      <c r="G1336" s="1">
        <v>20466</v>
      </c>
      <c r="H1336" s="1">
        <v>41197</v>
      </c>
      <c r="I1336" t="str">
        <f>"01"</f>
        <v>01</v>
      </c>
      <c r="J1336" t="s">
        <v>116</v>
      </c>
      <c r="K1336" t="s">
        <v>98</v>
      </c>
      <c r="L1336" t="s">
        <v>37</v>
      </c>
      <c r="M1336" t="s">
        <v>99</v>
      </c>
      <c r="N1336" s="1">
        <v>41617</v>
      </c>
      <c r="O1336">
        <v>14801.8</v>
      </c>
      <c r="P1336">
        <v>3700.32</v>
      </c>
      <c r="Q1336" t="s">
        <v>28</v>
      </c>
      <c r="R1336" t="s">
        <v>312</v>
      </c>
      <c r="S1336" t="s">
        <v>3935</v>
      </c>
      <c r="T1336" t="s">
        <v>3936</v>
      </c>
    </row>
    <row r="1337" spans="1:20" x14ac:dyDescent="0.25">
      <c r="A1337" t="s">
        <v>3937</v>
      </c>
      <c r="B1337" t="str">
        <f>"1024"</f>
        <v>1024</v>
      </c>
      <c r="C1337" t="str">
        <f>"284881024"</f>
        <v>284881024</v>
      </c>
      <c r="D1337" t="s">
        <v>3938</v>
      </c>
      <c r="E1337" t="s">
        <v>1802</v>
      </c>
      <c r="F1337" t="s">
        <v>93</v>
      </c>
      <c r="G1337" s="1">
        <v>30775</v>
      </c>
      <c r="H1337" s="1">
        <v>41197</v>
      </c>
      <c r="I1337" t="str">
        <f>"41"</f>
        <v>41</v>
      </c>
      <c r="J1337" t="s">
        <v>24</v>
      </c>
      <c r="K1337" t="s">
        <v>25</v>
      </c>
      <c r="L1337" t="s">
        <v>26</v>
      </c>
      <c r="M1337" t="s">
        <v>27</v>
      </c>
      <c r="N1337" s="1">
        <v>18629</v>
      </c>
      <c r="O1337">
        <v>0</v>
      </c>
      <c r="P1337">
        <v>0</v>
      </c>
      <c r="Q1337" t="s">
        <v>37</v>
      </c>
      <c r="R1337" t="s">
        <v>29</v>
      </c>
      <c r="S1337" t="s">
        <v>1075</v>
      </c>
      <c r="T1337" t="s">
        <v>1076</v>
      </c>
    </row>
    <row r="1338" spans="1:20" x14ac:dyDescent="0.25">
      <c r="A1338" t="s">
        <v>3939</v>
      </c>
      <c r="B1338" t="str">
        <f>"8815"</f>
        <v>8815</v>
      </c>
      <c r="C1338" t="str">
        <f>"269928815"</f>
        <v>269928815</v>
      </c>
      <c r="D1338" t="s">
        <v>3940</v>
      </c>
      <c r="E1338" t="s">
        <v>1666</v>
      </c>
      <c r="F1338" t="s">
        <v>329</v>
      </c>
      <c r="G1338" s="1">
        <v>31944</v>
      </c>
      <c r="H1338" s="1">
        <v>41197</v>
      </c>
      <c r="I1338" t="str">
        <f>"53"</f>
        <v>53</v>
      </c>
      <c r="J1338" t="s">
        <v>917</v>
      </c>
      <c r="K1338" t="s">
        <v>25</v>
      </c>
      <c r="L1338" t="s">
        <v>26</v>
      </c>
      <c r="M1338" t="s">
        <v>27</v>
      </c>
      <c r="N1338" s="1">
        <v>18629</v>
      </c>
      <c r="O1338">
        <v>0</v>
      </c>
      <c r="P1338">
        <v>0</v>
      </c>
      <c r="Q1338" t="s">
        <v>37</v>
      </c>
      <c r="R1338" t="s">
        <v>312</v>
      </c>
      <c r="S1338" t="s">
        <v>2184</v>
      </c>
      <c r="T1338" t="s">
        <v>2185</v>
      </c>
    </row>
    <row r="1339" spans="1:20" x14ac:dyDescent="0.25">
      <c r="A1339" t="s">
        <v>3941</v>
      </c>
      <c r="B1339" t="str">
        <f>"1044"</f>
        <v>1044</v>
      </c>
      <c r="C1339" t="str">
        <f>"288821044"</f>
        <v>288821044</v>
      </c>
      <c r="D1339" t="s">
        <v>3942</v>
      </c>
      <c r="E1339" t="s">
        <v>1071</v>
      </c>
      <c r="F1339" t="s">
        <v>28</v>
      </c>
      <c r="G1339" s="1">
        <v>25237</v>
      </c>
      <c r="H1339" s="1">
        <v>41197</v>
      </c>
      <c r="I1339" t="str">
        <f>"52"</f>
        <v>52</v>
      </c>
      <c r="J1339" t="s">
        <v>330</v>
      </c>
      <c r="K1339" t="s">
        <v>25</v>
      </c>
      <c r="L1339" t="s">
        <v>26</v>
      </c>
      <c r="M1339" t="s">
        <v>27</v>
      </c>
      <c r="N1339" s="1">
        <v>18629</v>
      </c>
      <c r="O1339">
        <v>0</v>
      </c>
      <c r="P1339">
        <v>0</v>
      </c>
      <c r="Q1339" t="s">
        <v>37</v>
      </c>
      <c r="R1339" t="s">
        <v>29</v>
      </c>
      <c r="S1339" t="s">
        <v>1761</v>
      </c>
      <c r="T1339" t="s">
        <v>1762</v>
      </c>
    </row>
    <row r="1340" spans="1:20" x14ac:dyDescent="0.25">
      <c r="A1340" t="s">
        <v>3943</v>
      </c>
      <c r="B1340" t="str">
        <f>"8154"</f>
        <v>8154</v>
      </c>
      <c r="C1340" t="str">
        <f>"290548154"</f>
        <v>290548154</v>
      </c>
      <c r="D1340" t="s">
        <v>3944</v>
      </c>
      <c r="E1340" t="s">
        <v>896</v>
      </c>
      <c r="F1340" t="s">
        <v>28</v>
      </c>
      <c r="G1340" s="1">
        <v>20527</v>
      </c>
      <c r="H1340" s="1">
        <v>41190</v>
      </c>
      <c r="I1340" t="str">
        <f>"41"</f>
        <v>41</v>
      </c>
      <c r="J1340" t="s">
        <v>24</v>
      </c>
      <c r="K1340" t="s">
        <v>25</v>
      </c>
      <c r="L1340" t="s">
        <v>26</v>
      </c>
      <c r="M1340" t="s">
        <v>27</v>
      </c>
      <c r="N1340" s="1">
        <v>18629</v>
      </c>
      <c r="O1340">
        <v>0</v>
      </c>
      <c r="P1340">
        <v>0</v>
      </c>
      <c r="Q1340" t="s">
        <v>37</v>
      </c>
      <c r="R1340" t="s">
        <v>258</v>
      </c>
      <c r="S1340" t="s">
        <v>300</v>
      </c>
      <c r="T1340" t="s">
        <v>301</v>
      </c>
    </row>
    <row r="1341" spans="1:20" x14ac:dyDescent="0.25">
      <c r="A1341" t="s">
        <v>3945</v>
      </c>
      <c r="B1341" t="str">
        <f>"6613"</f>
        <v>6613</v>
      </c>
      <c r="C1341" t="str">
        <f>"279486613"</f>
        <v>279486613</v>
      </c>
      <c r="D1341" t="s">
        <v>1624</v>
      </c>
      <c r="E1341" t="s">
        <v>3946</v>
      </c>
      <c r="G1341" s="1">
        <v>18877</v>
      </c>
      <c r="H1341" s="1">
        <v>41190</v>
      </c>
      <c r="I1341" t="str">
        <f>"15"</f>
        <v>15</v>
      </c>
      <c r="J1341" t="s">
        <v>36</v>
      </c>
      <c r="K1341" t="s">
        <v>98</v>
      </c>
      <c r="L1341" t="s">
        <v>37</v>
      </c>
      <c r="M1341" t="s">
        <v>117</v>
      </c>
      <c r="N1341" s="1">
        <v>41617</v>
      </c>
      <c r="O1341">
        <v>4951.96</v>
      </c>
      <c r="P1341">
        <v>1237.8599999999999</v>
      </c>
      <c r="Q1341" t="s">
        <v>37</v>
      </c>
      <c r="R1341" t="s">
        <v>38</v>
      </c>
      <c r="S1341" t="s">
        <v>1051</v>
      </c>
      <c r="T1341" t="s">
        <v>1052</v>
      </c>
    </row>
    <row r="1342" spans="1:20" x14ac:dyDescent="0.25">
      <c r="A1342" t="s">
        <v>3947</v>
      </c>
      <c r="B1342" t="str">
        <f>"1794"</f>
        <v>1794</v>
      </c>
      <c r="C1342" t="str">
        <f>"298741794"</f>
        <v>298741794</v>
      </c>
      <c r="D1342" t="s">
        <v>3856</v>
      </c>
      <c r="E1342" t="s">
        <v>3477</v>
      </c>
      <c r="F1342" t="s">
        <v>219</v>
      </c>
      <c r="G1342" s="1">
        <v>25679</v>
      </c>
      <c r="H1342" s="1">
        <v>41190</v>
      </c>
      <c r="I1342" t="str">
        <f>"01"</f>
        <v>01</v>
      </c>
      <c r="J1342" t="s">
        <v>116</v>
      </c>
      <c r="K1342" t="s">
        <v>98</v>
      </c>
      <c r="L1342" t="s">
        <v>37</v>
      </c>
      <c r="M1342" t="s">
        <v>99</v>
      </c>
      <c r="N1342" s="1">
        <v>41617</v>
      </c>
      <c r="O1342">
        <v>14801.8</v>
      </c>
      <c r="P1342">
        <v>3700.32</v>
      </c>
      <c r="Q1342" t="s">
        <v>28</v>
      </c>
      <c r="R1342" t="s">
        <v>110</v>
      </c>
      <c r="S1342" t="s">
        <v>3948</v>
      </c>
      <c r="T1342" t="s">
        <v>3793</v>
      </c>
    </row>
    <row r="1343" spans="1:20" x14ac:dyDescent="0.25">
      <c r="A1343" t="s">
        <v>3949</v>
      </c>
      <c r="B1343" t="str">
        <f>"0514"</f>
        <v>0514</v>
      </c>
      <c r="C1343" t="str">
        <f>"272600514"</f>
        <v>272600514</v>
      </c>
      <c r="D1343" t="s">
        <v>553</v>
      </c>
      <c r="E1343" t="s">
        <v>3950</v>
      </c>
      <c r="F1343" t="s">
        <v>93</v>
      </c>
      <c r="G1343" s="1">
        <v>20776</v>
      </c>
      <c r="H1343" s="1">
        <v>41184</v>
      </c>
      <c r="I1343" t="str">
        <f>"52"</f>
        <v>52</v>
      </c>
      <c r="J1343" t="s">
        <v>330</v>
      </c>
      <c r="K1343" t="s">
        <v>25</v>
      </c>
      <c r="L1343" t="s">
        <v>26</v>
      </c>
      <c r="M1343" t="s">
        <v>27</v>
      </c>
      <c r="N1343" s="1">
        <v>18629</v>
      </c>
      <c r="O1343">
        <v>0</v>
      </c>
      <c r="P1343">
        <v>0</v>
      </c>
      <c r="Q1343" t="s">
        <v>37</v>
      </c>
      <c r="R1343" t="s">
        <v>29</v>
      </c>
      <c r="S1343" t="s">
        <v>678</v>
      </c>
      <c r="T1343" t="s">
        <v>679</v>
      </c>
    </row>
    <row r="1344" spans="1:20" x14ac:dyDescent="0.25">
      <c r="A1344" t="s">
        <v>3951</v>
      </c>
      <c r="B1344" t="str">
        <f>"1656"</f>
        <v>1656</v>
      </c>
      <c r="C1344" t="str">
        <f>"269661656"</f>
        <v>269661656</v>
      </c>
      <c r="D1344" t="s">
        <v>3952</v>
      </c>
      <c r="E1344" t="s">
        <v>899</v>
      </c>
      <c r="F1344" t="s">
        <v>165</v>
      </c>
      <c r="G1344" s="1">
        <v>21150</v>
      </c>
      <c r="H1344" s="1">
        <v>41183</v>
      </c>
      <c r="I1344" t="str">
        <f>"41"</f>
        <v>41</v>
      </c>
      <c r="J1344" t="s">
        <v>24</v>
      </c>
      <c r="K1344" t="s">
        <v>25</v>
      </c>
      <c r="L1344" t="s">
        <v>26</v>
      </c>
      <c r="M1344" t="s">
        <v>27</v>
      </c>
      <c r="N1344" s="1">
        <v>18629</v>
      </c>
      <c r="O1344">
        <v>0</v>
      </c>
      <c r="P1344">
        <v>0</v>
      </c>
      <c r="Q1344" t="s">
        <v>37</v>
      </c>
      <c r="R1344" t="s">
        <v>29</v>
      </c>
      <c r="S1344" t="s">
        <v>300</v>
      </c>
      <c r="T1344" t="s">
        <v>301</v>
      </c>
    </row>
    <row r="1345" spans="1:20" x14ac:dyDescent="0.25">
      <c r="A1345" t="s">
        <v>3953</v>
      </c>
      <c r="B1345" t="str">
        <f>"3781"</f>
        <v>3781</v>
      </c>
      <c r="C1345" t="str">
        <f>"295763781"</f>
        <v>295763781</v>
      </c>
      <c r="D1345" t="s">
        <v>3954</v>
      </c>
      <c r="E1345" t="s">
        <v>304</v>
      </c>
      <c r="F1345" t="s">
        <v>93</v>
      </c>
      <c r="G1345" s="1">
        <v>28755</v>
      </c>
      <c r="H1345" s="1">
        <v>41183</v>
      </c>
      <c r="I1345" t="str">
        <f>"52"</f>
        <v>52</v>
      </c>
      <c r="J1345" t="s">
        <v>330</v>
      </c>
      <c r="K1345" t="s">
        <v>25</v>
      </c>
      <c r="L1345" t="s">
        <v>26</v>
      </c>
      <c r="M1345" t="s">
        <v>27</v>
      </c>
      <c r="N1345" s="1">
        <v>18629</v>
      </c>
      <c r="O1345">
        <v>0</v>
      </c>
      <c r="P1345">
        <v>0</v>
      </c>
      <c r="Q1345" t="s">
        <v>28</v>
      </c>
      <c r="R1345" t="s">
        <v>51</v>
      </c>
      <c r="S1345" t="s">
        <v>960</v>
      </c>
      <c r="T1345" t="s">
        <v>314</v>
      </c>
    </row>
    <row r="1346" spans="1:20" x14ac:dyDescent="0.25">
      <c r="A1346" t="s">
        <v>3955</v>
      </c>
      <c r="B1346" t="str">
        <f>"0190"</f>
        <v>0190</v>
      </c>
      <c r="C1346" t="str">
        <f>"282820190"</f>
        <v>282820190</v>
      </c>
      <c r="D1346" t="s">
        <v>3956</v>
      </c>
      <c r="E1346" t="s">
        <v>22</v>
      </c>
      <c r="F1346" t="s">
        <v>165</v>
      </c>
      <c r="G1346" s="1">
        <v>30794</v>
      </c>
      <c r="H1346" s="1">
        <v>41183</v>
      </c>
      <c r="I1346" t="str">
        <f>"42"</f>
        <v>42</v>
      </c>
      <c r="J1346" t="s">
        <v>367</v>
      </c>
      <c r="K1346" t="s">
        <v>25</v>
      </c>
      <c r="L1346" t="s">
        <v>26</v>
      </c>
      <c r="M1346" t="s">
        <v>27</v>
      </c>
      <c r="N1346" s="1">
        <v>18629</v>
      </c>
      <c r="O1346">
        <v>0</v>
      </c>
      <c r="P1346">
        <v>0</v>
      </c>
      <c r="Q1346" t="s">
        <v>28</v>
      </c>
      <c r="R1346" t="s">
        <v>51</v>
      </c>
      <c r="S1346" t="s">
        <v>1222</v>
      </c>
      <c r="T1346" t="s">
        <v>1223</v>
      </c>
    </row>
    <row r="1347" spans="1:20" x14ac:dyDescent="0.25">
      <c r="A1347" t="s">
        <v>3957</v>
      </c>
      <c r="B1347" t="str">
        <f>"1716"</f>
        <v>1716</v>
      </c>
      <c r="C1347" t="str">
        <f>"301641716"</f>
        <v>301641716</v>
      </c>
      <c r="D1347" t="s">
        <v>3958</v>
      </c>
      <c r="E1347" t="s">
        <v>430</v>
      </c>
      <c r="F1347" t="s">
        <v>165</v>
      </c>
      <c r="G1347" s="1">
        <v>27054</v>
      </c>
      <c r="H1347" s="1">
        <v>41183</v>
      </c>
      <c r="I1347" t="str">
        <f>"42"</f>
        <v>42</v>
      </c>
      <c r="J1347" t="s">
        <v>367</v>
      </c>
      <c r="K1347" t="s">
        <v>25</v>
      </c>
      <c r="L1347" t="s">
        <v>26</v>
      </c>
      <c r="M1347" t="s">
        <v>27</v>
      </c>
      <c r="N1347" s="1">
        <v>18629</v>
      </c>
      <c r="O1347">
        <v>0</v>
      </c>
      <c r="P1347">
        <v>0</v>
      </c>
      <c r="Q1347" t="s">
        <v>28</v>
      </c>
      <c r="R1347" t="s">
        <v>71</v>
      </c>
      <c r="S1347" t="s">
        <v>3959</v>
      </c>
      <c r="T1347" t="s">
        <v>3960</v>
      </c>
    </row>
    <row r="1348" spans="1:20" x14ac:dyDescent="0.25">
      <c r="A1348" t="s">
        <v>3961</v>
      </c>
      <c r="B1348" t="str">
        <f>"4808"</f>
        <v>4808</v>
      </c>
      <c r="C1348" t="str">
        <f>"295564808"</f>
        <v>295564808</v>
      </c>
      <c r="D1348" t="s">
        <v>3962</v>
      </c>
      <c r="E1348" t="s">
        <v>3178</v>
      </c>
      <c r="F1348" t="s">
        <v>26</v>
      </c>
      <c r="G1348" s="1">
        <v>20137</v>
      </c>
      <c r="H1348" s="1">
        <v>41183</v>
      </c>
      <c r="I1348" t="str">
        <f>"51"</f>
        <v>51</v>
      </c>
      <c r="J1348" t="s">
        <v>471</v>
      </c>
      <c r="K1348" t="s">
        <v>25</v>
      </c>
      <c r="L1348" t="s">
        <v>26</v>
      </c>
      <c r="M1348" t="s">
        <v>27</v>
      </c>
      <c r="N1348" s="1">
        <v>18629</v>
      </c>
      <c r="O1348">
        <v>0</v>
      </c>
      <c r="P1348">
        <v>0</v>
      </c>
      <c r="Q1348" t="s">
        <v>28</v>
      </c>
      <c r="R1348" t="s">
        <v>71</v>
      </c>
      <c r="S1348" t="s">
        <v>3963</v>
      </c>
      <c r="T1348" t="s">
        <v>3964</v>
      </c>
    </row>
    <row r="1349" spans="1:20" x14ac:dyDescent="0.25">
      <c r="A1349" t="s">
        <v>3965</v>
      </c>
      <c r="B1349" t="str">
        <f>"7462"</f>
        <v>7462</v>
      </c>
      <c r="C1349" t="str">
        <f>"299707462"</f>
        <v>299707462</v>
      </c>
      <c r="D1349" t="s">
        <v>3966</v>
      </c>
      <c r="E1349" t="s">
        <v>933</v>
      </c>
      <c r="F1349" t="s">
        <v>264</v>
      </c>
      <c r="G1349" s="1">
        <v>25450</v>
      </c>
      <c r="H1349" s="1">
        <v>41182</v>
      </c>
      <c r="I1349" t="str">
        <f>"52"</f>
        <v>52</v>
      </c>
      <c r="J1349" t="s">
        <v>330</v>
      </c>
      <c r="K1349" t="s">
        <v>25</v>
      </c>
      <c r="L1349" t="s">
        <v>26</v>
      </c>
      <c r="M1349" t="s">
        <v>27</v>
      </c>
      <c r="N1349" s="1">
        <v>18629</v>
      </c>
      <c r="O1349">
        <v>0</v>
      </c>
      <c r="P1349">
        <v>0</v>
      </c>
      <c r="Q1349" t="s">
        <v>28</v>
      </c>
      <c r="R1349" t="s">
        <v>258</v>
      </c>
      <c r="S1349" t="s">
        <v>331</v>
      </c>
      <c r="T1349" t="s">
        <v>332</v>
      </c>
    </row>
    <row r="1350" spans="1:20" x14ac:dyDescent="0.25">
      <c r="A1350" t="s">
        <v>3967</v>
      </c>
      <c r="B1350" t="str">
        <f>"5331"</f>
        <v>5331</v>
      </c>
      <c r="C1350" t="str">
        <f>"285505331"</f>
        <v>285505331</v>
      </c>
      <c r="D1350" t="s">
        <v>3968</v>
      </c>
      <c r="E1350" t="s">
        <v>3809</v>
      </c>
      <c r="F1350" t="s">
        <v>93</v>
      </c>
      <c r="G1350" s="1">
        <v>18596</v>
      </c>
      <c r="H1350" s="1">
        <v>41179</v>
      </c>
      <c r="I1350" t="str">
        <f>"51"</f>
        <v>51</v>
      </c>
      <c r="J1350" t="s">
        <v>471</v>
      </c>
      <c r="K1350" t="s">
        <v>25</v>
      </c>
      <c r="L1350" t="s">
        <v>26</v>
      </c>
      <c r="M1350" t="s">
        <v>27</v>
      </c>
      <c r="N1350" s="1">
        <v>18629</v>
      </c>
      <c r="O1350">
        <v>0</v>
      </c>
      <c r="P1350">
        <v>0</v>
      </c>
      <c r="Q1350" t="s">
        <v>37</v>
      </c>
      <c r="R1350" t="s">
        <v>29</v>
      </c>
      <c r="S1350" t="s">
        <v>138</v>
      </c>
      <c r="T1350" t="s">
        <v>139</v>
      </c>
    </row>
    <row r="1351" spans="1:20" x14ac:dyDescent="0.25">
      <c r="A1351" t="s">
        <v>3969</v>
      </c>
      <c r="B1351" t="str">
        <f>"1333"</f>
        <v>1333</v>
      </c>
      <c r="C1351" t="str">
        <f>"275841333"</f>
        <v>275841333</v>
      </c>
      <c r="D1351" t="s">
        <v>1810</v>
      </c>
      <c r="E1351" t="s">
        <v>179</v>
      </c>
      <c r="F1351" t="s">
        <v>28</v>
      </c>
      <c r="G1351" s="1">
        <v>25789</v>
      </c>
      <c r="H1351" s="1">
        <v>41176</v>
      </c>
      <c r="I1351" t="str">
        <f>"52"</f>
        <v>52</v>
      </c>
      <c r="J1351" t="s">
        <v>330</v>
      </c>
      <c r="K1351" t="s">
        <v>25</v>
      </c>
      <c r="L1351" t="s">
        <v>26</v>
      </c>
      <c r="M1351" t="s">
        <v>27</v>
      </c>
      <c r="N1351" s="1">
        <v>18629</v>
      </c>
      <c r="O1351">
        <v>0</v>
      </c>
      <c r="P1351">
        <v>0</v>
      </c>
      <c r="Q1351" t="s">
        <v>28</v>
      </c>
      <c r="R1351" t="s">
        <v>258</v>
      </c>
      <c r="S1351" t="s">
        <v>331</v>
      </c>
      <c r="T1351" t="s">
        <v>332</v>
      </c>
    </row>
    <row r="1352" spans="1:20" x14ac:dyDescent="0.25">
      <c r="A1352" t="s">
        <v>3970</v>
      </c>
      <c r="B1352" t="str">
        <f>"2402"</f>
        <v>2402</v>
      </c>
      <c r="C1352" t="str">
        <f>"269722402"</f>
        <v>269722402</v>
      </c>
      <c r="D1352" t="s">
        <v>3971</v>
      </c>
      <c r="E1352" t="s">
        <v>532</v>
      </c>
      <c r="F1352" t="s">
        <v>93</v>
      </c>
      <c r="G1352" s="1">
        <v>25166</v>
      </c>
      <c r="H1352" s="1">
        <v>41176</v>
      </c>
      <c r="I1352" t="str">
        <f>"52"</f>
        <v>52</v>
      </c>
      <c r="J1352" t="s">
        <v>330</v>
      </c>
      <c r="K1352" t="s">
        <v>25</v>
      </c>
      <c r="L1352" t="s">
        <v>26</v>
      </c>
      <c r="M1352" t="s">
        <v>27</v>
      </c>
      <c r="N1352" s="1">
        <v>18629</v>
      </c>
      <c r="O1352">
        <v>0</v>
      </c>
      <c r="P1352">
        <v>0</v>
      </c>
      <c r="Q1352" t="s">
        <v>28</v>
      </c>
      <c r="R1352" t="s">
        <v>258</v>
      </c>
      <c r="S1352" t="s">
        <v>331</v>
      </c>
      <c r="T1352" t="s">
        <v>332</v>
      </c>
    </row>
    <row r="1353" spans="1:20" x14ac:dyDescent="0.25">
      <c r="A1353" t="s">
        <v>3972</v>
      </c>
      <c r="B1353" t="str">
        <f>"4557"</f>
        <v>4557</v>
      </c>
      <c r="C1353" t="str">
        <f>"280724557"</f>
        <v>280724557</v>
      </c>
      <c r="D1353" t="s">
        <v>3973</v>
      </c>
      <c r="E1353" t="s">
        <v>3974</v>
      </c>
      <c r="G1353" s="1">
        <v>24140</v>
      </c>
      <c r="H1353" s="1">
        <v>41176</v>
      </c>
      <c r="I1353" t="str">
        <f>"03"</f>
        <v>03</v>
      </c>
      <c r="J1353" t="s">
        <v>70</v>
      </c>
      <c r="K1353" t="s">
        <v>98</v>
      </c>
      <c r="L1353" t="s">
        <v>37</v>
      </c>
      <c r="M1353" t="s">
        <v>99</v>
      </c>
      <c r="N1353" s="1">
        <v>41617</v>
      </c>
      <c r="O1353">
        <v>14801.8</v>
      </c>
      <c r="P1353">
        <v>3700.32</v>
      </c>
      <c r="Q1353" t="s">
        <v>37</v>
      </c>
      <c r="R1353" t="s">
        <v>38</v>
      </c>
      <c r="S1353" t="s">
        <v>1264</v>
      </c>
      <c r="T1353" t="s">
        <v>1265</v>
      </c>
    </row>
    <row r="1354" spans="1:20" x14ac:dyDescent="0.25">
      <c r="A1354" t="s">
        <v>3975</v>
      </c>
      <c r="B1354" t="str">
        <f>"5672"</f>
        <v>5672</v>
      </c>
      <c r="C1354" t="str">
        <f>"284785672"</f>
        <v>284785672</v>
      </c>
      <c r="D1354" t="s">
        <v>3976</v>
      </c>
      <c r="E1354" t="s">
        <v>941</v>
      </c>
      <c r="F1354" t="s">
        <v>165</v>
      </c>
      <c r="G1354" s="1">
        <v>29953</v>
      </c>
      <c r="H1354" s="1">
        <v>41176</v>
      </c>
      <c r="I1354" t="str">
        <f>"52"</f>
        <v>52</v>
      </c>
      <c r="J1354" t="s">
        <v>330</v>
      </c>
      <c r="K1354" t="s">
        <v>25</v>
      </c>
      <c r="L1354" t="s">
        <v>26</v>
      </c>
      <c r="M1354" t="s">
        <v>27</v>
      </c>
      <c r="N1354" s="1">
        <v>18629</v>
      </c>
      <c r="O1354">
        <v>0</v>
      </c>
      <c r="P1354">
        <v>0</v>
      </c>
      <c r="Q1354" t="s">
        <v>28</v>
      </c>
      <c r="R1354" t="s">
        <v>258</v>
      </c>
      <c r="S1354" t="s">
        <v>331</v>
      </c>
      <c r="T1354" t="s">
        <v>332</v>
      </c>
    </row>
    <row r="1355" spans="1:20" x14ac:dyDescent="0.25">
      <c r="A1355" t="s">
        <v>3977</v>
      </c>
      <c r="B1355" t="str">
        <f>"4667"</f>
        <v>4667</v>
      </c>
      <c r="C1355" t="str">
        <f>"272744667"</f>
        <v>272744667</v>
      </c>
      <c r="D1355" t="s">
        <v>860</v>
      </c>
      <c r="E1355" t="s">
        <v>3978</v>
      </c>
      <c r="F1355" t="s">
        <v>219</v>
      </c>
      <c r="G1355" s="1">
        <v>23792</v>
      </c>
      <c r="H1355" s="1">
        <v>41174</v>
      </c>
      <c r="I1355" t="str">
        <f>"52"</f>
        <v>52</v>
      </c>
      <c r="J1355" t="s">
        <v>330</v>
      </c>
      <c r="K1355" t="s">
        <v>25</v>
      </c>
      <c r="L1355" t="s">
        <v>26</v>
      </c>
      <c r="M1355" t="s">
        <v>27</v>
      </c>
      <c r="N1355" s="1">
        <v>18629</v>
      </c>
      <c r="O1355">
        <v>0</v>
      </c>
      <c r="P1355">
        <v>0</v>
      </c>
      <c r="Q1355" t="s">
        <v>28</v>
      </c>
      <c r="R1355" t="s">
        <v>258</v>
      </c>
      <c r="S1355" t="s">
        <v>331</v>
      </c>
      <c r="T1355" t="s">
        <v>332</v>
      </c>
    </row>
    <row r="1356" spans="1:20" x14ac:dyDescent="0.25">
      <c r="A1356" t="s">
        <v>3979</v>
      </c>
      <c r="B1356" t="str">
        <f>"1069"</f>
        <v>1069</v>
      </c>
      <c r="C1356" t="str">
        <f>"071241069"</f>
        <v>071241069</v>
      </c>
      <c r="D1356" t="s">
        <v>3980</v>
      </c>
      <c r="E1356" t="s">
        <v>3981</v>
      </c>
      <c r="F1356" t="s">
        <v>97</v>
      </c>
      <c r="G1356" s="1">
        <v>11676</v>
      </c>
      <c r="H1356" s="1">
        <v>41173</v>
      </c>
      <c r="I1356" t="str">
        <f>"52"</f>
        <v>52</v>
      </c>
      <c r="J1356" t="s">
        <v>330</v>
      </c>
      <c r="K1356" t="s">
        <v>25</v>
      </c>
      <c r="L1356" t="s">
        <v>26</v>
      </c>
      <c r="M1356" t="s">
        <v>27</v>
      </c>
      <c r="N1356" s="1">
        <v>18629</v>
      </c>
      <c r="O1356">
        <v>0</v>
      </c>
      <c r="P1356">
        <v>0</v>
      </c>
      <c r="Q1356" t="s">
        <v>28</v>
      </c>
      <c r="R1356" t="s">
        <v>51</v>
      </c>
      <c r="S1356" s="2" t="s">
        <v>362</v>
      </c>
      <c r="T1356" t="s">
        <v>363</v>
      </c>
    </row>
    <row r="1357" spans="1:20" x14ac:dyDescent="0.25">
      <c r="A1357" t="s">
        <v>3982</v>
      </c>
      <c r="B1357" t="str">
        <f>"9640"</f>
        <v>9640</v>
      </c>
      <c r="C1357" t="str">
        <f>"298689640"</f>
        <v>298689640</v>
      </c>
      <c r="D1357" t="s">
        <v>3983</v>
      </c>
      <c r="E1357" t="s">
        <v>256</v>
      </c>
      <c r="F1357" t="s">
        <v>28</v>
      </c>
      <c r="G1357" s="1">
        <v>24525</v>
      </c>
      <c r="H1357" s="1">
        <v>41172</v>
      </c>
      <c r="I1357" t="str">
        <f>"53"</f>
        <v>53</v>
      </c>
      <c r="J1357" t="s">
        <v>917</v>
      </c>
      <c r="K1357" t="s">
        <v>25</v>
      </c>
      <c r="L1357" t="s">
        <v>26</v>
      </c>
      <c r="M1357" t="s">
        <v>27</v>
      </c>
      <c r="N1357" s="1">
        <v>18629</v>
      </c>
      <c r="O1357">
        <v>0</v>
      </c>
      <c r="P1357">
        <v>0</v>
      </c>
      <c r="Q1357" t="s">
        <v>37</v>
      </c>
      <c r="R1357" t="s">
        <v>312</v>
      </c>
      <c r="S1357" t="s">
        <v>2184</v>
      </c>
      <c r="T1357" t="s">
        <v>2185</v>
      </c>
    </row>
    <row r="1358" spans="1:20" x14ac:dyDescent="0.25">
      <c r="A1358" t="s">
        <v>3984</v>
      </c>
      <c r="B1358" t="str">
        <f>"7649"</f>
        <v>7649</v>
      </c>
      <c r="C1358" t="str">
        <f>"292887649"</f>
        <v>292887649</v>
      </c>
      <c r="D1358" t="s">
        <v>3985</v>
      </c>
      <c r="E1358" t="s">
        <v>463</v>
      </c>
      <c r="F1358" t="s">
        <v>69</v>
      </c>
      <c r="G1358" s="1">
        <v>30303</v>
      </c>
      <c r="H1358" s="1">
        <v>41170</v>
      </c>
      <c r="I1358" t="str">
        <f>"30"</f>
        <v>30</v>
      </c>
      <c r="J1358" t="s">
        <v>50</v>
      </c>
      <c r="K1358" t="s">
        <v>25</v>
      </c>
      <c r="L1358" t="s">
        <v>26</v>
      </c>
      <c r="M1358" t="s">
        <v>27</v>
      </c>
      <c r="N1358" s="1">
        <v>18629</v>
      </c>
      <c r="O1358">
        <v>0</v>
      </c>
      <c r="P1358">
        <v>0</v>
      </c>
      <c r="Q1358" t="s">
        <v>28</v>
      </c>
      <c r="R1358" t="s">
        <v>29</v>
      </c>
      <c r="S1358" t="s">
        <v>3986</v>
      </c>
      <c r="T1358" t="s">
        <v>3987</v>
      </c>
    </row>
    <row r="1359" spans="1:20" x14ac:dyDescent="0.25">
      <c r="A1359" t="s">
        <v>3988</v>
      </c>
      <c r="B1359" t="str">
        <f>"3220"</f>
        <v>3220</v>
      </c>
      <c r="C1359" t="str">
        <f>"280963220"</f>
        <v>280963220</v>
      </c>
      <c r="D1359" t="s">
        <v>1798</v>
      </c>
      <c r="E1359" t="s">
        <v>351</v>
      </c>
      <c r="F1359" t="s">
        <v>28</v>
      </c>
      <c r="G1359" s="1">
        <v>34096</v>
      </c>
      <c r="H1359" s="1">
        <v>41170</v>
      </c>
      <c r="I1359" t="str">
        <f>"41"</f>
        <v>41</v>
      </c>
      <c r="J1359" t="s">
        <v>24</v>
      </c>
      <c r="K1359" t="s">
        <v>25</v>
      </c>
      <c r="L1359" t="s">
        <v>26</v>
      </c>
      <c r="M1359" t="s">
        <v>27</v>
      </c>
      <c r="N1359" s="1">
        <v>18629</v>
      </c>
      <c r="O1359">
        <v>0</v>
      </c>
      <c r="P1359">
        <v>0</v>
      </c>
      <c r="Q1359" t="s">
        <v>28</v>
      </c>
      <c r="R1359" t="s">
        <v>71</v>
      </c>
      <c r="S1359" t="s">
        <v>402</v>
      </c>
      <c r="T1359" t="s">
        <v>403</v>
      </c>
    </row>
    <row r="1360" spans="1:20" x14ac:dyDescent="0.25">
      <c r="A1360" t="s">
        <v>3989</v>
      </c>
      <c r="B1360" t="str">
        <f>"2904"</f>
        <v>2904</v>
      </c>
      <c r="C1360" t="str">
        <f>"293882904"</f>
        <v>293882904</v>
      </c>
      <c r="D1360" t="s">
        <v>2254</v>
      </c>
      <c r="E1360" t="s">
        <v>3990</v>
      </c>
      <c r="F1360" t="s">
        <v>28</v>
      </c>
      <c r="G1360" s="1">
        <v>32238</v>
      </c>
      <c r="H1360" s="1">
        <v>41169</v>
      </c>
      <c r="I1360" t="str">
        <f>"42"</f>
        <v>42</v>
      </c>
      <c r="J1360" t="s">
        <v>367</v>
      </c>
      <c r="K1360" t="s">
        <v>25</v>
      </c>
      <c r="L1360" t="s">
        <v>26</v>
      </c>
      <c r="M1360" t="s">
        <v>27</v>
      </c>
      <c r="N1360" s="1">
        <v>18629</v>
      </c>
      <c r="O1360">
        <v>0</v>
      </c>
      <c r="P1360">
        <v>0</v>
      </c>
      <c r="Q1360" t="s">
        <v>37</v>
      </c>
      <c r="R1360" t="s">
        <v>346</v>
      </c>
      <c r="S1360" t="s">
        <v>1153</v>
      </c>
      <c r="T1360" t="s">
        <v>1154</v>
      </c>
    </row>
    <row r="1361" spans="1:20" x14ac:dyDescent="0.25">
      <c r="A1361" t="s">
        <v>3991</v>
      </c>
      <c r="B1361" t="str">
        <f>"6255"</f>
        <v>6255</v>
      </c>
      <c r="C1361" t="str">
        <f>"274726255"</f>
        <v>274726255</v>
      </c>
      <c r="D1361" t="s">
        <v>3992</v>
      </c>
      <c r="E1361" t="s">
        <v>3663</v>
      </c>
      <c r="F1361" t="s">
        <v>44</v>
      </c>
      <c r="G1361" s="1">
        <v>26115</v>
      </c>
      <c r="H1361" s="1">
        <v>41169</v>
      </c>
      <c r="I1361" t="str">
        <f>"41"</f>
        <v>41</v>
      </c>
      <c r="J1361" t="s">
        <v>24</v>
      </c>
      <c r="K1361" t="s">
        <v>25</v>
      </c>
      <c r="L1361" t="s">
        <v>26</v>
      </c>
      <c r="M1361" t="s">
        <v>27</v>
      </c>
      <c r="N1361" s="1">
        <v>18629</v>
      </c>
      <c r="O1361">
        <v>0</v>
      </c>
      <c r="P1361">
        <v>0</v>
      </c>
      <c r="Q1361" t="s">
        <v>28</v>
      </c>
      <c r="R1361" t="s">
        <v>29</v>
      </c>
      <c r="S1361" t="s">
        <v>251</v>
      </c>
      <c r="T1361" t="s">
        <v>252</v>
      </c>
    </row>
    <row r="1362" spans="1:20" x14ac:dyDescent="0.25">
      <c r="A1362" t="s">
        <v>3993</v>
      </c>
      <c r="B1362" t="str">
        <f>"2562"</f>
        <v>2562</v>
      </c>
      <c r="C1362" t="str">
        <f>"293842562"</f>
        <v>293842562</v>
      </c>
      <c r="D1362" t="s">
        <v>2183</v>
      </c>
      <c r="E1362" t="s">
        <v>197</v>
      </c>
      <c r="F1362" t="s">
        <v>438</v>
      </c>
      <c r="G1362" s="1">
        <v>31519</v>
      </c>
      <c r="H1362" s="1">
        <v>41169</v>
      </c>
      <c r="I1362" t="str">
        <f>"08"</f>
        <v>08</v>
      </c>
      <c r="J1362" t="s">
        <v>265</v>
      </c>
      <c r="K1362" t="s">
        <v>98</v>
      </c>
      <c r="L1362" t="s">
        <v>37</v>
      </c>
      <c r="M1362" t="s">
        <v>117</v>
      </c>
      <c r="N1362" s="1">
        <v>41617</v>
      </c>
      <c r="O1362">
        <v>4951.96</v>
      </c>
      <c r="P1362">
        <v>1237.8599999999999</v>
      </c>
      <c r="Q1362" t="s">
        <v>28</v>
      </c>
      <c r="R1362" t="s">
        <v>51</v>
      </c>
      <c r="S1362" t="s">
        <v>3994</v>
      </c>
      <c r="T1362" t="s">
        <v>3995</v>
      </c>
    </row>
    <row r="1363" spans="1:20" x14ac:dyDescent="0.25">
      <c r="A1363" t="s">
        <v>3996</v>
      </c>
      <c r="B1363" t="str">
        <f>"1855"</f>
        <v>1855</v>
      </c>
      <c r="C1363" t="str">
        <f>"069761855"</f>
        <v>069761855</v>
      </c>
      <c r="D1363" t="s">
        <v>3696</v>
      </c>
      <c r="E1363" t="s">
        <v>3997</v>
      </c>
      <c r="F1363" t="s">
        <v>264</v>
      </c>
      <c r="G1363" s="1">
        <v>30984</v>
      </c>
      <c r="H1363" s="1">
        <v>41169</v>
      </c>
      <c r="I1363" t="str">
        <f>"33"</f>
        <v>33</v>
      </c>
      <c r="J1363" t="s">
        <v>45</v>
      </c>
      <c r="K1363" t="s">
        <v>25</v>
      </c>
      <c r="L1363" t="s">
        <v>26</v>
      </c>
      <c r="M1363" t="s">
        <v>27</v>
      </c>
      <c r="N1363" s="1">
        <v>18629</v>
      </c>
      <c r="O1363">
        <v>0</v>
      </c>
      <c r="P1363">
        <v>0</v>
      </c>
      <c r="Q1363" t="s">
        <v>37</v>
      </c>
      <c r="R1363" t="s">
        <v>71</v>
      </c>
      <c r="S1363" t="s">
        <v>203</v>
      </c>
      <c r="T1363" t="s">
        <v>204</v>
      </c>
    </row>
    <row r="1364" spans="1:20" x14ac:dyDescent="0.25">
      <c r="A1364" t="s">
        <v>3998</v>
      </c>
      <c r="B1364" t="str">
        <f>"6459"</f>
        <v>6459</v>
      </c>
      <c r="C1364" t="str">
        <f>"274826459"</f>
        <v>274826459</v>
      </c>
      <c r="D1364" t="s">
        <v>1951</v>
      </c>
      <c r="E1364" t="s">
        <v>544</v>
      </c>
      <c r="F1364" t="s">
        <v>44</v>
      </c>
      <c r="G1364" s="1">
        <v>25970</v>
      </c>
      <c r="H1364" s="1">
        <v>41169</v>
      </c>
      <c r="I1364" t="str">
        <f>"01"</f>
        <v>01</v>
      </c>
      <c r="J1364" t="s">
        <v>116</v>
      </c>
      <c r="K1364" t="s">
        <v>98</v>
      </c>
      <c r="L1364" t="s">
        <v>37</v>
      </c>
      <c r="M1364" t="s">
        <v>99</v>
      </c>
      <c r="N1364" s="1">
        <v>41617</v>
      </c>
      <c r="O1364">
        <v>14801.8</v>
      </c>
      <c r="P1364">
        <v>3700.32</v>
      </c>
      <c r="Q1364" t="s">
        <v>37</v>
      </c>
      <c r="R1364" t="s">
        <v>38</v>
      </c>
      <c r="S1364" t="s">
        <v>1194</v>
      </c>
      <c r="T1364" t="s">
        <v>1195</v>
      </c>
    </row>
    <row r="1365" spans="1:20" x14ac:dyDescent="0.25">
      <c r="A1365" t="s">
        <v>3999</v>
      </c>
      <c r="B1365" t="str">
        <f>"4966"</f>
        <v>4966</v>
      </c>
      <c r="C1365" t="str">
        <f>"285134966"</f>
        <v>285134966</v>
      </c>
      <c r="D1365" t="s">
        <v>3868</v>
      </c>
      <c r="E1365" t="s">
        <v>3868</v>
      </c>
      <c r="G1365" s="1">
        <v>32725</v>
      </c>
      <c r="H1365" s="1">
        <v>41167</v>
      </c>
      <c r="I1365" t="str">
        <f t="shared" ref="I1365:I1380" si="26">"52"</f>
        <v>52</v>
      </c>
      <c r="J1365" t="s">
        <v>330</v>
      </c>
      <c r="K1365" t="s">
        <v>25</v>
      </c>
      <c r="L1365" t="s">
        <v>26</v>
      </c>
      <c r="M1365" t="s">
        <v>27</v>
      </c>
      <c r="N1365" s="1">
        <v>18629</v>
      </c>
      <c r="O1365">
        <v>0</v>
      </c>
      <c r="P1365">
        <v>0</v>
      </c>
      <c r="Q1365" t="s">
        <v>37</v>
      </c>
      <c r="R1365" t="s">
        <v>29</v>
      </c>
      <c r="S1365" t="s">
        <v>4000</v>
      </c>
      <c r="T1365" t="s">
        <v>4001</v>
      </c>
    </row>
    <row r="1366" spans="1:20" x14ac:dyDescent="0.25">
      <c r="A1366" t="s">
        <v>4002</v>
      </c>
      <c r="B1366" t="str">
        <f>"8663"</f>
        <v>8663</v>
      </c>
      <c r="C1366" t="str">
        <f>"715478663"</f>
        <v>715478663</v>
      </c>
      <c r="D1366" t="s">
        <v>4003</v>
      </c>
      <c r="E1366" t="s">
        <v>4004</v>
      </c>
      <c r="G1366" s="1">
        <v>32349</v>
      </c>
      <c r="H1366" s="1">
        <v>41167</v>
      </c>
      <c r="I1366" t="str">
        <f t="shared" si="26"/>
        <v>52</v>
      </c>
      <c r="J1366" t="s">
        <v>330</v>
      </c>
      <c r="K1366" t="s">
        <v>25</v>
      </c>
      <c r="L1366" t="s">
        <v>26</v>
      </c>
      <c r="M1366" t="s">
        <v>27</v>
      </c>
      <c r="N1366" s="1">
        <v>18629</v>
      </c>
      <c r="O1366">
        <v>0</v>
      </c>
      <c r="P1366">
        <v>0</v>
      </c>
      <c r="Q1366" t="s">
        <v>28</v>
      </c>
      <c r="R1366" t="s">
        <v>29</v>
      </c>
      <c r="S1366" t="s">
        <v>4000</v>
      </c>
      <c r="T1366" t="s">
        <v>4001</v>
      </c>
    </row>
    <row r="1367" spans="1:20" x14ac:dyDescent="0.25">
      <c r="A1367" t="s">
        <v>4005</v>
      </c>
      <c r="B1367" t="str">
        <f>"1498"</f>
        <v>1498</v>
      </c>
      <c r="C1367" t="str">
        <f>"226731498"</f>
        <v>226731498</v>
      </c>
      <c r="D1367" t="s">
        <v>470</v>
      </c>
      <c r="E1367" t="s">
        <v>899</v>
      </c>
      <c r="G1367" s="1">
        <v>32023</v>
      </c>
      <c r="H1367" s="1">
        <v>41167</v>
      </c>
      <c r="I1367" t="str">
        <f t="shared" si="26"/>
        <v>52</v>
      </c>
      <c r="J1367" t="s">
        <v>330</v>
      </c>
      <c r="K1367" t="s">
        <v>25</v>
      </c>
      <c r="L1367" t="s">
        <v>26</v>
      </c>
      <c r="M1367" t="s">
        <v>27</v>
      </c>
      <c r="N1367" s="1">
        <v>18629</v>
      </c>
      <c r="O1367">
        <v>0</v>
      </c>
      <c r="P1367">
        <v>0</v>
      </c>
      <c r="Q1367" t="s">
        <v>37</v>
      </c>
      <c r="R1367" t="s">
        <v>29</v>
      </c>
      <c r="S1367" t="s">
        <v>4000</v>
      </c>
      <c r="T1367" t="s">
        <v>4001</v>
      </c>
    </row>
    <row r="1368" spans="1:20" x14ac:dyDescent="0.25">
      <c r="A1368" t="s">
        <v>4006</v>
      </c>
      <c r="B1368" t="str">
        <f>"3540"</f>
        <v>3540</v>
      </c>
      <c r="C1368" t="str">
        <f>"271683540"</f>
        <v>271683540</v>
      </c>
      <c r="D1368" t="s">
        <v>4007</v>
      </c>
      <c r="E1368" t="s">
        <v>4008</v>
      </c>
      <c r="F1368" t="s">
        <v>219</v>
      </c>
      <c r="G1368" s="1">
        <v>24246</v>
      </c>
      <c r="H1368" s="1">
        <v>41166</v>
      </c>
      <c r="I1368" t="str">
        <f t="shared" si="26"/>
        <v>52</v>
      </c>
      <c r="J1368" t="s">
        <v>330</v>
      </c>
      <c r="K1368" t="s">
        <v>25</v>
      </c>
      <c r="L1368" t="s">
        <v>26</v>
      </c>
      <c r="M1368" t="s">
        <v>27</v>
      </c>
      <c r="N1368" s="1">
        <v>18629</v>
      </c>
      <c r="O1368">
        <v>0</v>
      </c>
      <c r="P1368">
        <v>0</v>
      </c>
      <c r="Q1368" t="s">
        <v>37</v>
      </c>
      <c r="R1368" t="s">
        <v>71</v>
      </c>
      <c r="S1368" s="2" t="s">
        <v>362</v>
      </c>
      <c r="T1368" t="s">
        <v>363</v>
      </c>
    </row>
    <row r="1369" spans="1:20" x14ac:dyDescent="0.25">
      <c r="A1369" t="s">
        <v>4009</v>
      </c>
      <c r="B1369" t="str">
        <f>"7169"</f>
        <v>7169</v>
      </c>
      <c r="C1369" t="str">
        <f>"269847169"</f>
        <v>269847169</v>
      </c>
      <c r="D1369" t="s">
        <v>4010</v>
      </c>
      <c r="E1369" t="s">
        <v>1363</v>
      </c>
      <c r="F1369" t="s">
        <v>165</v>
      </c>
      <c r="G1369" s="1">
        <v>25496</v>
      </c>
      <c r="H1369" s="1">
        <v>41166</v>
      </c>
      <c r="I1369" t="str">
        <f t="shared" si="26"/>
        <v>52</v>
      </c>
      <c r="J1369" t="s">
        <v>330</v>
      </c>
      <c r="K1369" t="s">
        <v>25</v>
      </c>
      <c r="L1369" t="s">
        <v>26</v>
      </c>
      <c r="M1369" t="s">
        <v>27</v>
      </c>
      <c r="N1369" s="1">
        <v>18629</v>
      </c>
      <c r="O1369">
        <v>0</v>
      </c>
      <c r="P1369">
        <v>0</v>
      </c>
      <c r="Q1369" t="s">
        <v>37</v>
      </c>
      <c r="R1369" t="s">
        <v>51</v>
      </c>
      <c r="S1369" s="2" t="s">
        <v>362</v>
      </c>
      <c r="T1369" t="s">
        <v>363</v>
      </c>
    </row>
    <row r="1370" spans="1:20" x14ac:dyDescent="0.25">
      <c r="A1370" t="s">
        <v>4011</v>
      </c>
      <c r="B1370" t="str">
        <f>"1042"</f>
        <v>1042</v>
      </c>
      <c r="C1370" t="str">
        <f>"265861042"</f>
        <v>265861042</v>
      </c>
      <c r="D1370" t="s">
        <v>4012</v>
      </c>
      <c r="E1370" t="s">
        <v>4013</v>
      </c>
      <c r="F1370" t="s">
        <v>28</v>
      </c>
      <c r="G1370" s="1">
        <v>19235</v>
      </c>
      <c r="H1370" s="1">
        <v>41166</v>
      </c>
      <c r="I1370" t="str">
        <f t="shared" si="26"/>
        <v>52</v>
      </c>
      <c r="J1370" t="s">
        <v>330</v>
      </c>
      <c r="K1370" t="s">
        <v>25</v>
      </c>
      <c r="L1370" t="s">
        <v>26</v>
      </c>
      <c r="M1370" t="s">
        <v>27</v>
      </c>
      <c r="N1370" s="1">
        <v>18629</v>
      </c>
      <c r="O1370">
        <v>0</v>
      </c>
      <c r="P1370">
        <v>0</v>
      </c>
      <c r="Q1370" t="s">
        <v>37</v>
      </c>
      <c r="R1370" t="s">
        <v>51</v>
      </c>
      <c r="S1370" s="2" t="s">
        <v>362</v>
      </c>
      <c r="T1370" t="s">
        <v>363</v>
      </c>
    </row>
    <row r="1371" spans="1:20" x14ac:dyDescent="0.25">
      <c r="A1371" t="s">
        <v>4014</v>
      </c>
      <c r="B1371" t="str">
        <f>"3013"</f>
        <v>3013</v>
      </c>
      <c r="C1371" t="str">
        <f>"273423013"</f>
        <v>273423013</v>
      </c>
      <c r="D1371" t="s">
        <v>4015</v>
      </c>
      <c r="E1371" t="s">
        <v>179</v>
      </c>
      <c r="F1371" t="s">
        <v>97</v>
      </c>
      <c r="G1371" s="1">
        <v>16438</v>
      </c>
      <c r="H1371" s="1">
        <v>41166</v>
      </c>
      <c r="I1371" t="str">
        <f t="shared" si="26"/>
        <v>52</v>
      </c>
      <c r="J1371" t="s">
        <v>330</v>
      </c>
      <c r="K1371" t="s">
        <v>25</v>
      </c>
      <c r="L1371" t="s">
        <v>26</v>
      </c>
      <c r="M1371" t="s">
        <v>27</v>
      </c>
      <c r="N1371" s="1">
        <v>18629</v>
      </c>
      <c r="O1371">
        <v>0</v>
      </c>
      <c r="P1371">
        <v>0</v>
      </c>
      <c r="Q1371" t="s">
        <v>28</v>
      </c>
      <c r="R1371" t="s">
        <v>71</v>
      </c>
      <c r="S1371" s="2" t="s">
        <v>362</v>
      </c>
      <c r="T1371" t="s">
        <v>363</v>
      </c>
    </row>
    <row r="1372" spans="1:20" x14ac:dyDescent="0.25">
      <c r="A1372" t="s">
        <v>4016</v>
      </c>
      <c r="B1372" t="str">
        <f>"0272"</f>
        <v>0272</v>
      </c>
      <c r="C1372" t="str">
        <f>"285380272"</f>
        <v>285380272</v>
      </c>
      <c r="D1372" t="s">
        <v>4017</v>
      </c>
      <c r="E1372" t="s">
        <v>3558</v>
      </c>
      <c r="G1372" s="1">
        <v>15965</v>
      </c>
      <c r="H1372" s="1">
        <v>41166</v>
      </c>
      <c r="I1372" t="str">
        <f t="shared" si="26"/>
        <v>52</v>
      </c>
      <c r="J1372" t="s">
        <v>330</v>
      </c>
      <c r="K1372" t="s">
        <v>25</v>
      </c>
      <c r="L1372" t="s">
        <v>26</v>
      </c>
      <c r="M1372" t="s">
        <v>27</v>
      </c>
      <c r="N1372" s="1">
        <v>18629</v>
      </c>
      <c r="O1372">
        <v>0</v>
      </c>
      <c r="P1372">
        <v>0</v>
      </c>
      <c r="Q1372" t="s">
        <v>28</v>
      </c>
      <c r="R1372" t="s">
        <v>51</v>
      </c>
      <c r="S1372" s="2" t="s">
        <v>362</v>
      </c>
      <c r="T1372" t="s">
        <v>363</v>
      </c>
    </row>
    <row r="1373" spans="1:20" x14ac:dyDescent="0.25">
      <c r="A1373" t="s">
        <v>4018</v>
      </c>
      <c r="B1373" t="str">
        <f>"6810"</f>
        <v>6810</v>
      </c>
      <c r="C1373" t="str">
        <f>"277386810"</f>
        <v>277386810</v>
      </c>
      <c r="D1373" t="s">
        <v>4019</v>
      </c>
      <c r="E1373" t="s">
        <v>1487</v>
      </c>
      <c r="F1373" t="s">
        <v>69</v>
      </c>
      <c r="G1373" s="1">
        <v>16305</v>
      </c>
      <c r="H1373" s="1">
        <v>41166</v>
      </c>
      <c r="I1373" t="str">
        <f t="shared" si="26"/>
        <v>52</v>
      </c>
      <c r="J1373" t="s">
        <v>330</v>
      </c>
      <c r="K1373" t="s">
        <v>25</v>
      </c>
      <c r="L1373" t="s">
        <v>26</v>
      </c>
      <c r="M1373" t="s">
        <v>27</v>
      </c>
      <c r="N1373" s="1">
        <v>18629</v>
      </c>
      <c r="O1373">
        <v>0</v>
      </c>
      <c r="P1373">
        <v>0</v>
      </c>
      <c r="Q1373" t="s">
        <v>28</v>
      </c>
      <c r="R1373" t="s">
        <v>71</v>
      </c>
      <c r="S1373" s="2" t="s">
        <v>362</v>
      </c>
      <c r="T1373" t="s">
        <v>363</v>
      </c>
    </row>
    <row r="1374" spans="1:20" x14ac:dyDescent="0.25">
      <c r="A1374" t="s">
        <v>4020</v>
      </c>
      <c r="B1374" t="str">
        <f>"2069"</f>
        <v>2069</v>
      </c>
      <c r="C1374" t="str">
        <f>"275842069"</f>
        <v>275842069</v>
      </c>
      <c r="D1374" t="s">
        <v>4021</v>
      </c>
      <c r="E1374" t="s">
        <v>48</v>
      </c>
      <c r="F1374" t="s">
        <v>44</v>
      </c>
      <c r="G1374" s="1">
        <v>26870</v>
      </c>
      <c r="H1374" s="1">
        <v>41166</v>
      </c>
      <c r="I1374" t="str">
        <f t="shared" si="26"/>
        <v>52</v>
      </c>
      <c r="J1374" t="s">
        <v>330</v>
      </c>
      <c r="K1374" t="s">
        <v>25</v>
      </c>
      <c r="L1374" t="s">
        <v>26</v>
      </c>
      <c r="M1374" t="s">
        <v>27</v>
      </c>
      <c r="N1374" s="1">
        <v>18629</v>
      </c>
      <c r="O1374">
        <v>0</v>
      </c>
      <c r="P1374">
        <v>0</v>
      </c>
      <c r="Q1374" t="s">
        <v>37</v>
      </c>
      <c r="R1374" t="s">
        <v>51</v>
      </c>
      <c r="S1374" s="2" t="s">
        <v>362</v>
      </c>
      <c r="T1374" t="s">
        <v>363</v>
      </c>
    </row>
    <row r="1375" spans="1:20" x14ac:dyDescent="0.25">
      <c r="A1375" t="s">
        <v>4022</v>
      </c>
      <c r="B1375" t="str">
        <f>"2807"</f>
        <v>2807</v>
      </c>
      <c r="C1375" t="str">
        <f>"051682807"</f>
        <v>051682807</v>
      </c>
      <c r="D1375" t="s">
        <v>4023</v>
      </c>
      <c r="E1375" t="s">
        <v>619</v>
      </c>
      <c r="F1375" t="s">
        <v>97</v>
      </c>
      <c r="G1375" s="1">
        <v>29873</v>
      </c>
      <c r="H1375" s="1">
        <v>41166</v>
      </c>
      <c r="I1375" t="str">
        <f t="shared" si="26"/>
        <v>52</v>
      </c>
      <c r="J1375" t="s">
        <v>330</v>
      </c>
      <c r="K1375" t="s">
        <v>25</v>
      </c>
      <c r="L1375" t="s">
        <v>26</v>
      </c>
      <c r="M1375" t="s">
        <v>27</v>
      </c>
      <c r="N1375" s="1">
        <v>18629</v>
      </c>
      <c r="O1375">
        <v>0</v>
      </c>
      <c r="P1375">
        <v>0</v>
      </c>
      <c r="Q1375" t="s">
        <v>37</v>
      </c>
      <c r="R1375" t="s">
        <v>51</v>
      </c>
      <c r="S1375" s="2" t="s">
        <v>362</v>
      </c>
      <c r="T1375" t="s">
        <v>363</v>
      </c>
    </row>
    <row r="1376" spans="1:20" x14ac:dyDescent="0.25">
      <c r="A1376" t="s">
        <v>4024</v>
      </c>
      <c r="B1376" t="str">
        <f>"8011"</f>
        <v>8011</v>
      </c>
      <c r="C1376" t="str">
        <f>"273388011"</f>
        <v>273388011</v>
      </c>
      <c r="D1376" t="s">
        <v>4025</v>
      </c>
      <c r="E1376" t="s">
        <v>593</v>
      </c>
      <c r="F1376" t="s">
        <v>282</v>
      </c>
      <c r="G1376" s="1">
        <v>15649</v>
      </c>
      <c r="H1376" s="1">
        <v>41166</v>
      </c>
      <c r="I1376" t="str">
        <f t="shared" si="26"/>
        <v>52</v>
      </c>
      <c r="J1376" t="s">
        <v>330</v>
      </c>
      <c r="K1376" t="s">
        <v>25</v>
      </c>
      <c r="L1376" t="s">
        <v>26</v>
      </c>
      <c r="M1376" t="s">
        <v>27</v>
      </c>
      <c r="N1376" s="1">
        <v>18629</v>
      </c>
      <c r="O1376">
        <v>0</v>
      </c>
      <c r="P1376">
        <v>0</v>
      </c>
      <c r="Q1376" t="s">
        <v>28</v>
      </c>
      <c r="R1376" t="s">
        <v>51</v>
      </c>
      <c r="S1376" s="2" t="s">
        <v>362</v>
      </c>
      <c r="T1376" t="s">
        <v>363</v>
      </c>
    </row>
    <row r="1377" spans="1:20" x14ac:dyDescent="0.25">
      <c r="A1377" t="s">
        <v>4026</v>
      </c>
      <c r="B1377" t="str">
        <f>"0364"</f>
        <v>0364</v>
      </c>
      <c r="C1377" t="str">
        <f>"125320364"</f>
        <v>125320364</v>
      </c>
      <c r="D1377" t="s">
        <v>4027</v>
      </c>
      <c r="E1377" t="s">
        <v>988</v>
      </c>
      <c r="F1377" t="s">
        <v>69</v>
      </c>
      <c r="G1377" s="1">
        <v>15256</v>
      </c>
      <c r="H1377" s="1">
        <v>41166</v>
      </c>
      <c r="I1377" t="str">
        <f t="shared" si="26"/>
        <v>52</v>
      </c>
      <c r="J1377" t="s">
        <v>330</v>
      </c>
      <c r="K1377" t="s">
        <v>25</v>
      </c>
      <c r="L1377" t="s">
        <v>26</v>
      </c>
      <c r="M1377" t="s">
        <v>27</v>
      </c>
      <c r="N1377" s="1">
        <v>18629</v>
      </c>
      <c r="O1377">
        <v>0</v>
      </c>
      <c r="P1377">
        <v>0</v>
      </c>
      <c r="Q1377" t="s">
        <v>28</v>
      </c>
      <c r="R1377" t="s">
        <v>51</v>
      </c>
      <c r="S1377" s="2" t="s">
        <v>362</v>
      </c>
      <c r="T1377" t="s">
        <v>363</v>
      </c>
    </row>
    <row r="1378" spans="1:20" x14ac:dyDescent="0.25">
      <c r="A1378" t="s">
        <v>4028</v>
      </c>
      <c r="B1378" t="str">
        <f>"9380"</f>
        <v>9380</v>
      </c>
      <c r="C1378" t="str">
        <f>"294589380"</f>
        <v>294589380</v>
      </c>
      <c r="D1378" t="s">
        <v>860</v>
      </c>
      <c r="E1378" t="s">
        <v>2049</v>
      </c>
      <c r="F1378" t="s">
        <v>97</v>
      </c>
      <c r="G1378" s="1">
        <v>23609</v>
      </c>
      <c r="H1378" s="1">
        <v>41166</v>
      </c>
      <c r="I1378" t="str">
        <f t="shared" si="26"/>
        <v>52</v>
      </c>
      <c r="J1378" t="s">
        <v>330</v>
      </c>
      <c r="K1378" t="s">
        <v>25</v>
      </c>
      <c r="L1378" t="s">
        <v>26</v>
      </c>
      <c r="M1378" t="s">
        <v>27</v>
      </c>
      <c r="N1378" s="1">
        <v>18629</v>
      </c>
      <c r="O1378">
        <v>0</v>
      </c>
      <c r="P1378">
        <v>0</v>
      </c>
      <c r="Q1378" t="s">
        <v>28</v>
      </c>
      <c r="R1378" t="s">
        <v>51</v>
      </c>
      <c r="S1378" s="2" t="s">
        <v>362</v>
      </c>
      <c r="T1378" t="s">
        <v>363</v>
      </c>
    </row>
    <row r="1379" spans="1:20" x14ac:dyDescent="0.25">
      <c r="A1379" t="s">
        <v>4029</v>
      </c>
      <c r="B1379" t="str">
        <f>"7775"</f>
        <v>7775</v>
      </c>
      <c r="C1379" t="str">
        <f>"406747775"</f>
        <v>406747775</v>
      </c>
      <c r="D1379" t="s">
        <v>310</v>
      </c>
      <c r="E1379" t="s">
        <v>4030</v>
      </c>
      <c r="G1379" s="1">
        <v>22166</v>
      </c>
      <c r="H1379" s="1">
        <v>41166</v>
      </c>
      <c r="I1379" t="str">
        <f t="shared" si="26"/>
        <v>52</v>
      </c>
      <c r="J1379" t="s">
        <v>330</v>
      </c>
      <c r="K1379" t="s">
        <v>25</v>
      </c>
      <c r="L1379" t="s">
        <v>26</v>
      </c>
      <c r="M1379" t="s">
        <v>27</v>
      </c>
      <c r="N1379" s="1">
        <v>18629</v>
      </c>
      <c r="O1379">
        <v>0</v>
      </c>
      <c r="P1379">
        <v>0</v>
      </c>
      <c r="Q1379" t="s">
        <v>37</v>
      </c>
      <c r="R1379" t="s">
        <v>51</v>
      </c>
      <c r="S1379" s="2" t="s">
        <v>362</v>
      </c>
      <c r="T1379" t="s">
        <v>363</v>
      </c>
    </row>
    <row r="1380" spans="1:20" x14ac:dyDescent="0.25">
      <c r="A1380" t="s">
        <v>4031</v>
      </c>
      <c r="B1380" t="str">
        <f>"2539"</f>
        <v>2539</v>
      </c>
      <c r="C1380" t="str">
        <f>"282482539"</f>
        <v>282482539</v>
      </c>
      <c r="D1380" t="s">
        <v>4032</v>
      </c>
      <c r="E1380" t="s">
        <v>4033</v>
      </c>
      <c r="F1380" t="s">
        <v>28</v>
      </c>
      <c r="G1380" s="1">
        <v>18388</v>
      </c>
      <c r="H1380" s="1">
        <v>41165</v>
      </c>
      <c r="I1380" t="str">
        <f t="shared" si="26"/>
        <v>52</v>
      </c>
      <c r="J1380" t="s">
        <v>330</v>
      </c>
      <c r="K1380" t="s">
        <v>25</v>
      </c>
      <c r="L1380" t="s">
        <v>26</v>
      </c>
      <c r="M1380" t="s">
        <v>27</v>
      </c>
      <c r="N1380" s="1">
        <v>18629</v>
      </c>
      <c r="O1380">
        <v>0</v>
      </c>
      <c r="P1380">
        <v>0</v>
      </c>
      <c r="Q1380" t="s">
        <v>37</v>
      </c>
      <c r="R1380" t="s">
        <v>51</v>
      </c>
      <c r="S1380" t="s">
        <v>960</v>
      </c>
      <c r="T1380" t="s">
        <v>314</v>
      </c>
    </row>
    <row r="1381" spans="1:20" x14ac:dyDescent="0.25">
      <c r="A1381" t="s">
        <v>4034</v>
      </c>
      <c r="B1381" t="str">
        <f>"8079"</f>
        <v>8079</v>
      </c>
      <c r="C1381" t="str">
        <f>"302428079"</f>
        <v>302428079</v>
      </c>
      <c r="D1381" t="s">
        <v>4035</v>
      </c>
      <c r="E1381" t="s">
        <v>1981</v>
      </c>
      <c r="F1381" t="s">
        <v>329</v>
      </c>
      <c r="G1381" s="1">
        <v>17421</v>
      </c>
      <c r="H1381" s="1">
        <v>41164</v>
      </c>
      <c r="I1381" t="str">
        <f>"53"</f>
        <v>53</v>
      </c>
      <c r="J1381" t="s">
        <v>917</v>
      </c>
      <c r="K1381" t="s">
        <v>25</v>
      </c>
      <c r="L1381" t="s">
        <v>26</v>
      </c>
      <c r="M1381" t="s">
        <v>27</v>
      </c>
      <c r="N1381" s="1">
        <v>18629</v>
      </c>
      <c r="O1381">
        <v>0</v>
      </c>
      <c r="P1381">
        <v>0</v>
      </c>
      <c r="Q1381" t="s">
        <v>37</v>
      </c>
      <c r="R1381" t="s">
        <v>312</v>
      </c>
      <c r="S1381" t="s">
        <v>2184</v>
      </c>
      <c r="T1381" t="s">
        <v>2185</v>
      </c>
    </row>
    <row r="1382" spans="1:20" x14ac:dyDescent="0.25">
      <c r="A1382" t="s">
        <v>4036</v>
      </c>
      <c r="B1382" t="str">
        <f>"1869"</f>
        <v>1869</v>
      </c>
      <c r="C1382" t="str">
        <f>"271721869"</f>
        <v>271721869</v>
      </c>
      <c r="D1382" t="s">
        <v>4037</v>
      </c>
      <c r="E1382" t="s">
        <v>4038</v>
      </c>
      <c r="F1382" t="s">
        <v>44</v>
      </c>
      <c r="G1382" s="1">
        <v>27997</v>
      </c>
      <c r="H1382" s="1">
        <v>41163</v>
      </c>
      <c r="I1382" t="str">
        <f>"51"</f>
        <v>51</v>
      </c>
      <c r="J1382" t="s">
        <v>471</v>
      </c>
      <c r="K1382" t="s">
        <v>25</v>
      </c>
      <c r="L1382" t="s">
        <v>26</v>
      </c>
      <c r="M1382" t="s">
        <v>27</v>
      </c>
      <c r="N1382" s="1">
        <v>18629</v>
      </c>
      <c r="O1382">
        <v>0</v>
      </c>
      <c r="P1382">
        <v>0</v>
      </c>
      <c r="Q1382" t="s">
        <v>37</v>
      </c>
      <c r="R1382" t="s">
        <v>258</v>
      </c>
      <c r="S1382" t="s">
        <v>533</v>
      </c>
      <c r="T1382" t="s">
        <v>534</v>
      </c>
    </row>
    <row r="1383" spans="1:20" x14ac:dyDescent="0.25">
      <c r="A1383" t="s">
        <v>4039</v>
      </c>
      <c r="B1383" t="str">
        <f>"9579"</f>
        <v>9579</v>
      </c>
      <c r="C1383" t="str">
        <f>"293569579"</f>
        <v>293569579</v>
      </c>
      <c r="D1383" t="s">
        <v>965</v>
      </c>
      <c r="E1383" t="s">
        <v>649</v>
      </c>
      <c r="F1383" t="s">
        <v>44</v>
      </c>
      <c r="G1383" s="1">
        <v>22500</v>
      </c>
      <c r="H1383" s="1">
        <v>41162</v>
      </c>
      <c r="I1383" t="str">
        <f>"41"</f>
        <v>41</v>
      </c>
      <c r="J1383" t="s">
        <v>24</v>
      </c>
      <c r="K1383" t="s">
        <v>25</v>
      </c>
      <c r="L1383" t="s">
        <v>26</v>
      </c>
      <c r="M1383" t="s">
        <v>27</v>
      </c>
      <c r="N1383" s="1">
        <v>18629</v>
      </c>
      <c r="O1383">
        <v>0</v>
      </c>
      <c r="P1383">
        <v>0</v>
      </c>
      <c r="Q1383" t="s">
        <v>28</v>
      </c>
      <c r="R1383" t="s">
        <v>29</v>
      </c>
      <c r="S1383" t="s">
        <v>615</v>
      </c>
      <c r="T1383" t="s">
        <v>616</v>
      </c>
    </row>
    <row r="1384" spans="1:20" x14ac:dyDescent="0.25">
      <c r="A1384" t="s">
        <v>4040</v>
      </c>
      <c r="B1384" t="str">
        <f>"9276"</f>
        <v>9276</v>
      </c>
      <c r="C1384" t="str">
        <f>"272869276"</f>
        <v>272869276</v>
      </c>
      <c r="D1384" t="s">
        <v>4041</v>
      </c>
      <c r="E1384" t="s">
        <v>4042</v>
      </c>
      <c r="F1384" t="s">
        <v>174</v>
      </c>
      <c r="G1384" s="1">
        <v>31387</v>
      </c>
      <c r="H1384" s="1">
        <v>41162</v>
      </c>
      <c r="I1384" t="str">
        <f>"51"</f>
        <v>51</v>
      </c>
      <c r="J1384" t="s">
        <v>471</v>
      </c>
      <c r="K1384" t="s">
        <v>25</v>
      </c>
      <c r="L1384" t="s">
        <v>26</v>
      </c>
      <c r="M1384" t="s">
        <v>27</v>
      </c>
      <c r="N1384" s="1">
        <v>18629</v>
      </c>
      <c r="O1384">
        <v>0</v>
      </c>
      <c r="P1384">
        <v>0</v>
      </c>
      <c r="Q1384" t="s">
        <v>28</v>
      </c>
      <c r="R1384" t="s">
        <v>100</v>
      </c>
      <c r="S1384" t="s">
        <v>2206</v>
      </c>
      <c r="T1384" t="s">
        <v>2207</v>
      </c>
    </row>
    <row r="1385" spans="1:20" x14ac:dyDescent="0.25">
      <c r="A1385" t="s">
        <v>4043</v>
      </c>
      <c r="B1385" t="str">
        <f>"8928"</f>
        <v>8928</v>
      </c>
      <c r="C1385" t="str">
        <f>"272428928"</f>
        <v>272428928</v>
      </c>
      <c r="D1385" t="s">
        <v>4044</v>
      </c>
      <c r="E1385" t="s">
        <v>682</v>
      </c>
      <c r="F1385" t="s">
        <v>44</v>
      </c>
      <c r="G1385" s="1">
        <v>19027</v>
      </c>
      <c r="H1385" s="1">
        <v>41162</v>
      </c>
      <c r="I1385" t="str">
        <f>"33"</f>
        <v>33</v>
      </c>
      <c r="J1385" t="s">
        <v>45</v>
      </c>
      <c r="K1385" t="s">
        <v>25</v>
      </c>
      <c r="L1385" t="s">
        <v>26</v>
      </c>
      <c r="M1385" t="s">
        <v>27</v>
      </c>
      <c r="N1385" s="1">
        <v>18629</v>
      </c>
      <c r="O1385">
        <v>0</v>
      </c>
      <c r="P1385">
        <v>0</v>
      </c>
      <c r="Q1385" t="s">
        <v>37</v>
      </c>
      <c r="R1385" t="s">
        <v>71</v>
      </c>
      <c r="S1385" t="s">
        <v>757</v>
      </c>
      <c r="T1385" t="s">
        <v>758</v>
      </c>
    </row>
    <row r="1386" spans="1:20" x14ac:dyDescent="0.25">
      <c r="A1386" t="s">
        <v>4045</v>
      </c>
      <c r="B1386" t="str">
        <f>"9336"</f>
        <v>9336</v>
      </c>
      <c r="C1386" t="str">
        <f>"286589336"</f>
        <v>286589336</v>
      </c>
      <c r="D1386" t="s">
        <v>4046</v>
      </c>
      <c r="E1386" t="s">
        <v>122</v>
      </c>
      <c r="F1386" t="s">
        <v>93</v>
      </c>
      <c r="G1386" s="1">
        <v>23086</v>
      </c>
      <c r="H1386" s="1">
        <v>41162</v>
      </c>
      <c r="I1386" t="str">
        <f>"41"</f>
        <v>41</v>
      </c>
      <c r="J1386" t="s">
        <v>24</v>
      </c>
      <c r="K1386" t="s">
        <v>25</v>
      </c>
      <c r="L1386" t="s">
        <v>26</v>
      </c>
      <c r="M1386" t="s">
        <v>27</v>
      </c>
      <c r="N1386" s="1">
        <v>18629</v>
      </c>
      <c r="O1386">
        <v>0</v>
      </c>
      <c r="P1386">
        <v>0</v>
      </c>
      <c r="Q1386" t="s">
        <v>28</v>
      </c>
      <c r="R1386" t="s">
        <v>71</v>
      </c>
      <c r="S1386" t="s">
        <v>402</v>
      </c>
      <c r="T1386" t="s">
        <v>403</v>
      </c>
    </row>
    <row r="1387" spans="1:20" x14ac:dyDescent="0.25">
      <c r="A1387" t="s">
        <v>4047</v>
      </c>
      <c r="B1387" t="str">
        <f>"9765"</f>
        <v>9765</v>
      </c>
      <c r="C1387" t="str">
        <f>"226199765"</f>
        <v>226199765</v>
      </c>
      <c r="D1387" t="s">
        <v>4048</v>
      </c>
      <c r="E1387" t="s">
        <v>1172</v>
      </c>
      <c r="F1387" t="s">
        <v>93</v>
      </c>
      <c r="G1387" s="1">
        <v>26512</v>
      </c>
      <c r="H1387" s="1">
        <v>41162</v>
      </c>
      <c r="I1387" t="str">
        <f>"41"</f>
        <v>41</v>
      </c>
      <c r="J1387" t="s">
        <v>24</v>
      </c>
      <c r="K1387" t="s">
        <v>25</v>
      </c>
      <c r="L1387" t="s">
        <v>26</v>
      </c>
      <c r="M1387" t="s">
        <v>27</v>
      </c>
      <c r="N1387" s="1">
        <v>18629</v>
      </c>
      <c r="O1387">
        <v>0</v>
      </c>
      <c r="P1387">
        <v>0</v>
      </c>
      <c r="Q1387" t="s">
        <v>28</v>
      </c>
      <c r="R1387" t="s">
        <v>71</v>
      </c>
      <c r="S1387" t="s">
        <v>402</v>
      </c>
      <c r="T1387" t="s">
        <v>403</v>
      </c>
    </row>
    <row r="1388" spans="1:20" x14ac:dyDescent="0.25">
      <c r="A1388" t="s">
        <v>4049</v>
      </c>
      <c r="B1388" t="str">
        <f>"6367"</f>
        <v>6367</v>
      </c>
      <c r="C1388" t="str">
        <f>"269806367"</f>
        <v>269806367</v>
      </c>
      <c r="D1388" t="s">
        <v>4050</v>
      </c>
      <c r="E1388" t="s">
        <v>35</v>
      </c>
      <c r="F1388" t="s">
        <v>69</v>
      </c>
      <c r="G1388" s="1">
        <v>30247</v>
      </c>
      <c r="H1388" s="1">
        <v>41162</v>
      </c>
      <c r="I1388" t="str">
        <f>"30"</f>
        <v>30</v>
      </c>
      <c r="J1388" t="s">
        <v>50</v>
      </c>
      <c r="K1388" t="s">
        <v>25</v>
      </c>
      <c r="L1388" t="s">
        <v>26</v>
      </c>
      <c r="M1388" t="s">
        <v>27</v>
      </c>
      <c r="N1388" s="1">
        <v>18629</v>
      </c>
      <c r="O1388">
        <v>0</v>
      </c>
      <c r="P1388">
        <v>0</v>
      </c>
      <c r="Q1388" t="s">
        <v>28</v>
      </c>
      <c r="R1388" t="s">
        <v>71</v>
      </c>
      <c r="S1388" t="s">
        <v>808</v>
      </c>
      <c r="T1388" t="s">
        <v>809</v>
      </c>
    </row>
    <row r="1389" spans="1:20" x14ac:dyDescent="0.25">
      <c r="A1389" t="s">
        <v>4051</v>
      </c>
      <c r="B1389" t="str">
        <f>"3708"</f>
        <v>3708</v>
      </c>
      <c r="C1389" t="str">
        <f>"280403708"</f>
        <v>280403708</v>
      </c>
      <c r="D1389" t="s">
        <v>4052</v>
      </c>
      <c r="E1389" t="s">
        <v>609</v>
      </c>
      <c r="F1389" t="s">
        <v>165</v>
      </c>
      <c r="G1389" s="1">
        <v>16596</v>
      </c>
      <c r="H1389" s="1">
        <v>41162</v>
      </c>
      <c r="I1389" t="str">
        <f>"51"</f>
        <v>51</v>
      </c>
      <c r="J1389" t="s">
        <v>471</v>
      </c>
      <c r="K1389" t="s">
        <v>25</v>
      </c>
      <c r="L1389" t="s">
        <v>26</v>
      </c>
      <c r="M1389" t="s">
        <v>27</v>
      </c>
      <c r="N1389" s="1">
        <v>18629</v>
      </c>
      <c r="O1389">
        <v>0</v>
      </c>
      <c r="P1389">
        <v>0</v>
      </c>
      <c r="Q1389" t="s">
        <v>28</v>
      </c>
      <c r="R1389" t="s">
        <v>100</v>
      </c>
      <c r="S1389" t="s">
        <v>130</v>
      </c>
      <c r="T1389" t="s">
        <v>131</v>
      </c>
    </row>
    <row r="1390" spans="1:20" x14ac:dyDescent="0.25">
      <c r="A1390" t="s">
        <v>4053</v>
      </c>
      <c r="B1390" t="str">
        <f>"7153"</f>
        <v>7153</v>
      </c>
      <c r="C1390" t="str">
        <f>"271647153"</f>
        <v>271647153</v>
      </c>
      <c r="D1390" t="s">
        <v>3152</v>
      </c>
      <c r="E1390" t="s">
        <v>4054</v>
      </c>
      <c r="F1390" t="s">
        <v>28</v>
      </c>
      <c r="G1390" s="1">
        <v>22831</v>
      </c>
      <c r="H1390" s="1">
        <v>41162</v>
      </c>
      <c r="I1390" t="str">
        <f>"41"</f>
        <v>41</v>
      </c>
      <c r="J1390" t="s">
        <v>24</v>
      </c>
      <c r="K1390" t="s">
        <v>25</v>
      </c>
      <c r="L1390" t="s">
        <v>26</v>
      </c>
      <c r="M1390" t="s">
        <v>27</v>
      </c>
      <c r="N1390" s="1">
        <v>18629</v>
      </c>
      <c r="O1390">
        <v>0</v>
      </c>
      <c r="P1390">
        <v>0</v>
      </c>
      <c r="Q1390" t="s">
        <v>37</v>
      </c>
      <c r="R1390" t="s">
        <v>29</v>
      </c>
      <c r="S1390" t="s">
        <v>615</v>
      </c>
      <c r="T1390" t="s">
        <v>616</v>
      </c>
    </row>
    <row r="1391" spans="1:20" x14ac:dyDescent="0.25">
      <c r="A1391" t="s">
        <v>4055</v>
      </c>
      <c r="B1391" t="str">
        <f>"3728"</f>
        <v>3728</v>
      </c>
      <c r="C1391" t="str">
        <f>"289843728"</f>
        <v>289843728</v>
      </c>
      <c r="D1391" t="s">
        <v>753</v>
      </c>
      <c r="E1391" t="s">
        <v>4056</v>
      </c>
      <c r="F1391" t="s">
        <v>28</v>
      </c>
      <c r="G1391" s="1">
        <v>26016</v>
      </c>
      <c r="H1391" s="1">
        <v>41162</v>
      </c>
      <c r="I1391" t="str">
        <f>"33"</f>
        <v>33</v>
      </c>
      <c r="J1391" t="s">
        <v>45</v>
      </c>
      <c r="K1391" t="s">
        <v>25</v>
      </c>
      <c r="L1391" t="s">
        <v>26</v>
      </c>
      <c r="M1391" t="s">
        <v>27</v>
      </c>
      <c r="N1391" s="1">
        <v>18629</v>
      </c>
      <c r="O1391">
        <v>0</v>
      </c>
      <c r="P1391">
        <v>0</v>
      </c>
      <c r="Q1391" t="s">
        <v>37</v>
      </c>
      <c r="R1391" t="s">
        <v>100</v>
      </c>
      <c r="S1391" t="s">
        <v>757</v>
      </c>
      <c r="T1391" t="s">
        <v>758</v>
      </c>
    </row>
    <row r="1392" spans="1:20" x14ac:dyDescent="0.25">
      <c r="A1392" t="s">
        <v>4057</v>
      </c>
      <c r="B1392" t="str">
        <f>"9810"</f>
        <v>9810</v>
      </c>
      <c r="C1392" t="str">
        <f>"325949810"</f>
        <v>325949810</v>
      </c>
      <c r="D1392" t="s">
        <v>4058</v>
      </c>
      <c r="E1392" t="s">
        <v>518</v>
      </c>
      <c r="G1392" s="1">
        <v>27012</v>
      </c>
      <c r="H1392" s="1">
        <v>41162</v>
      </c>
      <c r="I1392" t="str">
        <f>"51"</f>
        <v>51</v>
      </c>
      <c r="J1392" t="s">
        <v>471</v>
      </c>
      <c r="K1392" t="s">
        <v>25</v>
      </c>
      <c r="L1392" t="s">
        <v>26</v>
      </c>
      <c r="M1392" t="s">
        <v>27</v>
      </c>
      <c r="N1392" s="1">
        <v>18629</v>
      </c>
      <c r="O1392">
        <v>0</v>
      </c>
      <c r="P1392">
        <v>0</v>
      </c>
      <c r="Q1392" t="s">
        <v>37</v>
      </c>
      <c r="R1392" t="s">
        <v>100</v>
      </c>
      <c r="S1392" t="s">
        <v>1392</v>
      </c>
      <c r="T1392" t="s">
        <v>1393</v>
      </c>
    </row>
    <row r="1393" spans="1:20" x14ac:dyDescent="0.25">
      <c r="A1393" t="s">
        <v>4059</v>
      </c>
      <c r="B1393" t="str">
        <f>"1927"</f>
        <v>1927</v>
      </c>
      <c r="C1393" t="str">
        <f>"288601927"</f>
        <v>288601927</v>
      </c>
      <c r="D1393" t="s">
        <v>2183</v>
      </c>
      <c r="E1393" t="s">
        <v>609</v>
      </c>
      <c r="F1393" t="s">
        <v>28</v>
      </c>
      <c r="G1393" s="1">
        <v>26851</v>
      </c>
      <c r="H1393" s="1">
        <v>41162</v>
      </c>
      <c r="I1393" t="str">
        <f>"41"</f>
        <v>41</v>
      </c>
      <c r="J1393" t="s">
        <v>24</v>
      </c>
      <c r="K1393" t="s">
        <v>25</v>
      </c>
      <c r="L1393" t="s">
        <v>26</v>
      </c>
      <c r="M1393" t="s">
        <v>27</v>
      </c>
      <c r="N1393" s="1">
        <v>18629</v>
      </c>
      <c r="O1393">
        <v>0</v>
      </c>
      <c r="P1393">
        <v>0</v>
      </c>
      <c r="Q1393" t="s">
        <v>28</v>
      </c>
      <c r="R1393" t="s">
        <v>71</v>
      </c>
      <c r="S1393" t="s">
        <v>402</v>
      </c>
      <c r="T1393" t="s">
        <v>403</v>
      </c>
    </row>
    <row r="1394" spans="1:20" x14ac:dyDescent="0.25">
      <c r="A1394" t="s">
        <v>4060</v>
      </c>
      <c r="B1394" t="str">
        <f>"4390"</f>
        <v>4390</v>
      </c>
      <c r="C1394" t="str">
        <f>"274884390"</f>
        <v>274884390</v>
      </c>
      <c r="D1394" t="s">
        <v>4061</v>
      </c>
      <c r="E1394" t="s">
        <v>1530</v>
      </c>
      <c r="F1394" t="s">
        <v>174</v>
      </c>
      <c r="G1394" s="1">
        <v>29446</v>
      </c>
      <c r="H1394" s="1">
        <v>41162</v>
      </c>
      <c r="I1394" t="str">
        <f>"51"</f>
        <v>51</v>
      </c>
      <c r="J1394" t="s">
        <v>471</v>
      </c>
      <c r="K1394" t="s">
        <v>25</v>
      </c>
      <c r="L1394" t="s">
        <v>26</v>
      </c>
      <c r="M1394" t="s">
        <v>27</v>
      </c>
      <c r="N1394" s="1">
        <v>18629</v>
      </c>
      <c r="O1394">
        <v>0</v>
      </c>
      <c r="P1394">
        <v>0</v>
      </c>
      <c r="Q1394" t="s">
        <v>37</v>
      </c>
      <c r="R1394" t="s">
        <v>346</v>
      </c>
      <c r="S1394" t="s">
        <v>1526</v>
      </c>
      <c r="T1394" t="s">
        <v>1527</v>
      </c>
    </row>
    <row r="1395" spans="1:20" x14ac:dyDescent="0.25">
      <c r="A1395" t="s">
        <v>4062</v>
      </c>
      <c r="B1395" t="str">
        <f>"3927"</f>
        <v>3927</v>
      </c>
      <c r="C1395" t="str">
        <f>"340503927"</f>
        <v>340503927</v>
      </c>
      <c r="D1395" t="s">
        <v>4063</v>
      </c>
      <c r="E1395" t="s">
        <v>3558</v>
      </c>
      <c r="F1395" t="s">
        <v>276</v>
      </c>
      <c r="G1395" s="1">
        <v>21177</v>
      </c>
      <c r="H1395" s="1">
        <v>41158</v>
      </c>
      <c r="I1395" t="str">
        <f>"50"</f>
        <v>50</v>
      </c>
      <c r="J1395" t="s">
        <v>208</v>
      </c>
      <c r="K1395" t="s">
        <v>25</v>
      </c>
      <c r="L1395" t="s">
        <v>26</v>
      </c>
      <c r="M1395" t="s">
        <v>27</v>
      </c>
      <c r="N1395" s="1">
        <v>18629</v>
      </c>
      <c r="O1395">
        <v>0</v>
      </c>
      <c r="P1395">
        <v>0</v>
      </c>
      <c r="Q1395" t="s">
        <v>28</v>
      </c>
      <c r="R1395" t="s">
        <v>51</v>
      </c>
      <c r="S1395" t="s">
        <v>960</v>
      </c>
      <c r="T1395" t="s">
        <v>314</v>
      </c>
    </row>
    <row r="1396" spans="1:20" x14ac:dyDescent="0.25">
      <c r="A1396" t="s">
        <v>4064</v>
      </c>
      <c r="B1396" t="str">
        <f>"4539"</f>
        <v>4539</v>
      </c>
      <c r="C1396" t="str">
        <f>"288564539"</f>
        <v>288564539</v>
      </c>
      <c r="D1396" t="s">
        <v>444</v>
      </c>
      <c r="E1396" t="s">
        <v>445</v>
      </c>
      <c r="F1396" t="s">
        <v>93</v>
      </c>
      <c r="G1396" s="1">
        <v>20118</v>
      </c>
      <c r="H1396" s="1">
        <v>41158</v>
      </c>
      <c r="I1396" t="str">
        <f>"41"</f>
        <v>41</v>
      </c>
      <c r="J1396" t="s">
        <v>24</v>
      </c>
      <c r="K1396" t="s">
        <v>25</v>
      </c>
      <c r="L1396" t="s">
        <v>26</v>
      </c>
      <c r="M1396" t="s">
        <v>27</v>
      </c>
      <c r="N1396" s="1">
        <v>18629</v>
      </c>
      <c r="O1396">
        <v>0</v>
      </c>
      <c r="P1396">
        <v>0</v>
      </c>
      <c r="Q1396" t="s">
        <v>28</v>
      </c>
      <c r="R1396" t="s">
        <v>71</v>
      </c>
      <c r="S1396" t="s">
        <v>402</v>
      </c>
      <c r="T1396" t="s">
        <v>403</v>
      </c>
    </row>
    <row r="1397" spans="1:20" x14ac:dyDescent="0.25">
      <c r="A1397" t="s">
        <v>4065</v>
      </c>
      <c r="B1397" t="str">
        <f>"6347"</f>
        <v>6347</v>
      </c>
      <c r="C1397" t="str">
        <f>"273926347"</f>
        <v>273926347</v>
      </c>
      <c r="D1397" t="s">
        <v>4066</v>
      </c>
      <c r="E1397" t="s">
        <v>304</v>
      </c>
      <c r="F1397" t="s">
        <v>97</v>
      </c>
      <c r="G1397" s="1">
        <v>26812</v>
      </c>
      <c r="H1397" s="1">
        <v>41156</v>
      </c>
      <c r="I1397" t="str">
        <f>"52"</f>
        <v>52</v>
      </c>
      <c r="J1397" t="s">
        <v>330</v>
      </c>
      <c r="K1397" t="s">
        <v>25</v>
      </c>
      <c r="L1397" t="s">
        <v>26</v>
      </c>
      <c r="M1397" t="s">
        <v>27</v>
      </c>
      <c r="N1397" s="1">
        <v>18629</v>
      </c>
      <c r="O1397">
        <v>0</v>
      </c>
      <c r="P1397">
        <v>0</v>
      </c>
      <c r="Q1397" t="s">
        <v>28</v>
      </c>
      <c r="R1397" t="s">
        <v>51</v>
      </c>
      <c r="S1397" s="2" t="s">
        <v>3548</v>
      </c>
      <c r="T1397" t="s">
        <v>3549</v>
      </c>
    </row>
    <row r="1398" spans="1:20" x14ac:dyDescent="0.25">
      <c r="A1398" t="s">
        <v>4067</v>
      </c>
      <c r="B1398" t="str">
        <f>"6546"</f>
        <v>6546</v>
      </c>
      <c r="C1398" t="str">
        <f>"279586546"</f>
        <v>279586546</v>
      </c>
      <c r="D1398" t="s">
        <v>4068</v>
      </c>
      <c r="E1398" t="s">
        <v>2267</v>
      </c>
      <c r="F1398" t="s">
        <v>264</v>
      </c>
      <c r="G1398" s="1">
        <v>22365</v>
      </c>
      <c r="H1398" s="1">
        <v>41156</v>
      </c>
      <c r="I1398" t="str">
        <f>"52"</f>
        <v>52</v>
      </c>
      <c r="J1398" t="s">
        <v>330</v>
      </c>
      <c r="K1398" t="s">
        <v>25</v>
      </c>
      <c r="L1398" t="s">
        <v>26</v>
      </c>
      <c r="M1398" t="s">
        <v>27</v>
      </c>
      <c r="N1398" s="1">
        <v>18629</v>
      </c>
      <c r="O1398">
        <v>0</v>
      </c>
      <c r="P1398">
        <v>0</v>
      </c>
      <c r="Q1398" t="s">
        <v>28</v>
      </c>
      <c r="R1398" t="s">
        <v>29</v>
      </c>
      <c r="S1398" t="s">
        <v>960</v>
      </c>
      <c r="T1398" t="s">
        <v>314</v>
      </c>
    </row>
    <row r="1399" spans="1:20" x14ac:dyDescent="0.25">
      <c r="A1399" t="s">
        <v>4069</v>
      </c>
      <c r="B1399" t="str">
        <f>"8990"</f>
        <v>8990</v>
      </c>
      <c r="C1399" t="str">
        <f>"278608990"</f>
        <v>278608990</v>
      </c>
      <c r="D1399" t="s">
        <v>4070</v>
      </c>
      <c r="E1399" t="s">
        <v>944</v>
      </c>
      <c r="G1399" s="1">
        <v>23489</v>
      </c>
      <c r="H1399" s="1">
        <v>41156</v>
      </c>
      <c r="I1399" t="str">
        <f>"42"</f>
        <v>42</v>
      </c>
      <c r="J1399" t="s">
        <v>367</v>
      </c>
      <c r="K1399" t="s">
        <v>25</v>
      </c>
      <c r="L1399" t="s">
        <v>26</v>
      </c>
      <c r="M1399" t="s">
        <v>27</v>
      </c>
      <c r="N1399" s="1">
        <v>18629</v>
      </c>
      <c r="O1399">
        <v>0</v>
      </c>
      <c r="P1399">
        <v>0</v>
      </c>
      <c r="Q1399" t="s">
        <v>28</v>
      </c>
      <c r="R1399" t="s">
        <v>71</v>
      </c>
      <c r="S1399" t="s">
        <v>1153</v>
      </c>
      <c r="T1399" t="s">
        <v>1154</v>
      </c>
    </row>
    <row r="1400" spans="1:20" x14ac:dyDescent="0.25">
      <c r="A1400" t="s">
        <v>4071</v>
      </c>
      <c r="B1400" t="str">
        <f>"8896"</f>
        <v>8896</v>
      </c>
      <c r="C1400" t="str">
        <f>"285788896"</f>
        <v>285788896</v>
      </c>
      <c r="D1400" t="s">
        <v>4072</v>
      </c>
      <c r="E1400" t="s">
        <v>1071</v>
      </c>
      <c r="F1400" t="s">
        <v>28</v>
      </c>
      <c r="G1400" s="1">
        <v>29993</v>
      </c>
      <c r="H1400" s="1">
        <v>41156</v>
      </c>
      <c r="I1400" t="str">
        <f>"42"</f>
        <v>42</v>
      </c>
      <c r="J1400" t="s">
        <v>367</v>
      </c>
      <c r="K1400" t="s">
        <v>25</v>
      </c>
      <c r="L1400" t="s">
        <v>26</v>
      </c>
      <c r="M1400" t="s">
        <v>27</v>
      </c>
      <c r="N1400" s="1">
        <v>18629</v>
      </c>
      <c r="O1400">
        <v>0</v>
      </c>
      <c r="P1400">
        <v>0</v>
      </c>
      <c r="Q1400" t="s">
        <v>37</v>
      </c>
      <c r="R1400" t="s">
        <v>71</v>
      </c>
      <c r="S1400" t="s">
        <v>1153</v>
      </c>
      <c r="T1400" t="s">
        <v>1154</v>
      </c>
    </row>
    <row r="1401" spans="1:20" x14ac:dyDescent="0.25">
      <c r="A1401" t="s">
        <v>4073</v>
      </c>
      <c r="B1401" t="str">
        <f>"9078"</f>
        <v>9078</v>
      </c>
      <c r="C1401" t="str">
        <f>"275769078"</f>
        <v>275769078</v>
      </c>
      <c r="D1401" t="s">
        <v>3364</v>
      </c>
      <c r="E1401" t="s">
        <v>1248</v>
      </c>
      <c r="F1401" t="s">
        <v>438</v>
      </c>
      <c r="G1401" s="1">
        <v>29281</v>
      </c>
      <c r="H1401" s="1">
        <v>41156</v>
      </c>
      <c r="I1401" t="str">
        <f>"42"</f>
        <v>42</v>
      </c>
      <c r="J1401" t="s">
        <v>367</v>
      </c>
      <c r="K1401" t="s">
        <v>25</v>
      </c>
      <c r="L1401" t="s">
        <v>26</v>
      </c>
      <c r="M1401" t="s">
        <v>27</v>
      </c>
      <c r="N1401" s="1">
        <v>18629</v>
      </c>
      <c r="O1401">
        <v>0</v>
      </c>
      <c r="P1401">
        <v>0</v>
      </c>
      <c r="Q1401" t="s">
        <v>37</v>
      </c>
      <c r="R1401" t="s">
        <v>71</v>
      </c>
      <c r="S1401" t="s">
        <v>2839</v>
      </c>
      <c r="T1401" t="s">
        <v>2591</v>
      </c>
    </row>
    <row r="1402" spans="1:20" x14ac:dyDescent="0.25">
      <c r="A1402" t="s">
        <v>4074</v>
      </c>
      <c r="B1402" t="str">
        <f>"3224"</f>
        <v>3224</v>
      </c>
      <c r="C1402" t="str">
        <f>"289543224"</f>
        <v>289543224</v>
      </c>
      <c r="D1402" t="s">
        <v>4075</v>
      </c>
      <c r="E1402" t="s">
        <v>4076</v>
      </c>
      <c r="F1402" t="s">
        <v>44</v>
      </c>
      <c r="G1402" s="1">
        <v>20257</v>
      </c>
      <c r="H1402" s="1">
        <v>41156</v>
      </c>
      <c r="I1402" t="str">
        <f>"15"</f>
        <v>15</v>
      </c>
      <c r="J1402" t="s">
        <v>36</v>
      </c>
      <c r="K1402" t="s">
        <v>98</v>
      </c>
      <c r="L1402" t="s">
        <v>37</v>
      </c>
      <c r="M1402" t="s">
        <v>117</v>
      </c>
      <c r="N1402" s="1">
        <v>41617</v>
      </c>
      <c r="O1402">
        <v>4951.96</v>
      </c>
      <c r="P1402">
        <v>1237.8599999999999</v>
      </c>
      <c r="Q1402" t="s">
        <v>37</v>
      </c>
      <c r="R1402" t="s">
        <v>110</v>
      </c>
      <c r="S1402" t="s">
        <v>4077</v>
      </c>
      <c r="T1402" t="s">
        <v>4078</v>
      </c>
    </row>
    <row r="1403" spans="1:20" x14ac:dyDescent="0.25">
      <c r="A1403" t="s">
        <v>4079</v>
      </c>
      <c r="B1403" t="str">
        <f>"0133"</f>
        <v>0133</v>
      </c>
      <c r="C1403" t="str">
        <f>"283940133"</f>
        <v>283940133</v>
      </c>
      <c r="D1403" t="s">
        <v>4080</v>
      </c>
      <c r="E1403" t="s">
        <v>250</v>
      </c>
      <c r="F1403" t="s">
        <v>165</v>
      </c>
      <c r="G1403" s="1">
        <v>33396</v>
      </c>
      <c r="H1403" s="1">
        <v>41155</v>
      </c>
      <c r="I1403" t="str">
        <f>"41"</f>
        <v>41</v>
      </c>
      <c r="J1403" t="s">
        <v>24</v>
      </c>
      <c r="K1403" t="s">
        <v>25</v>
      </c>
      <c r="L1403" t="s">
        <v>26</v>
      </c>
      <c r="M1403" t="s">
        <v>27</v>
      </c>
      <c r="N1403" s="1">
        <v>18629</v>
      </c>
      <c r="O1403">
        <v>0</v>
      </c>
      <c r="P1403">
        <v>0</v>
      </c>
      <c r="Q1403" t="s">
        <v>37</v>
      </c>
      <c r="R1403" t="s">
        <v>71</v>
      </c>
      <c r="S1403" t="s">
        <v>505</v>
      </c>
      <c r="T1403" t="s">
        <v>506</v>
      </c>
    </row>
    <row r="1404" spans="1:20" x14ac:dyDescent="0.25">
      <c r="A1404" t="s">
        <v>4081</v>
      </c>
      <c r="B1404" t="str">
        <f>"7133"</f>
        <v>7133</v>
      </c>
      <c r="C1404" t="str">
        <f>"275827133"</f>
        <v>275827133</v>
      </c>
      <c r="D1404" t="s">
        <v>4082</v>
      </c>
      <c r="E1404" t="s">
        <v>35</v>
      </c>
      <c r="F1404" t="s">
        <v>264</v>
      </c>
      <c r="G1404" s="1">
        <v>25194</v>
      </c>
      <c r="H1404" s="1">
        <v>41153</v>
      </c>
      <c r="I1404" t="str">
        <f>"41"</f>
        <v>41</v>
      </c>
      <c r="J1404" t="s">
        <v>24</v>
      </c>
      <c r="K1404" t="s">
        <v>25</v>
      </c>
      <c r="L1404" t="s">
        <v>26</v>
      </c>
      <c r="M1404" t="s">
        <v>27</v>
      </c>
      <c r="N1404" s="1">
        <v>18629</v>
      </c>
      <c r="O1404">
        <v>0</v>
      </c>
      <c r="P1404">
        <v>0</v>
      </c>
      <c r="Q1404" t="s">
        <v>28</v>
      </c>
      <c r="R1404" t="s">
        <v>71</v>
      </c>
      <c r="S1404" t="s">
        <v>402</v>
      </c>
      <c r="T1404" t="s">
        <v>403</v>
      </c>
    </row>
    <row r="1405" spans="1:20" x14ac:dyDescent="0.25">
      <c r="A1405" t="s">
        <v>4083</v>
      </c>
      <c r="B1405" t="str">
        <f>"2361"</f>
        <v>2361</v>
      </c>
      <c r="C1405" t="str">
        <f>"282842361"</f>
        <v>282842361</v>
      </c>
      <c r="D1405" t="s">
        <v>4084</v>
      </c>
      <c r="E1405" t="s">
        <v>4085</v>
      </c>
      <c r="F1405" t="s">
        <v>414</v>
      </c>
      <c r="G1405" s="1">
        <v>26673</v>
      </c>
      <c r="H1405" s="1">
        <v>41148</v>
      </c>
      <c r="I1405" t="str">
        <f t="shared" ref="I1405:I1431" si="27">"51"</f>
        <v>51</v>
      </c>
      <c r="J1405" t="s">
        <v>471</v>
      </c>
      <c r="K1405" t="s">
        <v>25</v>
      </c>
      <c r="L1405" t="s">
        <v>26</v>
      </c>
      <c r="M1405" t="s">
        <v>27</v>
      </c>
      <c r="N1405" s="1">
        <v>18629</v>
      </c>
      <c r="O1405">
        <v>0</v>
      </c>
      <c r="P1405">
        <v>0</v>
      </c>
      <c r="Q1405" t="s">
        <v>37</v>
      </c>
      <c r="R1405" t="s">
        <v>29</v>
      </c>
      <c r="S1405" t="s">
        <v>138</v>
      </c>
      <c r="T1405" t="s">
        <v>139</v>
      </c>
    </row>
    <row r="1406" spans="1:20" x14ac:dyDescent="0.25">
      <c r="A1406" t="s">
        <v>4086</v>
      </c>
      <c r="B1406" t="str">
        <f>"6401"</f>
        <v>6401</v>
      </c>
      <c r="C1406" t="str">
        <f>"277806401"</f>
        <v>277806401</v>
      </c>
      <c r="D1406" t="s">
        <v>4087</v>
      </c>
      <c r="E1406" t="s">
        <v>2162</v>
      </c>
      <c r="F1406" t="s">
        <v>93</v>
      </c>
      <c r="G1406" s="1">
        <v>26177</v>
      </c>
      <c r="H1406" s="1">
        <v>41148</v>
      </c>
      <c r="I1406" t="str">
        <f t="shared" si="27"/>
        <v>51</v>
      </c>
      <c r="J1406" t="s">
        <v>471</v>
      </c>
      <c r="K1406" t="s">
        <v>25</v>
      </c>
      <c r="L1406" t="s">
        <v>26</v>
      </c>
      <c r="M1406" t="s">
        <v>27</v>
      </c>
      <c r="N1406" s="1">
        <v>18629</v>
      </c>
      <c r="O1406">
        <v>0</v>
      </c>
      <c r="P1406">
        <v>0</v>
      </c>
      <c r="Q1406" t="s">
        <v>37</v>
      </c>
      <c r="R1406" t="s">
        <v>29</v>
      </c>
      <c r="S1406" t="s">
        <v>138</v>
      </c>
      <c r="T1406" t="s">
        <v>139</v>
      </c>
    </row>
    <row r="1407" spans="1:20" x14ac:dyDescent="0.25">
      <c r="A1407" t="s">
        <v>4088</v>
      </c>
      <c r="B1407" t="str">
        <f>"8231"</f>
        <v>8231</v>
      </c>
      <c r="C1407" t="str">
        <f>"286608231"</f>
        <v>286608231</v>
      </c>
      <c r="D1407" t="s">
        <v>4089</v>
      </c>
      <c r="E1407" t="s">
        <v>1074</v>
      </c>
      <c r="F1407" t="s">
        <v>219</v>
      </c>
      <c r="G1407" s="1">
        <v>22172</v>
      </c>
      <c r="H1407" s="1">
        <v>41148</v>
      </c>
      <c r="I1407" t="str">
        <f t="shared" si="27"/>
        <v>51</v>
      </c>
      <c r="J1407" t="s">
        <v>471</v>
      </c>
      <c r="K1407" t="s">
        <v>25</v>
      </c>
      <c r="L1407" t="s">
        <v>26</v>
      </c>
      <c r="M1407" t="s">
        <v>27</v>
      </c>
      <c r="N1407" s="1">
        <v>18629</v>
      </c>
      <c r="O1407">
        <v>0</v>
      </c>
      <c r="P1407">
        <v>0</v>
      </c>
      <c r="Q1407" t="s">
        <v>37</v>
      </c>
      <c r="R1407" t="s">
        <v>71</v>
      </c>
      <c r="S1407" t="s">
        <v>4090</v>
      </c>
      <c r="T1407" t="s">
        <v>4091</v>
      </c>
    </row>
    <row r="1408" spans="1:20" x14ac:dyDescent="0.25">
      <c r="A1408" t="s">
        <v>4092</v>
      </c>
      <c r="B1408" t="str">
        <f>"6431"</f>
        <v>6431</v>
      </c>
      <c r="C1408" t="str">
        <f>"268706431"</f>
        <v>268706431</v>
      </c>
      <c r="D1408" t="s">
        <v>4093</v>
      </c>
      <c r="E1408" t="s">
        <v>299</v>
      </c>
      <c r="F1408" t="s">
        <v>97</v>
      </c>
      <c r="G1408" s="1">
        <v>23354</v>
      </c>
      <c r="H1408" s="1">
        <v>41148</v>
      </c>
      <c r="I1408" t="str">
        <f t="shared" si="27"/>
        <v>51</v>
      </c>
      <c r="J1408" t="s">
        <v>471</v>
      </c>
      <c r="K1408" t="s">
        <v>25</v>
      </c>
      <c r="L1408" t="s">
        <v>26</v>
      </c>
      <c r="M1408" t="s">
        <v>27</v>
      </c>
      <c r="N1408" s="1">
        <v>18629</v>
      </c>
      <c r="O1408">
        <v>0</v>
      </c>
      <c r="P1408">
        <v>0</v>
      </c>
      <c r="Q1408" t="s">
        <v>37</v>
      </c>
      <c r="R1408" t="s">
        <v>71</v>
      </c>
      <c r="S1408" t="s">
        <v>305</v>
      </c>
      <c r="T1408" t="s">
        <v>306</v>
      </c>
    </row>
    <row r="1409" spans="1:20" x14ac:dyDescent="0.25">
      <c r="A1409" t="s">
        <v>4094</v>
      </c>
      <c r="B1409" t="str">
        <f>"8866"</f>
        <v>8866</v>
      </c>
      <c r="C1409" t="str">
        <f>"300588866"</f>
        <v>300588866</v>
      </c>
      <c r="D1409" t="s">
        <v>2114</v>
      </c>
      <c r="E1409" t="s">
        <v>197</v>
      </c>
      <c r="F1409" t="s">
        <v>37</v>
      </c>
      <c r="G1409" s="1">
        <v>26325</v>
      </c>
      <c r="H1409" s="1">
        <v>41148</v>
      </c>
      <c r="I1409" t="str">
        <f t="shared" si="27"/>
        <v>51</v>
      </c>
      <c r="J1409" t="s">
        <v>471</v>
      </c>
      <c r="K1409" t="s">
        <v>25</v>
      </c>
      <c r="L1409" t="s">
        <v>26</v>
      </c>
      <c r="M1409" t="s">
        <v>27</v>
      </c>
      <c r="N1409" s="1">
        <v>18629</v>
      </c>
      <c r="O1409">
        <v>0</v>
      </c>
      <c r="P1409">
        <v>0</v>
      </c>
      <c r="Q1409" t="s">
        <v>28</v>
      </c>
      <c r="R1409" t="s">
        <v>71</v>
      </c>
      <c r="S1409" t="s">
        <v>305</v>
      </c>
      <c r="T1409" t="s">
        <v>306</v>
      </c>
    </row>
    <row r="1410" spans="1:20" x14ac:dyDescent="0.25">
      <c r="A1410" t="s">
        <v>4095</v>
      </c>
      <c r="B1410" t="str">
        <f>"7886"</f>
        <v>7886</v>
      </c>
      <c r="C1410" t="str">
        <f>"125887886"</f>
        <v>125887886</v>
      </c>
      <c r="D1410" t="s">
        <v>4096</v>
      </c>
      <c r="E1410" t="s">
        <v>2060</v>
      </c>
      <c r="F1410" t="s">
        <v>219</v>
      </c>
      <c r="G1410" s="1">
        <v>27328</v>
      </c>
      <c r="H1410" s="1">
        <v>41148</v>
      </c>
      <c r="I1410" t="str">
        <f t="shared" si="27"/>
        <v>51</v>
      </c>
      <c r="J1410" t="s">
        <v>471</v>
      </c>
      <c r="K1410" t="s">
        <v>25</v>
      </c>
      <c r="L1410" t="s">
        <v>26</v>
      </c>
      <c r="M1410" t="s">
        <v>27</v>
      </c>
      <c r="N1410" s="1">
        <v>18629</v>
      </c>
      <c r="O1410">
        <v>0</v>
      </c>
      <c r="P1410">
        <v>0</v>
      </c>
      <c r="Q1410" t="s">
        <v>28</v>
      </c>
      <c r="R1410" t="s">
        <v>51</v>
      </c>
      <c r="S1410" t="s">
        <v>717</v>
      </c>
      <c r="T1410" t="s">
        <v>718</v>
      </c>
    </row>
    <row r="1411" spans="1:20" x14ac:dyDescent="0.25">
      <c r="A1411" t="s">
        <v>4097</v>
      </c>
      <c r="B1411" t="str">
        <f>"4089"</f>
        <v>4089</v>
      </c>
      <c r="C1411" t="str">
        <f>"297564089"</f>
        <v>297564089</v>
      </c>
      <c r="D1411" t="s">
        <v>395</v>
      </c>
      <c r="E1411" t="s">
        <v>3674</v>
      </c>
      <c r="F1411" t="s">
        <v>44</v>
      </c>
      <c r="G1411" s="1">
        <v>20247</v>
      </c>
      <c r="H1411" s="1">
        <v>41148</v>
      </c>
      <c r="I1411" t="str">
        <f t="shared" si="27"/>
        <v>51</v>
      </c>
      <c r="J1411" t="s">
        <v>471</v>
      </c>
      <c r="K1411" t="s">
        <v>25</v>
      </c>
      <c r="L1411" t="s">
        <v>26</v>
      </c>
      <c r="M1411" t="s">
        <v>27</v>
      </c>
      <c r="N1411" s="1">
        <v>18629</v>
      </c>
      <c r="O1411">
        <v>0</v>
      </c>
      <c r="P1411">
        <v>0</v>
      </c>
      <c r="Q1411" t="s">
        <v>37</v>
      </c>
      <c r="R1411" t="s">
        <v>51</v>
      </c>
      <c r="S1411" s="2" t="s">
        <v>1522</v>
      </c>
      <c r="T1411" t="s">
        <v>1523</v>
      </c>
    </row>
    <row r="1412" spans="1:20" x14ac:dyDescent="0.25">
      <c r="A1412" t="s">
        <v>4098</v>
      </c>
      <c r="B1412" t="str">
        <f>"3056"</f>
        <v>3056</v>
      </c>
      <c r="C1412" t="str">
        <f>"268823056"</f>
        <v>268823056</v>
      </c>
      <c r="D1412" t="s">
        <v>4099</v>
      </c>
      <c r="E1412" t="s">
        <v>4100</v>
      </c>
      <c r="F1412" t="s">
        <v>438</v>
      </c>
      <c r="G1412" s="1">
        <v>30365</v>
      </c>
      <c r="H1412" s="1">
        <v>41148</v>
      </c>
      <c r="I1412" t="str">
        <f t="shared" si="27"/>
        <v>51</v>
      </c>
      <c r="J1412" t="s">
        <v>471</v>
      </c>
      <c r="K1412" t="s">
        <v>25</v>
      </c>
      <c r="L1412" t="s">
        <v>26</v>
      </c>
      <c r="M1412" t="s">
        <v>27</v>
      </c>
      <c r="N1412" s="1">
        <v>18629</v>
      </c>
      <c r="O1412">
        <v>0</v>
      </c>
      <c r="P1412">
        <v>0</v>
      </c>
      <c r="Q1412" t="s">
        <v>37</v>
      </c>
      <c r="R1412" t="s">
        <v>29</v>
      </c>
      <c r="S1412" t="s">
        <v>818</v>
      </c>
      <c r="T1412" t="s">
        <v>819</v>
      </c>
    </row>
    <row r="1413" spans="1:20" x14ac:dyDescent="0.25">
      <c r="A1413" t="s">
        <v>4101</v>
      </c>
      <c r="B1413" t="str">
        <f>"7239"</f>
        <v>7239</v>
      </c>
      <c r="C1413" t="str">
        <f>"291907239"</f>
        <v>291907239</v>
      </c>
      <c r="D1413" t="s">
        <v>4102</v>
      </c>
      <c r="E1413" t="s">
        <v>1711</v>
      </c>
      <c r="F1413" t="s">
        <v>219</v>
      </c>
      <c r="G1413" s="1">
        <v>31878</v>
      </c>
      <c r="H1413" s="1">
        <v>41148</v>
      </c>
      <c r="I1413" t="str">
        <f t="shared" si="27"/>
        <v>51</v>
      </c>
      <c r="J1413" t="s">
        <v>471</v>
      </c>
      <c r="K1413" t="s">
        <v>25</v>
      </c>
      <c r="L1413" t="s">
        <v>26</v>
      </c>
      <c r="M1413" t="s">
        <v>27</v>
      </c>
      <c r="N1413" s="1">
        <v>18629</v>
      </c>
      <c r="O1413">
        <v>0</v>
      </c>
      <c r="P1413">
        <v>0</v>
      </c>
      <c r="Q1413" t="s">
        <v>37</v>
      </c>
      <c r="R1413" t="s">
        <v>71</v>
      </c>
      <c r="S1413" t="s">
        <v>157</v>
      </c>
      <c r="T1413" t="s">
        <v>158</v>
      </c>
    </row>
    <row r="1414" spans="1:20" x14ac:dyDescent="0.25">
      <c r="A1414" t="s">
        <v>4103</v>
      </c>
      <c r="B1414" t="str">
        <f>"9263"</f>
        <v>9263</v>
      </c>
      <c r="C1414" t="str">
        <f>"296889263"</f>
        <v>296889263</v>
      </c>
      <c r="D1414" t="s">
        <v>2321</v>
      </c>
      <c r="E1414" t="s">
        <v>3163</v>
      </c>
      <c r="F1414" t="s">
        <v>165</v>
      </c>
      <c r="G1414" s="1">
        <v>27754</v>
      </c>
      <c r="H1414" s="1">
        <v>41148</v>
      </c>
      <c r="I1414" t="str">
        <f t="shared" si="27"/>
        <v>51</v>
      </c>
      <c r="J1414" t="s">
        <v>471</v>
      </c>
      <c r="K1414" t="s">
        <v>25</v>
      </c>
      <c r="L1414" t="s">
        <v>26</v>
      </c>
      <c r="M1414" t="s">
        <v>27</v>
      </c>
      <c r="N1414" s="1">
        <v>18629</v>
      </c>
      <c r="O1414">
        <v>0</v>
      </c>
      <c r="P1414">
        <v>0</v>
      </c>
      <c r="Q1414" t="s">
        <v>37</v>
      </c>
      <c r="R1414" t="s">
        <v>29</v>
      </c>
      <c r="S1414" t="s">
        <v>138</v>
      </c>
      <c r="T1414" t="s">
        <v>139</v>
      </c>
    </row>
    <row r="1415" spans="1:20" x14ac:dyDescent="0.25">
      <c r="A1415" t="s">
        <v>4104</v>
      </c>
      <c r="B1415" t="str">
        <f>"6275"</f>
        <v>6275</v>
      </c>
      <c r="C1415" t="str">
        <f>"276766275"</f>
        <v>276766275</v>
      </c>
      <c r="D1415" t="s">
        <v>4105</v>
      </c>
      <c r="E1415" t="s">
        <v>4106</v>
      </c>
      <c r="F1415" t="s">
        <v>239</v>
      </c>
      <c r="G1415" s="1">
        <v>24135</v>
      </c>
      <c r="H1415" s="1">
        <v>41148</v>
      </c>
      <c r="I1415" t="str">
        <f t="shared" si="27"/>
        <v>51</v>
      </c>
      <c r="J1415" t="s">
        <v>471</v>
      </c>
      <c r="K1415" t="s">
        <v>25</v>
      </c>
      <c r="L1415" t="s">
        <v>26</v>
      </c>
      <c r="M1415" t="s">
        <v>27</v>
      </c>
      <c r="N1415" s="1">
        <v>18629</v>
      </c>
      <c r="O1415">
        <v>0</v>
      </c>
      <c r="P1415">
        <v>0</v>
      </c>
      <c r="Q1415" t="s">
        <v>37</v>
      </c>
      <c r="R1415" t="s">
        <v>29</v>
      </c>
      <c r="S1415" t="s">
        <v>138</v>
      </c>
      <c r="T1415" t="s">
        <v>139</v>
      </c>
    </row>
    <row r="1416" spans="1:20" x14ac:dyDescent="0.25">
      <c r="A1416" t="s">
        <v>4107</v>
      </c>
      <c r="B1416" t="str">
        <f>"4804"</f>
        <v>4804</v>
      </c>
      <c r="C1416" t="str">
        <f>"300704804"</f>
        <v>300704804</v>
      </c>
      <c r="D1416" t="s">
        <v>4108</v>
      </c>
      <c r="E1416" t="s">
        <v>4109</v>
      </c>
      <c r="G1416" s="1">
        <v>23616</v>
      </c>
      <c r="H1416" s="1">
        <v>41148</v>
      </c>
      <c r="I1416" t="str">
        <f t="shared" si="27"/>
        <v>51</v>
      </c>
      <c r="J1416" t="s">
        <v>471</v>
      </c>
      <c r="K1416" t="s">
        <v>25</v>
      </c>
      <c r="L1416" t="s">
        <v>26</v>
      </c>
      <c r="M1416" t="s">
        <v>27</v>
      </c>
      <c r="N1416" s="1">
        <v>18629</v>
      </c>
      <c r="O1416">
        <v>0</v>
      </c>
      <c r="P1416">
        <v>0</v>
      </c>
      <c r="Q1416" t="s">
        <v>37</v>
      </c>
      <c r="R1416" t="s">
        <v>29</v>
      </c>
      <c r="S1416" t="s">
        <v>138</v>
      </c>
      <c r="T1416" t="s">
        <v>139</v>
      </c>
    </row>
    <row r="1417" spans="1:20" x14ac:dyDescent="0.25">
      <c r="A1417" t="s">
        <v>4110</v>
      </c>
      <c r="B1417" t="str">
        <f>"8705"</f>
        <v>8705</v>
      </c>
      <c r="C1417" t="str">
        <f>"270508705"</f>
        <v>270508705</v>
      </c>
      <c r="D1417" t="s">
        <v>4111</v>
      </c>
      <c r="E1417" t="s">
        <v>35</v>
      </c>
      <c r="F1417" t="s">
        <v>44</v>
      </c>
      <c r="G1417" s="1">
        <v>21649</v>
      </c>
      <c r="H1417" s="1">
        <v>41148</v>
      </c>
      <c r="I1417" t="str">
        <f t="shared" si="27"/>
        <v>51</v>
      </c>
      <c r="J1417" t="s">
        <v>471</v>
      </c>
      <c r="K1417" t="s">
        <v>25</v>
      </c>
      <c r="L1417" t="s">
        <v>26</v>
      </c>
      <c r="M1417" t="s">
        <v>27</v>
      </c>
      <c r="N1417" s="1">
        <v>18629</v>
      </c>
      <c r="O1417">
        <v>0</v>
      </c>
      <c r="P1417">
        <v>0</v>
      </c>
      <c r="Q1417" t="s">
        <v>28</v>
      </c>
      <c r="R1417" t="s">
        <v>51</v>
      </c>
      <c r="S1417" s="2" t="s">
        <v>2318</v>
      </c>
      <c r="T1417" t="s">
        <v>2319</v>
      </c>
    </row>
    <row r="1418" spans="1:20" x14ac:dyDescent="0.25">
      <c r="A1418" t="s">
        <v>4112</v>
      </c>
      <c r="B1418" t="str">
        <f>"1771"</f>
        <v>1771</v>
      </c>
      <c r="C1418" t="str">
        <f>"296801771"</f>
        <v>296801771</v>
      </c>
      <c r="D1418" t="s">
        <v>398</v>
      </c>
      <c r="E1418" t="s">
        <v>2042</v>
      </c>
      <c r="F1418" t="s">
        <v>28</v>
      </c>
      <c r="G1418" s="1">
        <v>25780</v>
      </c>
      <c r="H1418" s="1">
        <v>41148</v>
      </c>
      <c r="I1418" t="str">
        <f t="shared" si="27"/>
        <v>51</v>
      </c>
      <c r="J1418" t="s">
        <v>471</v>
      </c>
      <c r="K1418" t="s">
        <v>25</v>
      </c>
      <c r="L1418" t="s">
        <v>26</v>
      </c>
      <c r="M1418" t="s">
        <v>27</v>
      </c>
      <c r="N1418" s="1">
        <v>18629</v>
      </c>
      <c r="O1418">
        <v>0</v>
      </c>
      <c r="P1418">
        <v>0</v>
      </c>
      <c r="Q1418" t="s">
        <v>37</v>
      </c>
      <c r="R1418" t="s">
        <v>29</v>
      </c>
      <c r="S1418" t="s">
        <v>138</v>
      </c>
      <c r="T1418" t="s">
        <v>139</v>
      </c>
    </row>
    <row r="1419" spans="1:20" x14ac:dyDescent="0.25">
      <c r="A1419" t="s">
        <v>4113</v>
      </c>
      <c r="B1419" t="str">
        <f>"3195"</f>
        <v>3195</v>
      </c>
      <c r="C1419" t="str">
        <f>"284503195"</f>
        <v>284503195</v>
      </c>
      <c r="D1419" t="s">
        <v>4114</v>
      </c>
      <c r="E1419" t="s">
        <v>2551</v>
      </c>
      <c r="F1419" t="s">
        <v>219</v>
      </c>
      <c r="G1419" s="1">
        <v>19167</v>
      </c>
      <c r="H1419" s="1">
        <v>41148</v>
      </c>
      <c r="I1419" t="str">
        <f t="shared" si="27"/>
        <v>51</v>
      </c>
      <c r="J1419" t="s">
        <v>471</v>
      </c>
      <c r="K1419" t="s">
        <v>25</v>
      </c>
      <c r="L1419" t="s">
        <v>26</v>
      </c>
      <c r="M1419" t="s">
        <v>27</v>
      </c>
      <c r="N1419" s="1">
        <v>18629</v>
      </c>
      <c r="O1419">
        <v>0</v>
      </c>
      <c r="P1419">
        <v>0</v>
      </c>
      <c r="Q1419" t="s">
        <v>37</v>
      </c>
      <c r="R1419" t="s">
        <v>71</v>
      </c>
      <c r="S1419" t="s">
        <v>1517</v>
      </c>
      <c r="T1419" t="s">
        <v>1518</v>
      </c>
    </row>
    <row r="1420" spans="1:20" x14ac:dyDescent="0.25">
      <c r="A1420" t="s">
        <v>4115</v>
      </c>
      <c r="B1420" t="str">
        <f>"2292"</f>
        <v>2292</v>
      </c>
      <c r="C1420" t="str">
        <f>"279622292"</f>
        <v>279622292</v>
      </c>
      <c r="D1420" t="s">
        <v>3614</v>
      </c>
      <c r="E1420" t="s">
        <v>991</v>
      </c>
      <c r="F1420" t="s">
        <v>2075</v>
      </c>
      <c r="G1420" s="1">
        <v>24612</v>
      </c>
      <c r="H1420" s="1">
        <v>41148</v>
      </c>
      <c r="I1420" t="str">
        <f t="shared" si="27"/>
        <v>51</v>
      </c>
      <c r="J1420" t="s">
        <v>471</v>
      </c>
      <c r="K1420" t="s">
        <v>25</v>
      </c>
      <c r="L1420" t="s">
        <v>26</v>
      </c>
      <c r="M1420" t="s">
        <v>27</v>
      </c>
      <c r="N1420" s="1">
        <v>18629</v>
      </c>
      <c r="O1420">
        <v>0</v>
      </c>
      <c r="P1420">
        <v>0</v>
      </c>
      <c r="Q1420" t="s">
        <v>37</v>
      </c>
      <c r="R1420" t="s">
        <v>29</v>
      </c>
      <c r="S1420" t="s">
        <v>717</v>
      </c>
      <c r="T1420" t="s">
        <v>718</v>
      </c>
    </row>
    <row r="1421" spans="1:20" x14ac:dyDescent="0.25">
      <c r="A1421" t="s">
        <v>4116</v>
      </c>
      <c r="B1421" t="str">
        <f>"7110"</f>
        <v>7110</v>
      </c>
      <c r="C1421" t="str">
        <f>"364727110"</f>
        <v>364727110</v>
      </c>
      <c r="D1421" t="s">
        <v>4117</v>
      </c>
      <c r="E1421" t="s">
        <v>82</v>
      </c>
      <c r="F1421" t="s">
        <v>97</v>
      </c>
      <c r="G1421" s="1">
        <v>21504</v>
      </c>
      <c r="H1421" s="1">
        <v>41148</v>
      </c>
      <c r="I1421" t="str">
        <f t="shared" si="27"/>
        <v>51</v>
      </c>
      <c r="J1421" t="s">
        <v>471</v>
      </c>
      <c r="K1421" t="s">
        <v>25</v>
      </c>
      <c r="L1421" t="s">
        <v>26</v>
      </c>
      <c r="M1421" t="s">
        <v>27</v>
      </c>
      <c r="N1421" s="1">
        <v>18629</v>
      </c>
      <c r="O1421">
        <v>0</v>
      </c>
      <c r="P1421">
        <v>0</v>
      </c>
      <c r="Q1421" t="s">
        <v>37</v>
      </c>
      <c r="R1421" t="s">
        <v>51</v>
      </c>
      <c r="S1421" s="2" t="s">
        <v>4118</v>
      </c>
      <c r="T1421" t="s">
        <v>4119</v>
      </c>
    </row>
    <row r="1422" spans="1:20" x14ac:dyDescent="0.25">
      <c r="A1422" t="s">
        <v>4120</v>
      </c>
      <c r="B1422" t="str">
        <f>"7256"</f>
        <v>7256</v>
      </c>
      <c r="C1422" t="str">
        <f>"277767256"</f>
        <v>277767256</v>
      </c>
      <c r="D1422" t="s">
        <v>4121</v>
      </c>
      <c r="E1422" t="s">
        <v>1546</v>
      </c>
      <c r="F1422" t="s">
        <v>26</v>
      </c>
      <c r="G1422" s="1">
        <v>29310</v>
      </c>
      <c r="H1422" s="1">
        <v>41148</v>
      </c>
      <c r="I1422" t="str">
        <f t="shared" si="27"/>
        <v>51</v>
      </c>
      <c r="J1422" t="s">
        <v>471</v>
      </c>
      <c r="K1422" t="s">
        <v>25</v>
      </c>
      <c r="L1422" t="s">
        <v>26</v>
      </c>
      <c r="M1422" t="s">
        <v>27</v>
      </c>
      <c r="N1422" s="1">
        <v>18629</v>
      </c>
      <c r="O1422">
        <v>0</v>
      </c>
      <c r="P1422">
        <v>0</v>
      </c>
      <c r="Q1422" t="s">
        <v>37</v>
      </c>
      <c r="R1422" t="s">
        <v>29</v>
      </c>
      <c r="S1422" t="s">
        <v>138</v>
      </c>
      <c r="T1422" t="s">
        <v>139</v>
      </c>
    </row>
    <row r="1423" spans="1:20" x14ac:dyDescent="0.25">
      <c r="A1423" t="s">
        <v>4122</v>
      </c>
      <c r="B1423" t="str">
        <f>"2217"</f>
        <v>2217</v>
      </c>
      <c r="C1423" t="str">
        <f>"287802217"</f>
        <v>287802217</v>
      </c>
      <c r="D1423" t="s">
        <v>4123</v>
      </c>
      <c r="E1423" t="s">
        <v>3318</v>
      </c>
      <c r="F1423" t="s">
        <v>276</v>
      </c>
      <c r="G1423" s="1">
        <v>26145</v>
      </c>
      <c r="H1423" s="1">
        <v>41148</v>
      </c>
      <c r="I1423" t="str">
        <f t="shared" si="27"/>
        <v>51</v>
      </c>
      <c r="J1423" t="s">
        <v>471</v>
      </c>
      <c r="K1423" t="s">
        <v>25</v>
      </c>
      <c r="L1423" t="s">
        <v>26</v>
      </c>
      <c r="M1423" t="s">
        <v>27</v>
      </c>
      <c r="N1423" s="1">
        <v>18629</v>
      </c>
      <c r="O1423">
        <v>0</v>
      </c>
      <c r="P1423">
        <v>0</v>
      </c>
      <c r="Q1423" t="s">
        <v>37</v>
      </c>
      <c r="R1423" t="s">
        <v>29</v>
      </c>
      <c r="S1423" t="s">
        <v>138</v>
      </c>
      <c r="T1423" t="s">
        <v>139</v>
      </c>
    </row>
    <row r="1424" spans="1:20" x14ac:dyDescent="0.25">
      <c r="A1424" t="s">
        <v>4124</v>
      </c>
      <c r="B1424" t="str">
        <f>"8278"</f>
        <v>8278</v>
      </c>
      <c r="C1424" t="str">
        <f>"389768278"</f>
        <v>389768278</v>
      </c>
      <c r="D1424" t="s">
        <v>4125</v>
      </c>
      <c r="E1424" t="s">
        <v>699</v>
      </c>
      <c r="F1424" t="s">
        <v>44</v>
      </c>
      <c r="G1424" s="1">
        <v>25557</v>
      </c>
      <c r="H1424" s="1">
        <v>41148</v>
      </c>
      <c r="I1424" t="str">
        <f t="shared" si="27"/>
        <v>51</v>
      </c>
      <c r="J1424" t="s">
        <v>471</v>
      </c>
      <c r="K1424" t="s">
        <v>25</v>
      </c>
      <c r="L1424" t="s">
        <v>26</v>
      </c>
      <c r="M1424" t="s">
        <v>27</v>
      </c>
      <c r="N1424" s="1">
        <v>18629</v>
      </c>
      <c r="O1424">
        <v>0</v>
      </c>
      <c r="P1424">
        <v>0</v>
      </c>
      <c r="Q1424" t="s">
        <v>37</v>
      </c>
      <c r="R1424" t="s">
        <v>29</v>
      </c>
      <c r="S1424" t="s">
        <v>138</v>
      </c>
      <c r="T1424" t="s">
        <v>139</v>
      </c>
    </row>
    <row r="1425" spans="1:20" x14ac:dyDescent="0.25">
      <c r="A1425" t="s">
        <v>4126</v>
      </c>
      <c r="B1425" t="str">
        <f>"1487"</f>
        <v>1487</v>
      </c>
      <c r="C1425" t="str">
        <f>"284981487"</f>
        <v>284981487</v>
      </c>
      <c r="D1425" t="s">
        <v>4127</v>
      </c>
      <c r="E1425" t="s">
        <v>2135</v>
      </c>
      <c r="F1425" t="s">
        <v>28</v>
      </c>
      <c r="G1425" s="1">
        <v>21797</v>
      </c>
      <c r="H1425" s="1">
        <v>41148</v>
      </c>
      <c r="I1425" t="str">
        <f t="shared" si="27"/>
        <v>51</v>
      </c>
      <c r="J1425" t="s">
        <v>471</v>
      </c>
      <c r="K1425" t="s">
        <v>25</v>
      </c>
      <c r="L1425" t="s">
        <v>26</v>
      </c>
      <c r="M1425" t="s">
        <v>27</v>
      </c>
      <c r="N1425" s="1">
        <v>18629</v>
      </c>
      <c r="O1425">
        <v>0</v>
      </c>
      <c r="P1425">
        <v>0</v>
      </c>
      <c r="Q1425" t="s">
        <v>28</v>
      </c>
      <c r="R1425" t="s">
        <v>51</v>
      </c>
      <c r="S1425" s="2" t="s">
        <v>2202</v>
      </c>
      <c r="T1425" t="s">
        <v>2203</v>
      </c>
    </row>
    <row r="1426" spans="1:20" x14ac:dyDescent="0.25">
      <c r="A1426" t="s">
        <v>4128</v>
      </c>
      <c r="B1426" t="str">
        <f>"1509"</f>
        <v>1509</v>
      </c>
      <c r="C1426" t="str">
        <f>"407391509"</f>
        <v>407391509</v>
      </c>
      <c r="D1426" t="s">
        <v>4129</v>
      </c>
      <c r="E1426" t="s">
        <v>4130</v>
      </c>
      <c r="G1426" s="1">
        <v>22482</v>
      </c>
      <c r="H1426" s="1">
        <v>41148</v>
      </c>
      <c r="I1426" t="str">
        <f t="shared" si="27"/>
        <v>51</v>
      </c>
      <c r="J1426" t="s">
        <v>471</v>
      </c>
      <c r="K1426" t="s">
        <v>25</v>
      </c>
      <c r="L1426" t="s">
        <v>26</v>
      </c>
      <c r="M1426" t="s">
        <v>27</v>
      </c>
      <c r="N1426" s="1">
        <v>18629</v>
      </c>
      <c r="O1426">
        <v>0</v>
      </c>
      <c r="P1426">
        <v>0</v>
      </c>
      <c r="Q1426" t="s">
        <v>28</v>
      </c>
      <c r="R1426" t="s">
        <v>29</v>
      </c>
      <c r="S1426" t="s">
        <v>765</v>
      </c>
      <c r="T1426" t="s">
        <v>766</v>
      </c>
    </row>
    <row r="1427" spans="1:20" x14ac:dyDescent="0.25">
      <c r="A1427" t="s">
        <v>4131</v>
      </c>
      <c r="B1427" t="str">
        <f>"0568"</f>
        <v>0568</v>
      </c>
      <c r="C1427" t="str">
        <f>"296680568"</f>
        <v>296680568</v>
      </c>
      <c r="D1427" t="s">
        <v>1156</v>
      </c>
      <c r="E1427" t="s">
        <v>4132</v>
      </c>
      <c r="F1427" t="s">
        <v>4133</v>
      </c>
      <c r="G1427" s="1">
        <v>25060</v>
      </c>
      <c r="H1427" s="1">
        <v>41148</v>
      </c>
      <c r="I1427" t="str">
        <f t="shared" si="27"/>
        <v>51</v>
      </c>
      <c r="J1427" t="s">
        <v>471</v>
      </c>
      <c r="K1427" t="s">
        <v>25</v>
      </c>
      <c r="L1427" t="s">
        <v>26</v>
      </c>
      <c r="M1427" t="s">
        <v>27</v>
      </c>
      <c r="N1427" s="1">
        <v>18629</v>
      </c>
      <c r="O1427">
        <v>0</v>
      </c>
      <c r="P1427">
        <v>0</v>
      </c>
      <c r="Q1427" t="s">
        <v>37</v>
      </c>
      <c r="R1427" t="s">
        <v>29</v>
      </c>
      <c r="S1427" t="s">
        <v>138</v>
      </c>
      <c r="T1427" t="s">
        <v>139</v>
      </c>
    </row>
    <row r="1428" spans="1:20" x14ac:dyDescent="0.25">
      <c r="A1428" t="s">
        <v>4134</v>
      </c>
      <c r="B1428" t="str">
        <f>"8574"</f>
        <v>8574</v>
      </c>
      <c r="C1428" t="str">
        <f>"294688574"</f>
        <v>294688574</v>
      </c>
      <c r="D1428" t="s">
        <v>1156</v>
      </c>
      <c r="E1428" t="s">
        <v>3412</v>
      </c>
      <c r="F1428" t="s">
        <v>28</v>
      </c>
      <c r="G1428" s="1">
        <v>22936</v>
      </c>
      <c r="H1428" s="1">
        <v>41148</v>
      </c>
      <c r="I1428" t="str">
        <f t="shared" si="27"/>
        <v>51</v>
      </c>
      <c r="J1428" t="s">
        <v>471</v>
      </c>
      <c r="K1428" t="s">
        <v>25</v>
      </c>
      <c r="L1428" t="s">
        <v>26</v>
      </c>
      <c r="M1428" t="s">
        <v>27</v>
      </c>
      <c r="N1428" s="1">
        <v>18629</v>
      </c>
      <c r="O1428">
        <v>0</v>
      </c>
      <c r="P1428">
        <v>0</v>
      </c>
      <c r="Q1428" t="s">
        <v>28</v>
      </c>
      <c r="R1428" t="s">
        <v>71</v>
      </c>
      <c r="S1428" t="s">
        <v>871</v>
      </c>
      <c r="T1428" t="s">
        <v>872</v>
      </c>
    </row>
    <row r="1429" spans="1:20" x14ac:dyDescent="0.25">
      <c r="A1429" t="s">
        <v>4135</v>
      </c>
      <c r="B1429" t="str">
        <f>"8311"</f>
        <v>8311</v>
      </c>
      <c r="C1429" t="str">
        <f>"287648311"</f>
        <v>287648311</v>
      </c>
      <c r="D1429" t="s">
        <v>4136</v>
      </c>
      <c r="E1429" t="s">
        <v>2049</v>
      </c>
      <c r="F1429" t="s">
        <v>97</v>
      </c>
      <c r="G1429" s="1">
        <v>22585</v>
      </c>
      <c r="H1429" s="1">
        <v>41148</v>
      </c>
      <c r="I1429" t="str">
        <f t="shared" si="27"/>
        <v>51</v>
      </c>
      <c r="J1429" t="s">
        <v>471</v>
      </c>
      <c r="K1429" t="s">
        <v>25</v>
      </c>
      <c r="L1429" t="s">
        <v>26</v>
      </c>
      <c r="M1429" t="s">
        <v>27</v>
      </c>
      <c r="N1429" s="1">
        <v>18629</v>
      </c>
      <c r="O1429">
        <v>0</v>
      </c>
      <c r="P1429">
        <v>0</v>
      </c>
      <c r="Q1429" t="s">
        <v>28</v>
      </c>
      <c r="R1429" t="s">
        <v>51</v>
      </c>
      <c r="S1429" s="2" t="s">
        <v>1522</v>
      </c>
      <c r="T1429" t="s">
        <v>1523</v>
      </c>
    </row>
    <row r="1430" spans="1:20" x14ac:dyDescent="0.25">
      <c r="A1430" t="s">
        <v>4137</v>
      </c>
      <c r="B1430" t="str">
        <f>"5885"</f>
        <v>5885</v>
      </c>
      <c r="C1430" t="str">
        <f>"102825885"</f>
        <v>102825885</v>
      </c>
      <c r="D1430" t="s">
        <v>4138</v>
      </c>
      <c r="E1430" t="s">
        <v>322</v>
      </c>
      <c r="F1430" t="s">
        <v>44</v>
      </c>
      <c r="G1430" s="1">
        <v>29430</v>
      </c>
      <c r="H1430" s="1">
        <v>41148</v>
      </c>
      <c r="I1430" t="str">
        <f t="shared" si="27"/>
        <v>51</v>
      </c>
      <c r="J1430" t="s">
        <v>471</v>
      </c>
      <c r="K1430" t="s">
        <v>25</v>
      </c>
      <c r="L1430" t="s">
        <v>26</v>
      </c>
      <c r="M1430" t="s">
        <v>27</v>
      </c>
      <c r="N1430" s="1">
        <v>18629</v>
      </c>
      <c r="O1430">
        <v>0</v>
      </c>
      <c r="P1430">
        <v>0</v>
      </c>
      <c r="Q1430" t="s">
        <v>37</v>
      </c>
      <c r="R1430" t="s">
        <v>71</v>
      </c>
      <c r="S1430" t="s">
        <v>157</v>
      </c>
      <c r="T1430" t="s">
        <v>158</v>
      </c>
    </row>
    <row r="1431" spans="1:20" x14ac:dyDescent="0.25">
      <c r="A1431" t="s">
        <v>4139</v>
      </c>
      <c r="B1431" t="str">
        <f>"2927"</f>
        <v>2927</v>
      </c>
      <c r="C1431" t="str">
        <f>"435172927"</f>
        <v>435172927</v>
      </c>
      <c r="D1431" t="s">
        <v>4140</v>
      </c>
      <c r="E1431" t="s">
        <v>933</v>
      </c>
      <c r="F1431" t="s">
        <v>219</v>
      </c>
      <c r="G1431" s="1">
        <v>25760</v>
      </c>
      <c r="H1431" s="1">
        <v>41148</v>
      </c>
      <c r="I1431" t="str">
        <f t="shared" si="27"/>
        <v>51</v>
      </c>
      <c r="J1431" t="s">
        <v>471</v>
      </c>
      <c r="K1431" t="s">
        <v>25</v>
      </c>
      <c r="L1431" t="s">
        <v>26</v>
      </c>
      <c r="M1431" t="s">
        <v>27</v>
      </c>
      <c r="N1431" s="1">
        <v>18629</v>
      </c>
      <c r="O1431">
        <v>0</v>
      </c>
      <c r="P1431">
        <v>0</v>
      </c>
      <c r="Q1431" t="s">
        <v>28</v>
      </c>
      <c r="R1431" t="s">
        <v>51</v>
      </c>
      <c r="S1431" t="s">
        <v>717</v>
      </c>
      <c r="T1431" t="s">
        <v>718</v>
      </c>
    </row>
    <row r="1432" spans="1:20" x14ac:dyDescent="0.25">
      <c r="A1432" t="s">
        <v>4141</v>
      </c>
      <c r="B1432" t="str">
        <f>"4355"</f>
        <v>4355</v>
      </c>
      <c r="C1432" t="str">
        <f>"269504355"</f>
        <v>269504355</v>
      </c>
      <c r="D1432" t="s">
        <v>1928</v>
      </c>
      <c r="E1432" t="s">
        <v>3181</v>
      </c>
      <c r="F1432" t="s">
        <v>97</v>
      </c>
      <c r="G1432" s="1">
        <v>17982</v>
      </c>
      <c r="H1432" s="1">
        <v>41148</v>
      </c>
      <c r="I1432" t="str">
        <f>"50"</f>
        <v>50</v>
      </c>
      <c r="J1432" t="s">
        <v>208</v>
      </c>
      <c r="K1432" t="s">
        <v>25</v>
      </c>
      <c r="L1432" t="s">
        <v>26</v>
      </c>
      <c r="M1432" t="s">
        <v>27</v>
      </c>
      <c r="N1432" s="1">
        <v>18629</v>
      </c>
      <c r="O1432">
        <v>0</v>
      </c>
      <c r="P1432">
        <v>0</v>
      </c>
      <c r="Q1432" t="s">
        <v>28</v>
      </c>
      <c r="R1432" t="s">
        <v>51</v>
      </c>
      <c r="S1432" s="2" t="s">
        <v>2333</v>
      </c>
      <c r="T1432" t="s">
        <v>2334</v>
      </c>
    </row>
    <row r="1433" spans="1:20" x14ac:dyDescent="0.25">
      <c r="A1433" t="s">
        <v>4142</v>
      </c>
      <c r="B1433" t="str">
        <f>"4131"</f>
        <v>4131</v>
      </c>
      <c r="C1433" t="str">
        <f>"278844131"</f>
        <v>278844131</v>
      </c>
      <c r="D1433" t="s">
        <v>4143</v>
      </c>
      <c r="E1433" t="s">
        <v>1081</v>
      </c>
      <c r="F1433" t="s">
        <v>438</v>
      </c>
      <c r="G1433" s="1">
        <v>28496</v>
      </c>
      <c r="H1433" s="1">
        <v>41148</v>
      </c>
      <c r="I1433" t="str">
        <f t="shared" ref="I1433:I1446" si="28">"51"</f>
        <v>51</v>
      </c>
      <c r="J1433" t="s">
        <v>471</v>
      </c>
      <c r="K1433" t="s">
        <v>25</v>
      </c>
      <c r="L1433" t="s">
        <v>26</v>
      </c>
      <c r="M1433" t="s">
        <v>27</v>
      </c>
      <c r="N1433" s="1">
        <v>18629</v>
      </c>
      <c r="O1433">
        <v>0</v>
      </c>
      <c r="P1433">
        <v>0</v>
      </c>
      <c r="Q1433" t="s">
        <v>28</v>
      </c>
      <c r="R1433" t="s">
        <v>71</v>
      </c>
      <c r="S1433" t="s">
        <v>1474</v>
      </c>
      <c r="T1433" t="s">
        <v>1475</v>
      </c>
    </row>
    <row r="1434" spans="1:20" x14ac:dyDescent="0.25">
      <c r="A1434" t="s">
        <v>4144</v>
      </c>
      <c r="B1434" t="str">
        <f>"2133"</f>
        <v>2133</v>
      </c>
      <c r="C1434" t="str">
        <f>"271542133"</f>
        <v>271542133</v>
      </c>
      <c r="D1434" t="s">
        <v>4145</v>
      </c>
      <c r="E1434" t="s">
        <v>769</v>
      </c>
      <c r="F1434" t="s">
        <v>264</v>
      </c>
      <c r="G1434" s="1">
        <v>19848</v>
      </c>
      <c r="H1434" s="1">
        <v>41148</v>
      </c>
      <c r="I1434" t="str">
        <f t="shared" si="28"/>
        <v>51</v>
      </c>
      <c r="J1434" t="s">
        <v>471</v>
      </c>
      <c r="K1434" t="s">
        <v>25</v>
      </c>
      <c r="L1434" t="s">
        <v>26</v>
      </c>
      <c r="M1434" t="s">
        <v>27</v>
      </c>
      <c r="N1434" s="1">
        <v>18629</v>
      </c>
      <c r="O1434">
        <v>0</v>
      </c>
      <c r="P1434">
        <v>0</v>
      </c>
      <c r="Q1434" t="s">
        <v>37</v>
      </c>
      <c r="R1434" t="s">
        <v>29</v>
      </c>
      <c r="S1434" t="s">
        <v>138</v>
      </c>
      <c r="T1434" t="s">
        <v>139</v>
      </c>
    </row>
    <row r="1435" spans="1:20" x14ac:dyDescent="0.25">
      <c r="A1435" t="s">
        <v>4146</v>
      </c>
      <c r="B1435" t="str">
        <f>"8889"</f>
        <v>8889</v>
      </c>
      <c r="C1435" t="str">
        <f>"300588889"</f>
        <v>300588889</v>
      </c>
      <c r="D1435" t="s">
        <v>4147</v>
      </c>
      <c r="E1435" t="s">
        <v>3232</v>
      </c>
      <c r="F1435" t="s">
        <v>165</v>
      </c>
      <c r="G1435" s="1">
        <v>20877</v>
      </c>
      <c r="H1435" s="1">
        <v>41148</v>
      </c>
      <c r="I1435" t="str">
        <f t="shared" si="28"/>
        <v>51</v>
      </c>
      <c r="J1435" t="s">
        <v>471</v>
      </c>
      <c r="K1435" t="s">
        <v>25</v>
      </c>
      <c r="L1435" t="s">
        <v>26</v>
      </c>
      <c r="M1435" t="s">
        <v>27</v>
      </c>
      <c r="N1435" s="1">
        <v>18629</v>
      </c>
      <c r="O1435">
        <v>0</v>
      </c>
      <c r="P1435">
        <v>0</v>
      </c>
      <c r="Q1435" t="s">
        <v>28</v>
      </c>
      <c r="R1435" t="s">
        <v>29</v>
      </c>
      <c r="S1435" t="s">
        <v>1677</v>
      </c>
      <c r="T1435" t="s">
        <v>1678</v>
      </c>
    </row>
    <row r="1436" spans="1:20" x14ac:dyDescent="0.25">
      <c r="A1436" t="s">
        <v>4148</v>
      </c>
      <c r="B1436" t="str">
        <f>"1549"</f>
        <v>1549</v>
      </c>
      <c r="C1436" t="str">
        <f>"272601549"</f>
        <v>272601549</v>
      </c>
      <c r="D1436" t="s">
        <v>4149</v>
      </c>
      <c r="E1436" t="s">
        <v>509</v>
      </c>
      <c r="G1436" s="1">
        <v>20774</v>
      </c>
      <c r="H1436" s="1">
        <v>41148</v>
      </c>
      <c r="I1436" t="str">
        <f t="shared" si="28"/>
        <v>51</v>
      </c>
      <c r="J1436" t="s">
        <v>471</v>
      </c>
      <c r="K1436" t="s">
        <v>25</v>
      </c>
      <c r="L1436" t="s">
        <v>26</v>
      </c>
      <c r="M1436" t="s">
        <v>27</v>
      </c>
      <c r="N1436" s="1">
        <v>18629</v>
      </c>
      <c r="O1436">
        <v>0</v>
      </c>
      <c r="P1436">
        <v>0</v>
      </c>
      <c r="Q1436" t="s">
        <v>37</v>
      </c>
      <c r="R1436" t="s">
        <v>29</v>
      </c>
      <c r="S1436" t="s">
        <v>138</v>
      </c>
      <c r="T1436" t="s">
        <v>139</v>
      </c>
    </row>
    <row r="1437" spans="1:20" x14ac:dyDescent="0.25">
      <c r="A1437" t="s">
        <v>4150</v>
      </c>
      <c r="B1437" t="str">
        <f>"3394"</f>
        <v>3394</v>
      </c>
      <c r="C1437" t="str">
        <f>"270643394"</f>
        <v>270643394</v>
      </c>
      <c r="D1437" t="s">
        <v>352</v>
      </c>
      <c r="E1437" t="s">
        <v>2308</v>
      </c>
      <c r="F1437" t="s">
        <v>44</v>
      </c>
      <c r="G1437" s="1">
        <v>21703</v>
      </c>
      <c r="H1437" s="1">
        <v>41148</v>
      </c>
      <c r="I1437" t="str">
        <f t="shared" si="28"/>
        <v>51</v>
      </c>
      <c r="J1437" t="s">
        <v>471</v>
      </c>
      <c r="K1437" t="s">
        <v>25</v>
      </c>
      <c r="L1437" t="s">
        <v>26</v>
      </c>
      <c r="M1437" t="s">
        <v>27</v>
      </c>
      <c r="N1437" s="1">
        <v>18629</v>
      </c>
      <c r="O1437">
        <v>0</v>
      </c>
      <c r="P1437">
        <v>0</v>
      </c>
      <c r="Q1437" t="s">
        <v>37</v>
      </c>
      <c r="R1437" t="s">
        <v>51</v>
      </c>
      <c r="S1437" s="2" t="s">
        <v>4118</v>
      </c>
      <c r="T1437" t="s">
        <v>4119</v>
      </c>
    </row>
    <row r="1438" spans="1:20" x14ac:dyDescent="0.25">
      <c r="A1438" t="s">
        <v>4151</v>
      </c>
      <c r="B1438" t="str">
        <f>"1006"</f>
        <v>1006</v>
      </c>
      <c r="C1438" t="str">
        <f>"273681006"</f>
        <v>273681006</v>
      </c>
      <c r="D1438" t="s">
        <v>4152</v>
      </c>
      <c r="E1438" t="s">
        <v>33</v>
      </c>
      <c r="F1438" t="s">
        <v>239</v>
      </c>
      <c r="G1438" s="1">
        <v>23007</v>
      </c>
      <c r="H1438" s="1">
        <v>41148</v>
      </c>
      <c r="I1438" t="str">
        <f t="shared" si="28"/>
        <v>51</v>
      </c>
      <c r="J1438" t="s">
        <v>471</v>
      </c>
      <c r="K1438" t="s">
        <v>25</v>
      </c>
      <c r="L1438" t="s">
        <v>26</v>
      </c>
      <c r="M1438" t="s">
        <v>27</v>
      </c>
      <c r="N1438" s="1">
        <v>18629</v>
      </c>
      <c r="O1438">
        <v>0</v>
      </c>
      <c r="P1438">
        <v>0</v>
      </c>
      <c r="Q1438" t="s">
        <v>28</v>
      </c>
      <c r="R1438" t="s">
        <v>71</v>
      </c>
      <c r="S1438" t="s">
        <v>3734</v>
      </c>
      <c r="T1438" t="s">
        <v>3735</v>
      </c>
    </row>
    <row r="1439" spans="1:20" x14ac:dyDescent="0.25">
      <c r="A1439" t="s">
        <v>4153</v>
      </c>
      <c r="B1439" t="str">
        <f>"9666"</f>
        <v>9666</v>
      </c>
      <c r="C1439" t="str">
        <f>"275809666"</f>
        <v>275809666</v>
      </c>
      <c r="D1439" t="s">
        <v>4154</v>
      </c>
      <c r="E1439" t="s">
        <v>4155</v>
      </c>
      <c r="F1439" t="s">
        <v>28</v>
      </c>
      <c r="G1439" s="1">
        <v>24751</v>
      </c>
      <c r="H1439" s="1">
        <v>41148</v>
      </c>
      <c r="I1439" t="str">
        <f t="shared" si="28"/>
        <v>51</v>
      </c>
      <c r="J1439" t="s">
        <v>471</v>
      </c>
      <c r="K1439" t="s">
        <v>25</v>
      </c>
      <c r="L1439" t="s">
        <v>26</v>
      </c>
      <c r="M1439" t="s">
        <v>27</v>
      </c>
      <c r="N1439" s="1">
        <v>18629</v>
      </c>
      <c r="O1439">
        <v>0</v>
      </c>
      <c r="P1439">
        <v>0</v>
      </c>
      <c r="Q1439" t="s">
        <v>37</v>
      </c>
      <c r="R1439" t="s">
        <v>29</v>
      </c>
      <c r="S1439" t="s">
        <v>138</v>
      </c>
      <c r="T1439" t="s">
        <v>139</v>
      </c>
    </row>
    <row r="1440" spans="1:20" x14ac:dyDescent="0.25">
      <c r="A1440" t="s">
        <v>4156</v>
      </c>
      <c r="B1440" t="str">
        <f>"0725"</f>
        <v>0725</v>
      </c>
      <c r="C1440" t="str">
        <f>"269860725"</f>
        <v>269860725</v>
      </c>
      <c r="D1440" t="s">
        <v>4157</v>
      </c>
      <c r="E1440" t="s">
        <v>544</v>
      </c>
      <c r="F1440" t="s">
        <v>93</v>
      </c>
      <c r="G1440" s="1">
        <v>30622</v>
      </c>
      <c r="H1440" s="1">
        <v>41148</v>
      </c>
      <c r="I1440" t="str">
        <f t="shared" si="28"/>
        <v>51</v>
      </c>
      <c r="J1440" t="s">
        <v>471</v>
      </c>
      <c r="K1440" t="s">
        <v>25</v>
      </c>
      <c r="L1440" t="s">
        <v>26</v>
      </c>
      <c r="M1440" t="s">
        <v>27</v>
      </c>
      <c r="N1440" s="1">
        <v>18629</v>
      </c>
      <c r="O1440">
        <v>0</v>
      </c>
      <c r="P1440">
        <v>0</v>
      </c>
      <c r="Q1440" t="s">
        <v>37</v>
      </c>
      <c r="R1440" t="s">
        <v>29</v>
      </c>
      <c r="S1440" t="s">
        <v>138</v>
      </c>
      <c r="T1440" t="s">
        <v>139</v>
      </c>
    </row>
    <row r="1441" spans="1:20" x14ac:dyDescent="0.25">
      <c r="A1441" t="s">
        <v>4158</v>
      </c>
      <c r="B1441" t="str">
        <f>"9818"</f>
        <v>9818</v>
      </c>
      <c r="C1441" t="str">
        <f>"487929818"</f>
        <v>487929818</v>
      </c>
      <c r="D1441" t="s">
        <v>4159</v>
      </c>
      <c r="E1441" t="s">
        <v>146</v>
      </c>
      <c r="F1441" t="s">
        <v>438</v>
      </c>
      <c r="G1441" s="1">
        <v>26298</v>
      </c>
      <c r="H1441" s="1">
        <v>41148</v>
      </c>
      <c r="I1441" t="str">
        <f t="shared" si="28"/>
        <v>51</v>
      </c>
      <c r="J1441" t="s">
        <v>471</v>
      </c>
      <c r="K1441" t="s">
        <v>25</v>
      </c>
      <c r="L1441" t="s">
        <v>26</v>
      </c>
      <c r="M1441" t="s">
        <v>27</v>
      </c>
      <c r="N1441" s="1">
        <v>18629</v>
      </c>
      <c r="O1441">
        <v>0</v>
      </c>
      <c r="P1441">
        <v>0</v>
      </c>
      <c r="Q1441" t="s">
        <v>37</v>
      </c>
      <c r="R1441" t="s">
        <v>71</v>
      </c>
      <c r="S1441" t="s">
        <v>2458</v>
      </c>
      <c r="T1441" t="s">
        <v>2459</v>
      </c>
    </row>
    <row r="1442" spans="1:20" x14ac:dyDescent="0.25">
      <c r="A1442" t="s">
        <v>4160</v>
      </c>
      <c r="B1442" t="str">
        <f>"9574"</f>
        <v>9574</v>
      </c>
      <c r="C1442" t="str">
        <f>"276809574"</f>
        <v>276809574</v>
      </c>
      <c r="D1442" t="s">
        <v>4161</v>
      </c>
      <c r="E1442" t="s">
        <v>2239</v>
      </c>
      <c r="F1442" t="s">
        <v>900</v>
      </c>
      <c r="G1442" s="1">
        <v>27650</v>
      </c>
      <c r="H1442" s="1">
        <v>41148</v>
      </c>
      <c r="I1442" t="str">
        <f t="shared" si="28"/>
        <v>51</v>
      </c>
      <c r="J1442" t="s">
        <v>471</v>
      </c>
      <c r="K1442" t="s">
        <v>25</v>
      </c>
      <c r="L1442" t="s">
        <v>26</v>
      </c>
      <c r="M1442" t="s">
        <v>27</v>
      </c>
      <c r="N1442" s="1">
        <v>18629</v>
      </c>
      <c r="O1442">
        <v>0</v>
      </c>
      <c r="P1442">
        <v>0</v>
      </c>
      <c r="Q1442" t="s">
        <v>37</v>
      </c>
      <c r="R1442" t="s">
        <v>29</v>
      </c>
      <c r="S1442" t="s">
        <v>138</v>
      </c>
      <c r="T1442" t="s">
        <v>139</v>
      </c>
    </row>
    <row r="1443" spans="1:20" x14ac:dyDescent="0.25">
      <c r="A1443" t="s">
        <v>4162</v>
      </c>
      <c r="B1443" t="str">
        <f>"8388"</f>
        <v>8388</v>
      </c>
      <c r="C1443" t="str">
        <f>"294448388"</f>
        <v>294448388</v>
      </c>
      <c r="D1443" t="s">
        <v>4163</v>
      </c>
      <c r="E1443" t="s">
        <v>197</v>
      </c>
      <c r="F1443" t="s">
        <v>97</v>
      </c>
      <c r="G1443" s="1">
        <v>18301</v>
      </c>
      <c r="H1443" s="1">
        <v>41148</v>
      </c>
      <c r="I1443" t="str">
        <f t="shared" si="28"/>
        <v>51</v>
      </c>
      <c r="J1443" t="s">
        <v>471</v>
      </c>
      <c r="K1443" t="s">
        <v>25</v>
      </c>
      <c r="L1443" t="s">
        <v>26</v>
      </c>
      <c r="M1443" t="s">
        <v>27</v>
      </c>
      <c r="N1443" s="1">
        <v>18629</v>
      </c>
      <c r="O1443">
        <v>0</v>
      </c>
      <c r="P1443">
        <v>0</v>
      </c>
      <c r="Q1443" t="s">
        <v>28</v>
      </c>
      <c r="R1443" t="s">
        <v>29</v>
      </c>
      <c r="S1443" t="s">
        <v>1572</v>
      </c>
      <c r="T1443" t="s">
        <v>1573</v>
      </c>
    </row>
    <row r="1444" spans="1:20" x14ac:dyDescent="0.25">
      <c r="A1444" t="s">
        <v>4164</v>
      </c>
      <c r="B1444" t="str">
        <f>"5696"</f>
        <v>5696</v>
      </c>
      <c r="C1444" t="str">
        <f>"279825696"</f>
        <v>279825696</v>
      </c>
      <c r="D1444" t="s">
        <v>1225</v>
      </c>
      <c r="E1444" t="s">
        <v>4165</v>
      </c>
      <c r="F1444" t="s">
        <v>93</v>
      </c>
      <c r="G1444" s="1">
        <v>30508</v>
      </c>
      <c r="H1444" s="1">
        <v>41148</v>
      </c>
      <c r="I1444" t="str">
        <f t="shared" si="28"/>
        <v>51</v>
      </c>
      <c r="J1444" t="s">
        <v>471</v>
      </c>
      <c r="K1444" t="s">
        <v>25</v>
      </c>
      <c r="L1444" t="s">
        <v>26</v>
      </c>
      <c r="M1444" t="s">
        <v>27</v>
      </c>
      <c r="N1444" s="1">
        <v>18629</v>
      </c>
      <c r="O1444">
        <v>0</v>
      </c>
      <c r="P1444">
        <v>0</v>
      </c>
      <c r="Q1444" t="s">
        <v>37</v>
      </c>
      <c r="R1444" t="s">
        <v>71</v>
      </c>
      <c r="S1444" t="s">
        <v>2634</v>
      </c>
      <c r="T1444" t="s">
        <v>2635</v>
      </c>
    </row>
    <row r="1445" spans="1:20" x14ac:dyDescent="0.25">
      <c r="A1445" t="s">
        <v>4166</v>
      </c>
      <c r="B1445" t="str">
        <f>"7825"</f>
        <v>7825</v>
      </c>
      <c r="C1445" t="str">
        <f>"276787825"</f>
        <v>276787825</v>
      </c>
      <c r="D1445" t="s">
        <v>4167</v>
      </c>
      <c r="E1445" t="s">
        <v>4168</v>
      </c>
      <c r="F1445" t="s">
        <v>4169</v>
      </c>
      <c r="G1445" s="1">
        <v>29668</v>
      </c>
      <c r="H1445" s="1">
        <v>41148</v>
      </c>
      <c r="I1445" t="str">
        <f t="shared" si="28"/>
        <v>51</v>
      </c>
      <c r="J1445" t="s">
        <v>471</v>
      </c>
      <c r="K1445" t="s">
        <v>25</v>
      </c>
      <c r="L1445" t="s">
        <v>26</v>
      </c>
      <c r="M1445" t="s">
        <v>27</v>
      </c>
      <c r="N1445" s="1">
        <v>18629</v>
      </c>
      <c r="O1445">
        <v>0</v>
      </c>
      <c r="P1445">
        <v>0</v>
      </c>
      <c r="Q1445" t="s">
        <v>37</v>
      </c>
      <c r="R1445" t="s">
        <v>29</v>
      </c>
      <c r="S1445" t="s">
        <v>717</v>
      </c>
      <c r="T1445" t="s">
        <v>718</v>
      </c>
    </row>
    <row r="1446" spans="1:20" x14ac:dyDescent="0.25">
      <c r="A1446" t="s">
        <v>4170</v>
      </c>
      <c r="B1446" t="str">
        <f>"8392"</f>
        <v>8392</v>
      </c>
      <c r="C1446" t="str">
        <f>"288488392"</f>
        <v>288488392</v>
      </c>
      <c r="D1446" t="s">
        <v>4171</v>
      </c>
      <c r="E1446" t="s">
        <v>4172</v>
      </c>
      <c r="F1446" t="s">
        <v>37</v>
      </c>
      <c r="G1446" s="1">
        <v>18254</v>
      </c>
      <c r="H1446" s="1">
        <v>41148</v>
      </c>
      <c r="I1446" t="str">
        <f t="shared" si="28"/>
        <v>51</v>
      </c>
      <c r="J1446" t="s">
        <v>471</v>
      </c>
      <c r="K1446" t="s">
        <v>25</v>
      </c>
      <c r="L1446" t="s">
        <v>26</v>
      </c>
      <c r="M1446" t="s">
        <v>27</v>
      </c>
      <c r="N1446" s="1">
        <v>18629</v>
      </c>
      <c r="O1446">
        <v>0</v>
      </c>
      <c r="P1446">
        <v>0</v>
      </c>
      <c r="Q1446" t="s">
        <v>37</v>
      </c>
      <c r="R1446" t="s">
        <v>29</v>
      </c>
      <c r="S1446" t="s">
        <v>138</v>
      </c>
      <c r="T1446" t="s">
        <v>139</v>
      </c>
    </row>
    <row r="1447" spans="1:20" x14ac:dyDescent="0.25">
      <c r="A1447" t="s">
        <v>4173</v>
      </c>
      <c r="B1447" t="str">
        <f>"0283"</f>
        <v>0283</v>
      </c>
      <c r="C1447" t="str">
        <f>"320940283"</f>
        <v>320940283</v>
      </c>
      <c r="D1447" t="s">
        <v>4174</v>
      </c>
      <c r="E1447" t="s">
        <v>294</v>
      </c>
      <c r="G1447" s="1">
        <v>30642</v>
      </c>
      <c r="H1447" s="1">
        <v>41148</v>
      </c>
      <c r="I1447" t="str">
        <f>"52"</f>
        <v>52</v>
      </c>
      <c r="J1447" t="s">
        <v>330</v>
      </c>
      <c r="K1447" t="s">
        <v>25</v>
      </c>
      <c r="L1447" t="s">
        <v>26</v>
      </c>
      <c r="M1447" t="s">
        <v>27</v>
      </c>
      <c r="N1447" s="1">
        <v>18629</v>
      </c>
      <c r="O1447">
        <v>0</v>
      </c>
      <c r="P1447">
        <v>0</v>
      </c>
      <c r="Q1447" t="s">
        <v>37</v>
      </c>
      <c r="R1447" t="s">
        <v>71</v>
      </c>
      <c r="S1447" t="s">
        <v>4000</v>
      </c>
      <c r="T1447" t="s">
        <v>4001</v>
      </c>
    </row>
    <row r="1448" spans="1:20" x14ac:dyDescent="0.25">
      <c r="A1448" t="s">
        <v>4175</v>
      </c>
      <c r="B1448" t="str">
        <f>"0559"</f>
        <v>0559</v>
      </c>
      <c r="C1448" t="str">
        <f>"286820559"</f>
        <v>286820559</v>
      </c>
      <c r="D1448" t="s">
        <v>4176</v>
      </c>
      <c r="E1448" t="s">
        <v>322</v>
      </c>
      <c r="F1448" t="s">
        <v>264</v>
      </c>
      <c r="G1448" s="1">
        <v>27568</v>
      </c>
      <c r="H1448" s="1">
        <v>41148</v>
      </c>
      <c r="I1448" t="str">
        <f t="shared" ref="I1448:I1479" si="29">"51"</f>
        <v>51</v>
      </c>
      <c r="J1448" t="s">
        <v>471</v>
      </c>
      <c r="K1448" t="s">
        <v>25</v>
      </c>
      <c r="L1448" t="s">
        <v>26</v>
      </c>
      <c r="M1448" t="s">
        <v>27</v>
      </c>
      <c r="N1448" s="1">
        <v>18629</v>
      </c>
      <c r="O1448">
        <v>0</v>
      </c>
      <c r="P1448">
        <v>0</v>
      </c>
      <c r="Q1448" t="s">
        <v>37</v>
      </c>
      <c r="R1448" t="s">
        <v>71</v>
      </c>
      <c r="S1448" t="s">
        <v>4177</v>
      </c>
      <c r="T1448" t="s">
        <v>4178</v>
      </c>
    </row>
    <row r="1449" spans="1:20" x14ac:dyDescent="0.25">
      <c r="A1449" t="s">
        <v>4179</v>
      </c>
      <c r="B1449" t="str">
        <f>"3781"</f>
        <v>3781</v>
      </c>
      <c r="C1449" t="str">
        <f>"002643781"</f>
        <v>002643781</v>
      </c>
      <c r="D1449" t="s">
        <v>4180</v>
      </c>
      <c r="E1449" t="s">
        <v>941</v>
      </c>
      <c r="F1449" t="s">
        <v>556</v>
      </c>
      <c r="G1449" s="1">
        <v>29915</v>
      </c>
      <c r="H1449" s="1">
        <v>41148</v>
      </c>
      <c r="I1449" t="str">
        <f t="shared" si="29"/>
        <v>51</v>
      </c>
      <c r="J1449" t="s">
        <v>471</v>
      </c>
      <c r="K1449" t="s">
        <v>25</v>
      </c>
      <c r="L1449" t="s">
        <v>26</v>
      </c>
      <c r="M1449" t="s">
        <v>27</v>
      </c>
      <c r="N1449" s="1">
        <v>18629</v>
      </c>
      <c r="O1449">
        <v>0</v>
      </c>
      <c r="P1449">
        <v>0</v>
      </c>
      <c r="Q1449" t="s">
        <v>28</v>
      </c>
      <c r="R1449" t="s">
        <v>71</v>
      </c>
      <c r="S1449" t="s">
        <v>2458</v>
      </c>
      <c r="T1449" t="s">
        <v>2459</v>
      </c>
    </row>
    <row r="1450" spans="1:20" x14ac:dyDescent="0.25">
      <c r="A1450" t="s">
        <v>4181</v>
      </c>
      <c r="B1450" t="str">
        <f>"5444"</f>
        <v>5444</v>
      </c>
      <c r="C1450" t="str">
        <f>"272545444"</f>
        <v>272545444</v>
      </c>
      <c r="D1450" t="s">
        <v>4182</v>
      </c>
      <c r="E1450" t="s">
        <v>4183</v>
      </c>
      <c r="F1450" t="s">
        <v>256</v>
      </c>
      <c r="G1450" s="1">
        <v>25252</v>
      </c>
      <c r="H1450" s="1">
        <v>41148</v>
      </c>
      <c r="I1450" t="str">
        <f t="shared" si="29"/>
        <v>51</v>
      </c>
      <c r="J1450" t="s">
        <v>471</v>
      </c>
      <c r="K1450" t="s">
        <v>25</v>
      </c>
      <c r="L1450" t="s">
        <v>26</v>
      </c>
      <c r="M1450" t="s">
        <v>27</v>
      </c>
      <c r="N1450" s="1">
        <v>18629</v>
      </c>
      <c r="O1450">
        <v>0</v>
      </c>
      <c r="P1450">
        <v>0</v>
      </c>
      <c r="Q1450" t="s">
        <v>37</v>
      </c>
      <c r="R1450" t="s">
        <v>29</v>
      </c>
      <c r="S1450" t="s">
        <v>138</v>
      </c>
      <c r="T1450" t="s">
        <v>139</v>
      </c>
    </row>
    <row r="1451" spans="1:20" x14ac:dyDescent="0.25">
      <c r="A1451" t="s">
        <v>4184</v>
      </c>
      <c r="B1451" t="str">
        <f>"5177"</f>
        <v>5177</v>
      </c>
      <c r="C1451" t="str">
        <f>"286905177"</f>
        <v>286905177</v>
      </c>
      <c r="D1451" t="s">
        <v>4185</v>
      </c>
      <c r="E1451" t="s">
        <v>238</v>
      </c>
      <c r="F1451" t="s">
        <v>239</v>
      </c>
      <c r="G1451" s="1">
        <v>31989</v>
      </c>
      <c r="H1451" s="1">
        <v>41148</v>
      </c>
      <c r="I1451" t="str">
        <f t="shared" si="29"/>
        <v>51</v>
      </c>
      <c r="J1451" t="s">
        <v>471</v>
      </c>
      <c r="K1451" t="s">
        <v>25</v>
      </c>
      <c r="L1451" t="s">
        <v>26</v>
      </c>
      <c r="M1451" t="s">
        <v>27</v>
      </c>
      <c r="N1451" s="1">
        <v>18629</v>
      </c>
      <c r="O1451">
        <v>0</v>
      </c>
      <c r="P1451">
        <v>0</v>
      </c>
      <c r="Q1451" t="s">
        <v>28</v>
      </c>
      <c r="R1451" t="s">
        <v>71</v>
      </c>
      <c r="S1451" t="s">
        <v>157</v>
      </c>
      <c r="T1451" t="s">
        <v>158</v>
      </c>
    </row>
    <row r="1452" spans="1:20" x14ac:dyDescent="0.25">
      <c r="A1452" t="s">
        <v>4186</v>
      </c>
      <c r="B1452" t="str">
        <f>"0520"</f>
        <v>0520</v>
      </c>
      <c r="C1452" t="str">
        <f>"289820520"</f>
        <v>289820520</v>
      </c>
      <c r="D1452" t="s">
        <v>4187</v>
      </c>
      <c r="E1452" t="s">
        <v>3416</v>
      </c>
      <c r="F1452" t="s">
        <v>69</v>
      </c>
      <c r="G1452" s="1">
        <v>29326</v>
      </c>
      <c r="H1452" s="1">
        <v>41148</v>
      </c>
      <c r="I1452" t="str">
        <f t="shared" si="29"/>
        <v>51</v>
      </c>
      <c r="J1452" t="s">
        <v>471</v>
      </c>
      <c r="K1452" t="s">
        <v>25</v>
      </c>
      <c r="L1452" t="s">
        <v>26</v>
      </c>
      <c r="M1452" t="s">
        <v>27</v>
      </c>
      <c r="N1452" s="1">
        <v>18629</v>
      </c>
      <c r="O1452">
        <v>0</v>
      </c>
      <c r="P1452">
        <v>0</v>
      </c>
      <c r="Q1452" t="s">
        <v>37</v>
      </c>
      <c r="R1452" t="s">
        <v>29</v>
      </c>
      <c r="S1452" t="s">
        <v>138</v>
      </c>
      <c r="T1452" t="s">
        <v>139</v>
      </c>
    </row>
    <row r="1453" spans="1:20" x14ac:dyDescent="0.25">
      <c r="A1453" t="s">
        <v>4188</v>
      </c>
      <c r="B1453" t="str">
        <f>"3480"</f>
        <v>3480</v>
      </c>
      <c r="C1453" t="str">
        <f>"278503480"</f>
        <v>278503480</v>
      </c>
      <c r="D1453" t="s">
        <v>4189</v>
      </c>
      <c r="E1453" t="s">
        <v>4190</v>
      </c>
      <c r="F1453" t="s">
        <v>329</v>
      </c>
      <c r="G1453" s="1">
        <v>18130</v>
      </c>
      <c r="H1453" s="1">
        <v>41148</v>
      </c>
      <c r="I1453" t="str">
        <f t="shared" si="29"/>
        <v>51</v>
      </c>
      <c r="J1453" t="s">
        <v>471</v>
      </c>
      <c r="K1453" t="s">
        <v>25</v>
      </c>
      <c r="L1453" t="s">
        <v>26</v>
      </c>
      <c r="M1453" t="s">
        <v>27</v>
      </c>
      <c r="N1453" s="1">
        <v>18629</v>
      </c>
      <c r="O1453">
        <v>0</v>
      </c>
      <c r="P1453">
        <v>0</v>
      </c>
      <c r="Q1453" t="s">
        <v>28</v>
      </c>
      <c r="R1453" t="s">
        <v>71</v>
      </c>
      <c r="S1453" t="s">
        <v>2458</v>
      </c>
      <c r="T1453" t="s">
        <v>2459</v>
      </c>
    </row>
    <row r="1454" spans="1:20" x14ac:dyDescent="0.25">
      <c r="A1454" t="s">
        <v>4191</v>
      </c>
      <c r="B1454" t="str">
        <f>"5541"</f>
        <v>5541</v>
      </c>
      <c r="C1454" t="str">
        <f>"279745541"</f>
        <v>279745541</v>
      </c>
      <c r="D1454" t="s">
        <v>2438</v>
      </c>
      <c r="E1454" t="s">
        <v>4192</v>
      </c>
      <c r="F1454" t="s">
        <v>44</v>
      </c>
      <c r="G1454" s="1">
        <v>23685</v>
      </c>
      <c r="H1454" s="1">
        <v>41148</v>
      </c>
      <c r="I1454" t="str">
        <f t="shared" si="29"/>
        <v>51</v>
      </c>
      <c r="J1454" t="s">
        <v>471</v>
      </c>
      <c r="K1454" t="s">
        <v>25</v>
      </c>
      <c r="L1454" t="s">
        <v>26</v>
      </c>
      <c r="M1454" t="s">
        <v>27</v>
      </c>
      <c r="N1454" s="1">
        <v>18629</v>
      </c>
      <c r="O1454">
        <v>0</v>
      </c>
      <c r="P1454">
        <v>0</v>
      </c>
      <c r="Q1454" t="s">
        <v>37</v>
      </c>
      <c r="R1454" t="s">
        <v>51</v>
      </c>
      <c r="S1454" s="2" t="s">
        <v>2318</v>
      </c>
      <c r="T1454" t="s">
        <v>2319</v>
      </c>
    </row>
    <row r="1455" spans="1:20" x14ac:dyDescent="0.25">
      <c r="A1455" t="s">
        <v>4193</v>
      </c>
      <c r="B1455" t="str">
        <f>"9139"</f>
        <v>9139</v>
      </c>
      <c r="C1455" t="str">
        <f>"286449139"</f>
        <v>286449139</v>
      </c>
      <c r="D1455" t="s">
        <v>4194</v>
      </c>
      <c r="E1455" t="s">
        <v>2911</v>
      </c>
      <c r="F1455" t="s">
        <v>69</v>
      </c>
      <c r="G1455" s="1">
        <v>17491</v>
      </c>
      <c r="H1455" s="1">
        <v>41148</v>
      </c>
      <c r="I1455" t="str">
        <f t="shared" si="29"/>
        <v>51</v>
      </c>
      <c r="J1455" t="s">
        <v>471</v>
      </c>
      <c r="K1455" t="s">
        <v>25</v>
      </c>
      <c r="L1455" t="s">
        <v>26</v>
      </c>
      <c r="M1455" t="s">
        <v>27</v>
      </c>
      <c r="N1455" s="1">
        <v>18629</v>
      </c>
      <c r="O1455">
        <v>0</v>
      </c>
      <c r="P1455">
        <v>0</v>
      </c>
      <c r="Q1455" t="s">
        <v>37</v>
      </c>
      <c r="R1455" t="s">
        <v>51</v>
      </c>
      <c r="S1455" s="2" t="s">
        <v>1568</v>
      </c>
      <c r="T1455" t="s">
        <v>1569</v>
      </c>
    </row>
    <row r="1456" spans="1:20" x14ac:dyDescent="0.25">
      <c r="A1456" t="s">
        <v>4195</v>
      </c>
      <c r="B1456" t="str">
        <f>"6130"</f>
        <v>6130</v>
      </c>
      <c r="C1456" t="str">
        <f>"293806130"</f>
        <v>293806130</v>
      </c>
      <c r="D1456" t="s">
        <v>4196</v>
      </c>
      <c r="E1456" t="s">
        <v>4197</v>
      </c>
      <c r="F1456" t="s">
        <v>414</v>
      </c>
      <c r="G1456" s="1">
        <v>24470</v>
      </c>
      <c r="H1456" s="1">
        <v>41148</v>
      </c>
      <c r="I1456" t="str">
        <f t="shared" si="29"/>
        <v>51</v>
      </c>
      <c r="J1456" t="s">
        <v>471</v>
      </c>
      <c r="K1456" t="s">
        <v>25</v>
      </c>
      <c r="L1456" t="s">
        <v>26</v>
      </c>
      <c r="M1456" t="s">
        <v>27</v>
      </c>
      <c r="N1456" s="1">
        <v>18629</v>
      </c>
      <c r="O1456">
        <v>0</v>
      </c>
      <c r="P1456">
        <v>0</v>
      </c>
      <c r="Q1456" t="s">
        <v>37</v>
      </c>
      <c r="R1456" t="s">
        <v>29</v>
      </c>
      <c r="S1456" t="s">
        <v>138</v>
      </c>
      <c r="T1456" t="s">
        <v>139</v>
      </c>
    </row>
    <row r="1457" spans="1:20" x14ac:dyDescent="0.25">
      <c r="A1457" t="s">
        <v>4198</v>
      </c>
      <c r="B1457" t="str">
        <f>"5036"</f>
        <v>5036</v>
      </c>
      <c r="C1457" t="str">
        <f>"211365036"</f>
        <v>211365036</v>
      </c>
      <c r="D1457" t="s">
        <v>4199</v>
      </c>
      <c r="E1457" t="s">
        <v>1589</v>
      </c>
      <c r="F1457" t="s">
        <v>556</v>
      </c>
      <c r="G1457" s="1">
        <v>20806</v>
      </c>
      <c r="H1457" s="1">
        <v>41148</v>
      </c>
      <c r="I1457" t="str">
        <f t="shared" si="29"/>
        <v>51</v>
      </c>
      <c r="J1457" t="s">
        <v>471</v>
      </c>
      <c r="K1457" t="s">
        <v>25</v>
      </c>
      <c r="L1457" t="s">
        <v>26</v>
      </c>
      <c r="M1457" t="s">
        <v>27</v>
      </c>
      <c r="N1457" s="1">
        <v>18629</v>
      </c>
      <c r="O1457">
        <v>0</v>
      </c>
      <c r="P1457">
        <v>0</v>
      </c>
      <c r="Q1457" t="s">
        <v>37</v>
      </c>
      <c r="R1457" t="s">
        <v>29</v>
      </c>
      <c r="S1457" t="s">
        <v>1572</v>
      </c>
      <c r="T1457" t="s">
        <v>1573</v>
      </c>
    </row>
    <row r="1458" spans="1:20" x14ac:dyDescent="0.25">
      <c r="A1458" t="s">
        <v>4200</v>
      </c>
      <c r="B1458" t="str">
        <f>"2446"</f>
        <v>2446</v>
      </c>
      <c r="C1458" t="str">
        <f>"276722446"</f>
        <v>276722446</v>
      </c>
      <c r="D1458" t="s">
        <v>1277</v>
      </c>
      <c r="E1458" t="s">
        <v>3598</v>
      </c>
      <c r="F1458" t="s">
        <v>93</v>
      </c>
      <c r="G1458" s="1">
        <v>25596</v>
      </c>
      <c r="H1458" s="1">
        <v>41148</v>
      </c>
      <c r="I1458" t="str">
        <f t="shared" si="29"/>
        <v>51</v>
      </c>
      <c r="J1458" t="s">
        <v>471</v>
      </c>
      <c r="K1458" t="s">
        <v>25</v>
      </c>
      <c r="L1458" t="s">
        <v>26</v>
      </c>
      <c r="M1458" t="s">
        <v>27</v>
      </c>
      <c r="N1458" s="1">
        <v>18629</v>
      </c>
      <c r="O1458">
        <v>0</v>
      </c>
      <c r="P1458">
        <v>0</v>
      </c>
      <c r="Q1458" t="s">
        <v>37</v>
      </c>
      <c r="R1458" t="s">
        <v>29</v>
      </c>
      <c r="S1458" t="s">
        <v>138</v>
      </c>
      <c r="T1458" t="s">
        <v>139</v>
      </c>
    </row>
    <row r="1459" spans="1:20" x14ac:dyDescent="0.25">
      <c r="A1459" t="s">
        <v>4201</v>
      </c>
      <c r="B1459" t="str">
        <f>"4788"</f>
        <v>4788</v>
      </c>
      <c r="C1459" t="str">
        <f>"293844788"</f>
        <v>293844788</v>
      </c>
      <c r="D1459" t="s">
        <v>1818</v>
      </c>
      <c r="E1459" t="s">
        <v>4202</v>
      </c>
      <c r="F1459" t="s">
        <v>345</v>
      </c>
      <c r="G1459" s="1">
        <v>28233</v>
      </c>
      <c r="H1459" s="1">
        <v>41148</v>
      </c>
      <c r="I1459" t="str">
        <f t="shared" si="29"/>
        <v>51</v>
      </c>
      <c r="J1459" t="s">
        <v>471</v>
      </c>
      <c r="K1459" t="s">
        <v>25</v>
      </c>
      <c r="L1459" t="s">
        <v>26</v>
      </c>
      <c r="M1459" t="s">
        <v>27</v>
      </c>
      <c r="N1459" s="1">
        <v>18629</v>
      </c>
      <c r="O1459">
        <v>0</v>
      </c>
      <c r="P1459">
        <v>0</v>
      </c>
      <c r="Q1459" t="s">
        <v>37</v>
      </c>
      <c r="R1459" t="s">
        <v>51</v>
      </c>
      <c r="S1459" s="2" t="s">
        <v>4118</v>
      </c>
      <c r="T1459" t="s">
        <v>4119</v>
      </c>
    </row>
    <row r="1460" spans="1:20" x14ac:dyDescent="0.25">
      <c r="A1460" t="s">
        <v>4203</v>
      </c>
      <c r="B1460" t="str">
        <f>"4424"</f>
        <v>4424</v>
      </c>
      <c r="C1460" t="str">
        <f>"469314424"</f>
        <v>469314424</v>
      </c>
      <c r="D1460" t="s">
        <v>4204</v>
      </c>
      <c r="E1460" t="s">
        <v>4205</v>
      </c>
      <c r="G1460" s="1">
        <v>27828</v>
      </c>
      <c r="H1460" s="1">
        <v>41148</v>
      </c>
      <c r="I1460" t="str">
        <f t="shared" si="29"/>
        <v>51</v>
      </c>
      <c r="J1460" t="s">
        <v>471</v>
      </c>
      <c r="K1460" t="s">
        <v>25</v>
      </c>
      <c r="L1460" t="s">
        <v>26</v>
      </c>
      <c r="M1460" t="s">
        <v>27</v>
      </c>
      <c r="N1460" s="1">
        <v>18629</v>
      </c>
      <c r="O1460">
        <v>0</v>
      </c>
      <c r="P1460">
        <v>0</v>
      </c>
      <c r="Q1460" t="s">
        <v>28</v>
      </c>
      <c r="R1460" t="s">
        <v>51</v>
      </c>
      <c r="S1460" s="2" t="s">
        <v>2202</v>
      </c>
      <c r="T1460" t="s">
        <v>2203</v>
      </c>
    </row>
    <row r="1461" spans="1:20" x14ac:dyDescent="0.25">
      <c r="A1461" t="s">
        <v>4206</v>
      </c>
      <c r="B1461" t="str">
        <f>"0787"</f>
        <v>0787</v>
      </c>
      <c r="C1461" t="str">
        <f>"299420787"</f>
        <v>299420787</v>
      </c>
      <c r="D1461" t="s">
        <v>4207</v>
      </c>
      <c r="E1461" t="s">
        <v>1247</v>
      </c>
      <c r="F1461" t="s">
        <v>69</v>
      </c>
      <c r="G1461" s="1">
        <v>19194</v>
      </c>
      <c r="H1461" s="1">
        <v>41148</v>
      </c>
      <c r="I1461" t="str">
        <f t="shared" si="29"/>
        <v>51</v>
      </c>
      <c r="J1461" t="s">
        <v>471</v>
      </c>
      <c r="K1461" t="s">
        <v>25</v>
      </c>
      <c r="L1461" t="s">
        <v>26</v>
      </c>
      <c r="M1461" t="s">
        <v>27</v>
      </c>
      <c r="N1461" s="1">
        <v>18629</v>
      </c>
      <c r="O1461">
        <v>0</v>
      </c>
      <c r="P1461">
        <v>0</v>
      </c>
      <c r="Q1461" t="s">
        <v>28</v>
      </c>
      <c r="R1461" t="s">
        <v>51</v>
      </c>
      <c r="S1461" s="2" t="s">
        <v>4118</v>
      </c>
      <c r="T1461" t="s">
        <v>4119</v>
      </c>
    </row>
    <row r="1462" spans="1:20" x14ac:dyDescent="0.25">
      <c r="A1462" t="s">
        <v>4208</v>
      </c>
      <c r="B1462" t="str">
        <f>"1857"</f>
        <v>1857</v>
      </c>
      <c r="C1462" t="str">
        <f>"281081857"</f>
        <v>281081857</v>
      </c>
      <c r="D1462" t="s">
        <v>4209</v>
      </c>
      <c r="E1462" t="s">
        <v>4210</v>
      </c>
      <c r="F1462" t="s">
        <v>219</v>
      </c>
      <c r="G1462" s="1">
        <v>29460</v>
      </c>
      <c r="H1462" s="1">
        <v>41148</v>
      </c>
      <c r="I1462" t="str">
        <f t="shared" si="29"/>
        <v>51</v>
      </c>
      <c r="J1462" t="s">
        <v>471</v>
      </c>
      <c r="K1462" t="s">
        <v>25</v>
      </c>
      <c r="L1462" t="s">
        <v>26</v>
      </c>
      <c r="M1462" t="s">
        <v>27</v>
      </c>
      <c r="N1462" s="1">
        <v>18629</v>
      </c>
      <c r="O1462">
        <v>0</v>
      </c>
      <c r="P1462">
        <v>0</v>
      </c>
      <c r="Q1462" t="s">
        <v>37</v>
      </c>
      <c r="R1462" t="s">
        <v>29</v>
      </c>
      <c r="S1462" t="s">
        <v>765</v>
      </c>
      <c r="T1462" t="s">
        <v>766</v>
      </c>
    </row>
    <row r="1463" spans="1:20" x14ac:dyDescent="0.25">
      <c r="A1463" t="s">
        <v>4211</v>
      </c>
      <c r="B1463" t="str">
        <f>"6654"</f>
        <v>6654</v>
      </c>
      <c r="C1463" t="str">
        <f>"299806654"</f>
        <v>299806654</v>
      </c>
      <c r="D1463" t="s">
        <v>663</v>
      </c>
      <c r="E1463" t="s">
        <v>4212</v>
      </c>
      <c r="G1463" s="1">
        <v>30212</v>
      </c>
      <c r="H1463" s="1">
        <v>41148</v>
      </c>
      <c r="I1463" t="str">
        <f t="shared" si="29"/>
        <v>51</v>
      </c>
      <c r="J1463" t="s">
        <v>471</v>
      </c>
      <c r="K1463" t="s">
        <v>25</v>
      </c>
      <c r="L1463" t="s">
        <v>26</v>
      </c>
      <c r="M1463" t="s">
        <v>27</v>
      </c>
      <c r="N1463" s="1">
        <v>18629</v>
      </c>
      <c r="O1463">
        <v>0</v>
      </c>
      <c r="P1463">
        <v>0</v>
      </c>
      <c r="Q1463" t="s">
        <v>37</v>
      </c>
      <c r="R1463" t="s">
        <v>29</v>
      </c>
      <c r="S1463" t="s">
        <v>138</v>
      </c>
      <c r="T1463" t="s">
        <v>139</v>
      </c>
    </row>
    <row r="1464" spans="1:20" x14ac:dyDescent="0.25">
      <c r="A1464" t="s">
        <v>4213</v>
      </c>
      <c r="B1464" t="str">
        <f>"9318"</f>
        <v>9318</v>
      </c>
      <c r="C1464" t="str">
        <f>"293709318"</f>
        <v>293709318</v>
      </c>
      <c r="D1464" t="s">
        <v>4214</v>
      </c>
      <c r="E1464" t="s">
        <v>137</v>
      </c>
      <c r="F1464" t="s">
        <v>556</v>
      </c>
      <c r="G1464" s="1">
        <v>22323</v>
      </c>
      <c r="H1464" s="1">
        <v>41148</v>
      </c>
      <c r="I1464" t="str">
        <f t="shared" si="29"/>
        <v>51</v>
      </c>
      <c r="J1464" t="s">
        <v>471</v>
      </c>
      <c r="K1464" t="s">
        <v>25</v>
      </c>
      <c r="L1464" t="s">
        <v>26</v>
      </c>
      <c r="M1464" t="s">
        <v>27</v>
      </c>
      <c r="N1464" s="1">
        <v>18629</v>
      </c>
      <c r="O1464">
        <v>0</v>
      </c>
      <c r="P1464">
        <v>0</v>
      </c>
      <c r="Q1464" t="s">
        <v>37</v>
      </c>
      <c r="R1464" t="s">
        <v>29</v>
      </c>
      <c r="S1464" t="s">
        <v>2312</v>
      </c>
      <c r="T1464" t="s">
        <v>2313</v>
      </c>
    </row>
    <row r="1465" spans="1:20" x14ac:dyDescent="0.25">
      <c r="A1465" t="s">
        <v>4215</v>
      </c>
      <c r="B1465" t="str">
        <f>"3990"</f>
        <v>3990</v>
      </c>
      <c r="C1465" t="str">
        <f>"278503990"</f>
        <v>278503990</v>
      </c>
      <c r="D1465" t="s">
        <v>4216</v>
      </c>
      <c r="E1465" t="s">
        <v>1113</v>
      </c>
      <c r="F1465" t="s">
        <v>438</v>
      </c>
      <c r="G1465" s="1">
        <v>18236</v>
      </c>
      <c r="H1465" s="1">
        <v>41148</v>
      </c>
      <c r="I1465" t="str">
        <f t="shared" si="29"/>
        <v>51</v>
      </c>
      <c r="J1465" t="s">
        <v>471</v>
      </c>
      <c r="K1465" t="s">
        <v>25</v>
      </c>
      <c r="L1465" t="s">
        <v>26</v>
      </c>
      <c r="M1465" t="s">
        <v>27</v>
      </c>
      <c r="N1465" s="1">
        <v>18629</v>
      </c>
      <c r="O1465">
        <v>0</v>
      </c>
      <c r="P1465">
        <v>0</v>
      </c>
      <c r="Q1465" t="s">
        <v>37</v>
      </c>
      <c r="R1465" t="s">
        <v>71</v>
      </c>
      <c r="S1465" t="s">
        <v>157</v>
      </c>
      <c r="T1465" t="s">
        <v>158</v>
      </c>
    </row>
    <row r="1466" spans="1:20" x14ac:dyDescent="0.25">
      <c r="A1466" t="s">
        <v>4217</v>
      </c>
      <c r="B1466" t="str">
        <f>"6153"</f>
        <v>6153</v>
      </c>
      <c r="C1466" t="str">
        <f>"270706153"</f>
        <v>270706153</v>
      </c>
      <c r="D1466" t="s">
        <v>4218</v>
      </c>
      <c r="E1466" t="s">
        <v>194</v>
      </c>
      <c r="F1466" t="s">
        <v>629</v>
      </c>
      <c r="G1466" s="1">
        <v>23909</v>
      </c>
      <c r="H1466" s="1">
        <v>41148</v>
      </c>
      <c r="I1466" t="str">
        <f t="shared" si="29"/>
        <v>51</v>
      </c>
      <c r="J1466" t="s">
        <v>471</v>
      </c>
      <c r="K1466" t="s">
        <v>25</v>
      </c>
      <c r="L1466" t="s">
        <v>26</v>
      </c>
      <c r="M1466" t="s">
        <v>27</v>
      </c>
      <c r="N1466" s="1">
        <v>18629</v>
      </c>
      <c r="O1466">
        <v>0</v>
      </c>
      <c r="P1466">
        <v>0</v>
      </c>
      <c r="Q1466" t="s">
        <v>37</v>
      </c>
      <c r="R1466" t="s">
        <v>29</v>
      </c>
      <c r="S1466" t="s">
        <v>138</v>
      </c>
      <c r="T1466" t="s">
        <v>139</v>
      </c>
    </row>
    <row r="1467" spans="1:20" x14ac:dyDescent="0.25">
      <c r="A1467" t="s">
        <v>4219</v>
      </c>
      <c r="B1467" t="str">
        <f>"5092"</f>
        <v>5092</v>
      </c>
      <c r="C1467" t="str">
        <f>"301945092"</f>
        <v>301945092</v>
      </c>
      <c r="D1467" t="s">
        <v>4220</v>
      </c>
      <c r="E1467" t="s">
        <v>4221</v>
      </c>
      <c r="G1467" s="1">
        <v>21934</v>
      </c>
      <c r="H1467" s="1">
        <v>41148</v>
      </c>
      <c r="I1467" t="str">
        <f t="shared" si="29"/>
        <v>51</v>
      </c>
      <c r="J1467" t="s">
        <v>471</v>
      </c>
      <c r="K1467" t="s">
        <v>25</v>
      </c>
      <c r="L1467" t="s">
        <v>26</v>
      </c>
      <c r="M1467" t="s">
        <v>27</v>
      </c>
      <c r="N1467" s="1">
        <v>18629</v>
      </c>
      <c r="O1467">
        <v>0</v>
      </c>
      <c r="P1467">
        <v>0</v>
      </c>
      <c r="Q1467" t="s">
        <v>37</v>
      </c>
      <c r="R1467" t="s">
        <v>51</v>
      </c>
      <c r="S1467" s="2" t="s">
        <v>4118</v>
      </c>
      <c r="T1467" t="s">
        <v>4119</v>
      </c>
    </row>
    <row r="1468" spans="1:20" x14ac:dyDescent="0.25">
      <c r="A1468" t="s">
        <v>4222</v>
      </c>
      <c r="B1468" t="str">
        <f>"8377"</f>
        <v>8377</v>
      </c>
      <c r="C1468" t="str">
        <f>"286688377"</f>
        <v>286688377</v>
      </c>
      <c r="D1468" t="s">
        <v>4223</v>
      </c>
      <c r="E1468" t="s">
        <v>109</v>
      </c>
      <c r="F1468" t="s">
        <v>93</v>
      </c>
      <c r="G1468" s="1">
        <v>22739</v>
      </c>
      <c r="H1468" s="1">
        <v>41148</v>
      </c>
      <c r="I1468" t="str">
        <f t="shared" si="29"/>
        <v>51</v>
      </c>
      <c r="J1468" t="s">
        <v>471</v>
      </c>
      <c r="K1468" t="s">
        <v>25</v>
      </c>
      <c r="L1468" t="s">
        <v>26</v>
      </c>
      <c r="M1468" t="s">
        <v>27</v>
      </c>
      <c r="N1468" s="1">
        <v>18629</v>
      </c>
      <c r="O1468">
        <v>0</v>
      </c>
      <c r="P1468">
        <v>0</v>
      </c>
      <c r="Q1468" t="s">
        <v>37</v>
      </c>
      <c r="R1468" t="s">
        <v>51</v>
      </c>
      <c r="S1468" s="2" t="s">
        <v>64</v>
      </c>
      <c r="T1468" t="s">
        <v>65</v>
      </c>
    </row>
    <row r="1469" spans="1:20" x14ac:dyDescent="0.25">
      <c r="A1469" t="s">
        <v>4224</v>
      </c>
      <c r="B1469" t="str">
        <f>"0294"</f>
        <v>0294</v>
      </c>
      <c r="C1469" t="str">
        <f>"416980294"</f>
        <v>416980294</v>
      </c>
      <c r="D1469" t="s">
        <v>582</v>
      </c>
      <c r="E1469" t="s">
        <v>202</v>
      </c>
      <c r="F1469" t="s">
        <v>629</v>
      </c>
      <c r="G1469" s="1">
        <v>27774</v>
      </c>
      <c r="H1469" s="1">
        <v>41148</v>
      </c>
      <c r="I1469" t="str">
        <f t="shared" si="29"/>
        <v>51</v>
      </c>
      <c r="J1469" t="s">
        <v>471</v>
      </c>
      <c r="K1469" t="s">
        <v>25</v>
      </c>
      <c r="L1469" t="s">
        <v>26</v>
      </c>
      <c r="M1469" t="s">
        <v>27</v>
      </c>
      <c r="N1469" s="1">
        <v>18629</v>
      </c>
      <c r="O1469">
        <v>0</v>
      </c>
      <c r="P1469">
        <v>0</v>
      </c>
      <c r="Q1469" t="s">
        <v>37</v>
      </c>
      <c r="R1469" t="s">
        <v>29</v>
      </c>
      <c r="S1469" t="s">
        <v>138</v>
      </c>
      <c r="T1469" t="s">
        <v>139</v>
      </c>
    </row>
    <row r="1470" spans="1:20" x14ac:dyDescent="0.25">
      <c r="A1470" t="s">
        <v>4225</v>
      </c>
      <c r="B1470" t="str">
        <f>"1666"</f>
        <v>1666</v>
      </c>
      <c r="C1470" t="str">
        <f>"216621666"</f>
        <v>216621666</v>
      </c>
      <c r="D1470" t="s">
        <v>4226</v>
      </c>
      <c r="E1470" t="s">
        <v>4227</v>
      </c>
      <c r="F1470" t="s">
        <v>219</v>
      </c>
      <c r="G1470" s="1">
        <v>19041</v>
      </c>
      <c r="H1470" s="1">
        <v>41148</v>
      </c>
      <c r="I1470" t="str">
        <f t="shared" si="29"/>
        <v>51</v>
      </c>
      <c r="J1470" t="s">
        <v>471</v>
      </c>
      <c r="K1470" t="s">
        <v>25</v>
      </c>
      <c r="L1470" t="s">
        <v>26</v>
      </c>
      <c r="M1470" t="s">
        <v>27</v>
      </c>
      <c r="N1470" s="1">
        <v>18629</v>
      </c>
      <c r="O1470">
        <v>0</v>
      </c>
      <c r="P1470">
        <v>0</v>
      </c>
      <c r="Q1470" t="s">
        <v>37</v>
      </c>
      <c r="R1470" t="s">
        <v>29</v>
      </c>
      <c r="S1470" t="s">
        <v>138</v>
      </c>
      <c r="T1470" t="s">
        <v>139</v>
      </c>
    </row>
    <row r="1471" spans="1:20" x14ac:dyDescent="0.25">
      <c r="A1471" t="s">
        <v>4228</v>
      </c>
      <c r="B1471" t="str">
        <f>"6218"</f>
        <v>6218</v>
      </c>
      <c r="C1471" t="str">
        <f>"273666218"</f>
        <v>273666218</v>
      </c>
      <c r="D1471" t="s">
        <v>4229</v>
      </c>
      <c r="E1471" t="s">
        <v>756</v>
      </c>
      <c r="F1471" t="s">
        <v>44</v>
      </c>
      <c r="G1471" s="1">
        <v>24648</v>
      </c>
      <c r="H1471" s="1">
        <v>41148</v>
      </c>
      <c r="I1471" t="str">
        <f t="shared" si="29"/>
        <v>51</v>
      </c>
      <c r="J1471" t="s">
        <v>471</v>
      </c>
      <c r="K1471" t="s">
        <v>25</v>
      </c>
      <c r="L1471" t="s">
        <v>26</v>
      </c>
      <c r="M1471" t="s">
        <v>27</v>
      </c>
      <c r="N1471" s="1">
        <v>18629</v>
      </c>
      <c r="O1471">
        <v>0</v>
      </c>
      <c r="P1471">
        <v>0</v>
      </c>
      <c r="Q1471" t="s">
        <v>37</v>
      </c>
      <c r="R1471" t="s">
        <v>51</v>
      </c>
      <c r="S1471" s="2" t="s">
        <v>1522</v>
      </c>
      <c r="T1471" t="s">
        <v>1523</v>
      </c>
    </row>
    <row r="1472" spans="1:20" x14ac:dyDescent="0.25">
      <c r="A1472" t="s">
        <v>4230</v>
      </c>
      <c r="B1472" t="str">
        <f>"0097"</f>
        <v>0097</v>
      </c>
      <c r="C1472" t="str">
        <f>"287780097"</f>
        <v>287780097</v>
      </c>
      <c r="D1472" t="s">
        <v>4231</v>
      </c>
      <c r="E1472" t="s">
        <v>109</v>
      </c>
      <c r="F1472" t="s">
        <v>93</v>
      </c>
      <c r="G1472" s="1">
        <v>25410</v>
      </c>
      <c r="H1472" s="1">
        <v>41148</v>
      </c>
      <c r="I1472" t="str">
        <f t="shared" si="29"/>
        <v>51</v>
      </c>
      <c r="J1472" t="s">
        <v>471</v>
      </c>
      <c r="K1472" t="s">
        <v>25</v>
      </c>
      <c r="L1472" t="s">
        <v>26</v>
      </c>
      <c r="M1472" t="s">
        <v>27</v>
      </c>
      <c r="N1472" s="1">
        <v>18629</v>
      </c>
      <c r="O1472">
        <v>0</v>
      </c>
      <c r="P1472">
        <v>0</v>
      </c>
      <c r="Q1472" t="s">
        <v>37</v>
      </c>
      <c r="R1472" t="s">
        <v>29</v>
      </c>
      <c r="S1472" t="s">
        <v>138</v>
      </c>
      <c r="T1472" t="s">
        <v>139</v>
      </c>
    </row>
    <row r="1473" spans="1:20" x14ac:dyDescent="0.25">
      <c r="A1473" t="s">
        <v>4232</v>
      </c>
      <c r="B1473" t="str">
        <f>"0568"</f>
        <v>0568</v>
      </c>
      <c r="C1473" t="str">
        <f>"301680568"</f>
        <v>301680568</v>
      </c>
      <c r="D1473" t="s">
        <v>4233</v>
      </c>
      <c r="E1473" t="s">
        <v>197</v>
      </c>
      <c r="F1473" t="s">
        <v>69</v>
      </c>
      <c r="G1473" s="1">
        <v>26211</v>
      </c>
      <c r="H1473" s="1">
        <v>41148</v>
      </c>
      <c r="I1473" t="str">
        <f t="shared" si="29"/>
        <v>51</v>
      </c>
      <c r="J1473" t="s">
        <v>471</v>
      </c>
      <c r="K1473" t="s">
        <v>25</v>
      </c>
      <c r="L1473" t="s">
        <v>26</v>
      </c>
      <c r="M1473" t="s">
        <v>27</v>
      </c>
      <c r="N1473" s="1">
        <v>18629</v>
      </c>
      <c r="O1473">
        <v>0</v>
      </c>
      <c r="P1473">
        <v>0</v>
      </c>
      <c r="Q1473" t="s">
        <v>28</v>
      </c>
      <c r="R1473" t="s">
        <v>71</v>
      </c>
      <c r="S1473" t="s">
        <v>4234</v>
      </c>
      <c r="T1473" t="s">
        <v>4235</v>
      </c>
    </row>
    <row r="1474" spans="1:20" x14ac:dyDescent="0.25">
      <c r="A1474" t="s">
        <v>4236</v>
      </c>
      <c r="B1474" t="str">
        <f>"3414"</f>
        <v>3414</v>
      </c>
      <c r="C1474" t="str">
        <f>"079343414"</f>
        <v>079343414</v>
      </c>
      <c r="D1474" t="s">
        <v>4237</v>
      </c>
      <c r="E1474" t="s">
        <v>1104</v>
      </c>
      <c r="F1474" t="s">
        <v>97</v>
      </c>
      <c r="G1474" s="1">
        <v>15751</v>
      </c>
      <c r="H1474" s="1">
        <v>41148</v>
      </c>
      <c r="I1474" t="str">
        <f t="shared" si="29"/>
        <v>51</v>
      </c>
      <c r="J1474" t="s">
        <v>471</v>
      </c>
      <c r="K1474" t="s">
        <v>25</v>
      </c>
      <c r="L1474" t="s">
        <v>26</v>
      </c>
      <c r="M1474" t="s">
        <v>27</v>
      </c>
      <c r="N1474" s="1">
        <v>18629</v>
      </c>
      <c r="O1474">
        <v>0</v>
      </c>
      <c r="P1474">
        <v>0</v>
      </c>
      <c r="Q1474" t="s">
        <v>28</v>
      </c>
      <c r="R1474" t="s">
        <v>71</v>
      </c>
      <c r="S1474" t="s">
        <v>4234</v>
      </c>
      <c r="T1474" t="s">
        <v>4235</v>
      </c>
    </row>
    <row r="1475" spans="1:20" x14ac:dyDescent="0.25">
      <c r="A1475" t="s">
        <v>4238</v>
      </c>
      <c r="B1475" t="str">
        <f>"5665"</f>
        <v>5665</v>
      </c>
      <c r="C1475" t="str">
        <f>"554745665"</f>
        <v>554745665</v>
      </c>
      <c r="D1475" t="s">
        <v>4239</v>
      </c>
      <c r="E1475" t="s">
        <v>4240</v>
      </c>
      <c r="F1475" t="s">
        <v>219</v>
      </c>
      <c r="G1475" s="1">
        <v>20261</v>
      </c>
      <c r="H1475" s="1">
        <v>41148</v>
      </c>
      <c r="I1475" t="str">
        <f t="shared" si="29"/>
        <v>51</v>
      </c>
      <c r="J1475" t="s">
        <v>471</v>
      </c>
      <c r="K1475" t="s">
        <v>25</v>
      </c>
      <c r="L1475" t="s">
        <v>26</v>
      </c>
      <c r="M1475" t="s">
        <v>27</v>
      </c>
      <c r="N1475" s="1">
        <v>18629</v>
      </c>
      <c r="O1475">
        <v>0</v>
      </c>
      <c r="P1475">
        <v>0</v>
      </c>
      <c r="Q1475" t="s">
        <v>28</v>
      </c>
      <c r="R1475" t="s">
        <v>71</v>
      </c>
      <c r="S1475" t="s">
        <v>1474</v>
      </c>
      <c r="T1475" t="s">
        <v>1475</v>
      </c>
    </row>
    <row r="1476" spans="1:20" x14ac:dyDescent="0.25">
      <c r="A1476" t="s">
        <v>4241</v>
      </c>
      <c r="B1476" t="str">
        <f>"8093"</f>
        <v>8093</v>
      </c>
      <c r="C1476" t="str">
        <f>"289508093"</f>
        <v>289508093</v>
      </c>
      <c r="D1476" t="s">
        <v>4242</v>
      </c>
      <c r="E1476" t="s">
        <v>146</v>
      </c>
      <c r="F1476" t="s">
        <v>93</v>
      </c>
      <c r="G1476" s="1">
        <v>20351</v>
      </c>
      <c r="H1476" s="1">
        <v>41148</v>
      </c>
      <c r="I1476" t="str">
        <f t="shared" si="29"/>
        <v>51</v>
      </c>
      <c r="J1476" t="s">
        <v>471</v>
      </c>
      <c r="K1476" t="s">
        <v>25</v>
      </c>
      <c r="L1476" t="s">
        <v>26</v>
      </c>
      <c r="M1476" t="s">
        <v>27</v>
      </c>
      <c r="N1476" s="1">
        <v>18629</v>
      </c>
      <c r="O1476">
        <v>0</v>
      </c>
      <c r="P1476">
        <v>0</v>
      </c>
      <c r="Q1476" t="s">
        <v>37</v>
      </c>
      <c r="R1476" t="s">
        <v>29</v>
      </c>
      <c r="S1476" t="s">
        <v>801</v>
      </c>
      <c r="T1476" t="s">
        <v>802</v>
      </c>
    </row>
    <row r="1477" spans="1:20" x14ac:dyDescent="0.25">
      <c r="A1477" t="s">
        <v>4243</v>
      </c>
      <c r="B1477" t="str">
        <f>"4732"</f>
        <v>4732</v>
      </c>
      <c r="C1477" t="str">
        <f>"274344732"</f>
        <v>274344732</v>
      </c>
      <c r="D1477" t="s">
        <v>4244</v>
      </c>
      <c r="E1477" t="s">
        <v>674</v>
      </c>
      <c r="F1477" t="s">
        <v>414</v>
      </c>
      <c r="G1477" s="1">
        <v>15546</v>
      </c>
      <c r="H1477" s="1">
        <v>41148</v>
      </c>
      <c r="I1477" t="str">
        <f t="shared" si="29"/>
        <v>51</v>
      </c>
      <c r="J1477" t="s">
        <v>471</v>
      </c>
      <c r="K1477" t="s">
        <v>25</v>
      </c>
      <c r="L1477" t="s">
        <v>26</v>
      </c>
      <c r="M1477" t="s">
        <v>27</v>
      </c>
      <c r="N1477" s="1">
        <v>18629</v>
      </c>
      <c r="O1477">
        <v>0</v>
      </c>
      <c r="P1477">
        <v>0</v>
      </c>
      <c r="Q1477" t="s">
        <v>28</v>
      </c>
      <c r="R1477" t="s">
        <v>346</v>
      </c>
      <c r="S1477" t="s">
        <v>2634</v>
      </c>
      <c r="T1477" t="s">
        <v>2635</v>
      </c>
    </row>
    <row r="1478" spans="1:20" x14ac:dyDescent="0.25">
      <c r="A1478" t="s">
        <v>4245</v>
      </c>
      <c r="B1478" t="str">
        <f>"1280"</f>
        <v>1280</v>
      </c>
      <c r="C1478" t="str">
        <f>"281461280"</f>
        <v>281461280</v>
      </c>
      <c r="D1478" t="s">
        <v>4246</v>
      </c>
      <c r="E1478" t="s">
        <v>1666</v>
      </c>
      <c r="F1478" t="s">
        <v>93</v>
      </c>
      <c r="G1478" s="1">
        <v>20161</v>
      </c>
      <c r="H1478" s="1">
        <v>41148</v>
      </c>
      <c r="I1478" t="str">
        <f t="shared" si="29"/>
        <v>51</v>
      </c>
      <c r="J1478" t="s">
        <v>471</v>
      </c>
      <c r="K1478" t="s">
        <v>25</v>
      </c>
      <c r="L1478" t="s">
        <v>26</v>
      </c>
      <c r="M1478" t="s">
        <v>27</v>
      </c>
      <c r="N1478" s="1">
        <v>18629</v>
      </c>
      <c r="O1478">
        <v>0</v>
      </c>
      <c r="P1478">
        <v>0</v>
      </c>
      <c r="Q1478" t="s">
        <v>37</v>
      </c>
      <c r="R1478" t="s">
        <v>29</v>
      </c>
      <c r="S1478" t="s">
        <v>138</v>
      </c>
      <c r="T1478" t="s">
        <v>139</v>
      </c>
    </row>
    <row r="1479" spans="1:20" x14ac:dyDescent="0.25">
      <c r="A1479" t="s">
        <v>4247</v>
      </c>
      <c r="B1479" t="str">
        <f>"6938"</f>
        <v>6938</v>
      </c>
      <c r="C1479" t="str">
        <f>"273866938"</f>
        <v>273866938</v>
      </c>
      <c r="D1479" t="s">
        <v>4248</v>
      </c>
      <c r="E1479" t="s">
        <v>1372</v>
      </c>
      <c r="F1479" t="s">
        <v>264</v>
      </c>
      <c r="G1479" s="1">
        <v>27447</v>
      </c>
      <c r="H1479" s="1">
        <v>41148</v>
      </c>
      <c r="I1479" t="str">
        <f t="shared" si="29"/>
        <v>51</v>
      </c>
      <c r="J1479" t="s">
        <v>471</v>
      </c>
      <c r="K1479" t="s">
        <v>25</v>
      </c>
      <c r="L1479" t="s">
        <v>26</v>
      </c>
      <c r="M1479" t="s">
        <v>27</v>
      </c>
      <c r="N1479" s="1">
        <v>18629</v>
      </c>
      <c r="O1479">
        <v>0</v>
      </c>
      <c r="P1479">
        <v>0</v>
      </c>
      <c r="Q1479" t="s">
        <v>37</v>
      </c>
      <c r="R1479" t="s">
        <v>29</v>
      </c>
      <c r="S1479" t="s">
        <v>138</v>
      </c>
      <c r="T1479" t="s">
        <v>139</v>
      </c>
    </row>
    <row r="1480" spans="1:20" x14ac:dyDescent="0.25">
      <c r="A1480" t="s">
        <v>4249</v>
      </c>
      <c r="B1480" t="str">
        <f>"2311"</f>
        <v>2311</v>
      </c>
      <c r="C1480" t="str">
        <f>"288822311"</f>
        <v>288822311</v>
      </c>
      <c r="D1480" t="s">
        <v>4250</v>
      </c>
      <c r="E1480" t="s">
        <v>4251</v>
      </c>
      <c r="F1480" t="s">
        <v>239</v>
      </c>
      <c r="G1480" s="1">
        <v>29663</v>
      </c>
      <c r="H1480" s="1">
        <v>41148</v>
      </c>
      <c r="I1480" t="str">
        <f t="shared" ref="I1480:I1513" si="30">"51"</f>
        <v>51</v>
      </c>
      <c r="J1480" t="s">
        <v>471</v>
      </c>
      <c r="K1480" t="s">
        <v>25</v>
      </c>
      <c r="L1480" t="s">
        <v>26</v>
      </c>
      <c r="M1480" t="s">
        <v>27</v>
      </c>
      <c r="N1480" s="1">
        <v>18629</v>
      </c>
      <c r="O1480">
        <v>0</v>
      </c>
      <c r="P1480">
        <v>0</v>
      </c>
      <c r="Q1480" t="s">
        <v>28</v>
      </c>
      <c r="R1480" t="s">
        <v>29</v>
      </c>
      <c r="S1480" t="s">
        <v>1572</v>
      </c>
      <c r="T1480" t="s">
        <v>1573</v>
      </c>
    </row>
    <row r="1481" spans="1:20" x14ac:dyDescent="0.25">
      <c r="A1481" t="s">
        <v>4252</v>
      </c>
      <c r="B1481" t="str">
        <f>"5222"</f>
        <v>5222</v>
      </c>
      <c r="C1481" t="str">
        <f>"302845222"</f>
        <v>302845222</v>
      </c>
      <c r="D1481" t="s">
        <v>4253</v>
      </c>
      <c r="E1481" t="s">
        <v>4254</v>
      </c>
      <c r="F1481" t="s">
        <v>28</v>
      </c>
      <c r="G1481" s="1">
        <v>29938</v>
      </c>
      <c r="H1481" s="1">
        <v>41148</v>
      </c>
      <c r="I1481" t="str">
        <f t="shared" si="30"/>
        <v>51</v>
      </c>
      <c r="J1481" t="s">
        <v>471</v>
      </c>
      <c r="K1481" t="s">
        <v>25</v>
      </c>
      <c r="L1481" t="s">
        <v>26</v>
      </c>
      <c r="M1481" t="s">
        <v>27</v>
      </c>
      <c r="N1481" s="1">
        <v>18629</v>
      </c>
      <c r="O1481">
        <v>0</v>
      </c>
      <c r="P1481">
        <v>0</v>
      </c>
      <c r="Q1481" t="s">
        <v>37</v>
      </c>
      <c r="R1481" t="s">
        <v>51</v>
      </c>
      <c r="S1481" s="2" t="s">
        <v>1568</v>
      </c>
      <c r="T1481" t="s">
        <v>1569</v>
      </c>
    </row>
    <row r="1482" spans="1:20" x14ac:dyDescent="0.25">
      <c r="A1482" t="s">
        <v>4255</v>
      </c>
      <c r="B1482" t="str">
        <f>"0281"</f>
        <v>0281</v>
      </c>
      <c r="C1482" t="str">
        <f>"369760281"</f>
        <v>369760281</v>
      </c>
      <c r="D1482" t="s">
        <v>4256</v>
      </c>
      <c r="E1482" t="s">
        <v>4257</v>
      </c>
      <c r="F1482" t="s">
        <v>69</v>
      </c>
      <c r="G1482" s="1">
        <v>21995</v>
      </c>
      <c r="H1482" s="1">
        <v>41148</v>
      </c>
      <c r="I1482" t="str">
        <f t="shared" si="30"/>
        <v>51</v>
      </c>
      <c r="J1482" t="s">
        <v>471</v>
      </c>
      <c r="K1482" t="s">
        <v>25</v>
      </c>
      <c r="L1482" t="s">
        <v>26</v>
      </c>
      <c r="M1482" t="s">
        <v>27</v>
      </c>
      <c r="N1482" s="1">
        <v>18629</v>
      </c>
      <c r="O1482">
        <v>0</v>
      </c>
      <c r="P1482">
        <v>0</v>
      </c>
      <c r="Q1482" t="s">
        <v>37</v>
      </c>
      <c r="R1482" t="s">
        <v>29</v>
      </c>
      <c r="S1482" t="s">
        <v>717</v>
      </c>
      <c r="T1482" t="s">
        <v>718</v>
      </c>
    </row>
    <row r="1483" spans="1:20" x14ac:dyDescent="0.25">
      <c r="A1483" t="s">
        <v>4258</v>
      </c>
      <c r="B1483" t="str">
        <f>"6942"</f>
        <v>6942</v>
      </c>
      <c r="C1483" t="str">
        <f>"271846942"</f>
        <v>271846942</v>
      </c>
      <c r="D1483" t="s">
        <v>4259</v>
      </c>
      <c r="E1483" t="s">
        <v>322</v>
      </c>
      <c r="F1483" t="s">
        <v>93</v>
      </c>
      <c r="G1483" s="1">
        <v>31223</v>
      </c>
      <c r="H1483" s="1">
        <v>41148</v>
      </c>
      <c r="I1483" t="str">
        <f t="shared" si="30"/>
        <v>51</v>
      </c>
      <c r="J1483" t="s">
        <v>471</v>
      </c>
      <c r="K1483" t="s">
        <v>25</v>
      </c>
      <c r="L1483" t="s">
        <v>26</v>
      </c>
      <c r="M1483" t="s">
        <v>27</v>
      </c>
      <c r="N1483" s="1">
        <v>18629</v>
      </c>
      <c r="O1483">
        <v>0</v>
      </c>
      <c r="P1483">
        <v>0</v>
      </c>
      <c r="Q1483" t="s">
        <v>37</v>
      </c>
      <c r="R1483" t="s">
        <v>29</v>
      </c>
      <c r="S1483" t="s">
        <v>1572</v>
      </c>
      <c r="T1483" t="s">
        <v>1573</v>
      </c>
    </row>
    <row r="1484" spans="1:20" x14ac:dyDescent="0.25">
      <c r="A1484" t="s">
        <v>4260</v>
      </c>
      <c r="B1484" t="str">
        <f>"6699"</f>
        <v>6699</v>
      </c>
      <c r="C1484" t="str">
        <f>"295726699"</f>
        <v>295726699</v>
      </c>
      <c r="D1484" t="s">
        <v>4261</v>
      </c>
      <c r="E1484" t="s">
        <v>448</v>
      </c>
      <c r="F1484" t="s">
        <v>438</v>
      </c>
      <c r="G1484" s="1">
        <v>23699</v>
      </c>
      <c r="H1484" s="1">
        <v>41148</v>
      </c>
      <c r="I1484" t="str">
        <f t="shared" si="30"/>
        <v>51</v>
      </c>
      <c r="J1484" t="s">
        <v>471</v>
      </c>
      <c r="K1484" t="s">
        <v>25</v>
      </c>
      <c r="L1484" t="s">
        <v>26</v>
      </c>
      <c r="M1484" t="s">
        <v>27</v>
      </c>
      <c r="N1484" s="1">
        <v>18629</v>
      </c>
      <c r="O1484">
        <v>0</v>
      </c>
      <c r="P1484">
        <v>0</v>
      </c>
      <c r="Q1484" t="s">
        <v>37</v>
      </c>
      <c r="R1484" t="s">
        <v>29</v>
      </c>
      <c r="S1484" t="s">
        <v>717</v>
      </c>
      <c r="T1484" t="s">
        <v>718</v>
      </c>
    </row>
    <row r="1485" spans="1:20" x14ac:dyDescent="0.25">
      <c r="A1485" t="s">
        <v>4262</v>
      </c>
      <c r="B1485" t="str">
        <f>"5871"</f>
        <v>5871</v>
      </c>
      <c r="C1485" t="str">
        <f>"268725871"</f>
        <v>268725871</v>
      </c>
      <c r="D1485" t="s">
        <v>4263</v>
      </c>
      <c r="E1485" t="s">
        <v>4264</v>
      </c>
      <c r="F1485" t="s">
        <v>264</v>
      </c>
      <c r="G1485" s="1">
        <v>27939</v>
      </c>
      <c r="H1485" s="1">
        <v>41148</v>
      </c>
      <c r="I1485" t="str">
        <f t="shared" si="30"/>
        <v>51</v>
      </c>
      <c r="J1485" t="s">
        <v>471</v>
      </c>
      <c r="K1485" t="s">
        <v>25</v>
      </c>
      <c r="L1485" t="s">
        <v>26</v>
      </c>
      <c r="M1485" t="s">
        <v>27</v>
      </c>
      <c r="N1485" s="1">
        <v>18629</v>
      </c>
      <c r="O1485">
        <v>0</v>
      </c>
      <c r="P1485">
        <v>0</v>
      </c>
      <c r="Q1485" t="s">
        <v>37</v>
      </c>
      <c r="R1485" t="s">
        <v>29</v>
      </c>
      <c r="S1485" t="s">
        <v>138</v>
      </c>
      <c r="T1485" t="s">
        <v>139</v>
      </c>
    </row>
    <row r="1486" spans="1:20" x14ac:dyDescent="0.25">
      <c r="A1486" t="s">
        <v>4265</v>
      </c>
      <c r="B1486" t="str">
        <f>"5136"</f>
        <v>5136</v>
      </c>
      <c r="C1486" t="str">
        <f>"302785136"</f>
        <v>302785136</v>
      </c>
      <c r="D1486" t="s">
        <v>4266</v>
      </c>
      <c r="E1486" t="s">
        <v>448</v>
      </c>
      <c r="F1486" t="s">
        <v>438</v>
      </c>
      <c r="G1486" s="1">
        <v>26239</v>
      </c>
      <c r="H1486" s="1">
        <v>41148</v>
      </c>
      <c r="I1486" t="str">
        <f t="shared" si="30"/>
        <v>51</v>
      </c>
      <c r="J1486" t="s">
        <v>471</v>
      </c>
      <c r="K1486" t="s">
        <v>25</v>
      </c>
      <c r="L1486" t="s">
        <v>26</v>
      </c>
      <c r="M1486" t="s">
        <v>27</v>
      </c>
      <c r="N1486" s="1">
        <v>18629</v>
      </c>
      <c r="O1486">
        <v>0</v>
      </c>
      <c r="P1486">
        <v>0</v>
      </c>
      <c r="Q1486" t="s">
        <v>37</v>
      </c>
      <c r="R1486" t="s">
        <v>51</v>
      </c>
      <c r="S1486" s="2" t="s">
        <v>4118</v>
      </c>
      <c r="T1486" t="s">
        <v>4119</v>
      </c>
    </row>
    <row r="1487" spans="1:20" x14ac:dyDescent="0.25">
      <c r="A1487" t="s">
        <v>4267</v>
      </c>
      <c r="B1487" t="str">
        <f>"5282"</f>
        <v>5282</v>
      </c>
      <c r="C1487" t="str">
        <f>"492585282"</f>
        <v>492585282</v>
      </c>
      <c r="D1487" t="s">
        <v>4268</v>
      </c>
      <c r="E1487" t="s">
        <v>2950</v>
      </c>
      <c r="F1487" t="s">
        <v>165</v>
      </c>
      <c r="G1487" s="1">
        <v>20156</v>
      </c>
      <c r="H1487" s="1">
        <v>41148</v>
      </c>
      <c r="I1487" t="str">
        <f t="shared" si="30"/>
        <v>51</v>
      </c>
      <c r="J1487" t="s">
        <v>471</v>
      </c>
      <c r="K1487" t="s">
        <v>25</v>
      </c>
      <c r="L1487" t="s">
        <v>26</v>
      </c>
      <c r="M1487" t="s">
        <v>27</v>
      </c>
      <c r="N1487" s="1">
        <v>18629</v>
      </c>
      <c r="O1487">
        <v>0</v>
      </c>
      <c r="P1487">
        <v>0</v>
      </c>
      <c r="Q1487" t="s">
        <v>37</v>
      </c>
      <c r="R1487" t="s">
        <v>71</v>
      </c>
      <c r="S1487" t="s">
        <v>3635</v>
      </c>
      <c r="T1487" t="s">
        <v>3636</v>
      </c>
    </row>
    <row r="1488" spans="1:20" x14ac:dyDescent="0.25">
      <c r="A1488" t="s">
        <v>4269</v>
      </c>
      <c r="B1488" t="str">
        <f>"8106"</f>
        <v>8106</v>
      </c>
      <c r="C1488" t="str">
        <f>"300428106"</f>
        <v>300428106</v>
      </c>
      <c r="D1488" t="s">
        <v>4270</v>
      </c>
      <c r="E1488" t="s">
        <v>4271</v>
      </c>
      <c r="F1488" t="s">
        <v>26</v>
      </c>
      <c r="G1488" s="1">
        <v>17216</v>
      </c>
      <c r="H1488" s="1">
        <v>41148</v>
      </c>
      <c r="I1488" t="str">
        <f t="shared" si="30"/>
        <v>51</v>
      </c>
      <c r="J1488" t="s">
        <v>471</v>
      </c>
      <c r="K1488" t="s">
        <v>25</v>
      </c>
      <c r="L1488" t="s">
        <v>26</v>
      </c>
      <c r="M1488" t="s">
        <v>27</v>
      </c>
      <c r="N1488" s="1">
        <v>18629</v>
      </c>
      <c r="O1488">
        <v>0</v>
      </c>
      <c r="P1488">
        <v>0</v>
      </c>
      <c r="Q1488" t="s">
        <v>28</v>
      </c>
      <c r="R1488" t="s">
        <v>29</v>
      </c>
      <c r="S1488" t="s">
        <v>3682</v>
      </c>
      <c r="T1488" t="s">
        <v>3683</v>
      </c>
    </row>
    <row r="1489" spans="1:20" x14ac:dyDescent="0.25">
      <c r="A1489" t="s">
        <v>4272</v>
      </c>
      <c r="B1489" t="str">
        <f>"5980"</f>
        <v>5980</v>
      </c>
      <c r="C1489" t="str">
        <f>"300825980"</f>
        <v>300825980</v>
      </c>
      <c r="D1489" t="s">
        <v>4273</v>
      </c>
      <c r="E1489" t="s">
        <v>466</v>
      </c>
      <c r="F1489" t="s">
        <v>44</v>
      </c>
      <c r="G1489" s="1">
        <v>31152</v>
      </c>
      <c r="H1489" s="1">
        <v>41148</v>
      </c>
      <c r="I1489" t="str">
        <f t="shared" si="30"/>
        <v>51</v>
      </c>
      <c r="J1489" t="s">
        <v>471</v>
      </c>
      <c r="K1489" t="s">
        <v>25</v>
      </c>
      <c r="L1489" t="s">
        <v>26</v>
      </c>
      <c r="M1489" t="s">
        <v>27</v>
      </c>
      <c r="N1489" s="1">
        <v>18629</v>
      </c>
      <c r="O1489">
        <v>0</v>
      </c>
      <c r="P1489">
        <v>0</v>
      </c>
      <c r="Q1489" t="s">
        <v>28</v>
      </c>
      <c r="R1489" t="s">
        <v>51</v>
      </c>
      <c r="S1489" s="2" t="s">
        <v>2202</v>
      </c>
      <c r="T1489" t="s">
        <v>2203</v>
      </c>
    </row>
    <row r="1490" spans="1:20" x14ac:dyDescent="0.25">
      <c r="A1490" t="s">
        <v>4274</v>
      </c>
      <c r="B1490" t="str">
        <f>"8188"</f>
        <v>8188</v>
      </c>
      <c r="C1490" t="str">
        <f>"288748188"</f>
        <v>288748188</v>
      </c>
      <c r="D1490" t="s">
        <v>4275</v>
      </c>
      <c r="E1490" t="s">
        <v>3501</v>
      </c>
      <c r="F1490" t="s">
        <v>28</v>
      </c>
      <c r="G1490" s="1">
        <v>28517</v>
      </c>
      <c r="H1490" s="1">
        <v>41148</v>
      </c>
      <c r="I1490" t="str">
        <f t="shared" si="30"/>
        <v>51</v>
      </c>
      <c r="J1490" t="s">
        <v>471</v>
      </c>
      <c r="K1490" t="s">
        <v>25</v>
      </c>
      <c r="L1490" t="s">
        <v>26</v>
      </c>
      <c r="M1490" t="s">
        <v>27</v>
      </c>
      <c r="N1490" s="1">
        <v>18629</v>
      </c>
      <c r="O1490">
        <v>0</v>
      </c>
      <c r="P1490">
        <v>0</v>
      </c>
      <c r="Q1490" t="s">
        <v>37</v>
      </c>
      <c r="R1490" t="s">
        <v>29</v>
      </c>
      <c r="S1490" t="s">
        <v>138</v>
      </c>
      <c r="T1490" t="s">
        <v>139</v>
      </c>
    </row>
    <row r="1491" spans="1:20" x14ac:dyDescent="0.25">
      <c r="A1491" t="s">
        <v>4276</v>
      </c>
      <c r="B1491" t="str">
        <f>"5070"</f>
        <v>5070</v>
      </c>
      <c r="C1491" t="str">
        <f>"287885070"</f>
        <v>287885070</v>
      </c>
      <c r="D1491" t="s">
        <v>928</v>
      </c>
      <c r="E1491" t="s">
        <v>544</v>
      </c>
      <c r="F1491" t="s">
        <v>28</v>
      </c>
      <c r="G1491" s="1">
        <v>29638</v>
      </c>
      <c r="H1491" s="1">
        <v>41148</v>
      </c>
      <c r="I1491" t="str">
        <f t="shared" si="30"/>
        <v>51</v>
      </c>
      <c r="J1491" t="s">
        <v>471</v>
      </c>
      <c r="K1491" t="s">
        <v>25</v>
      </c>
      <c r="L1491" t="s">
        <v>26</v>
      </c>
      <c r="M1491" t="s">
        <v>27</v>
      </c>
      <c r="N1491" s="1">
        <v>18629</v>
      </c>
      <c r="O1491">
        <v>0</v>
      </c>
      <c r="P1491">
        <v>0</v>
      </c>
      <c r="Q1491" t="s">
        <v>37</v>
      </c>
      <c r="R1491" t="s">
        <v>71</v>
      </c>
      <c r="S1491" t="s">
        <v>1474</v>
      </c>
      <c r="T1491" t="s">
        <v>1475</v>
      </c>
    </row>
    <row r="1492" spans="1:20" x14ac:dyDescent="0.25">
      <c r="A1492" t="s">
        <v>4277</v>
      </c>
      <c r="B1492" t="str">
        <f>"4188"</f>
        <v>4188</v>
      </c>
      <c r="C1492" t="str">
        <f>"335504188"</f>
        <v>335504188</v>
      </c>
      <c r="D1492" t="s">
        <v>4278</v>
      </c>
      <c r="E1492" t="s">
        <v>4279</v>
      </c>
      <c r="F1492" t="s">
        <v>28</v>
      </c>
      <c r="G1492" s="1">
        <v>19872</v>
      </c>
      <c r="H1492" s="1">
        <v>41148</v>
      </c>
      <c r="I1492" t="str">
        <f t="shared" si="30"/>
        <v>51</v>
      </c>
      <c r="J1492" t="s">
        <v>471</v>
      </c>
      <c r="K1492" t="s">
        <v>25</v>
      </c>
      <c r="L1492" t="s">
        <v>26</v>
      </c>
      <c r="M1492" t="s">
        <v>27</v>
      </c>
      <c r="N1492" s="1">
        <v>18629</v>
      </c>
      <c r="O1492">
        <v>0</v>
      </c>
      <c r="P1492">
        <v>0</v>
      </c>
      <c r="Q1492" t="s">
        <v>28</v>
      </c>
      <c r="R1492" t="s">
        <v>51</v>
      </c>
      <c r="S1492" s="2" t="s">
        <v>4118</v>
      </c>
      <c r="T1492" t="s">
        <v>4119</v>
      </c>
    </row>
    <row r="1493" spans="1:20" x14ac:dyDescent="0.25">
      <c r="A1493" t="s">
        <v>4280</v>
      </c>
      <c r="B1493" t="str">
        <f>"3302"</f>
        <v>3302</v>
      </c>
      <c r="C1493" t="str">
        <f>"731103302"</f>
        <v>731103302</v>
      </c>
      <c r="D1493" t="s">
        <v>4281</v>
      </c>
      <c r="E1493" t="s">
        <v>4282</v>
      </c>
      <c r="G1493" s="1">
        <v>28619</v>
      </c>
      <c r="H1493" s="1">
        <v>41148</v>
      </c>
      <c r="I1493" t="str">
        <f t="shared" si="30"/>
        <v>51</v>
      </c>
      <c r="J1493" t="s">
        <v>471</v>
      </c>
      <c r="K1493" t="s">
        <v>25</v>
      </c>
      <c r="L1493" t="s">
        <v>26</v>
      </c>
      <c r="M1493" t="s">
        <v>27</v>
      </c>
      <c r="N1493" s="1">
        <v>18629</v>
      </c>
      <c r="O1493">
        <v>0</v>
      </c>
      <c r="P1493">
        <v>0</v>
      </c>
      <c r="Q1493" t="s">
        <v>37</v>
      </c>
      <c r="R1493" t="s">
        <v>71</v>
      </c>
      <c r="S1493" t="s">
        <v>157</v>
      </c>
      <c r="T1493" t="s">
        <v>158</v>
      </c>
    </row>
    <row r="1494" spans="1:20" x14ac:dyDescent="0.25">
      <c r="A1494" t="s">
        <v>4283</v>
      </c>
      <c r="B1494" t="str">
        <f>"6489"</f>
        <v>6489</v>
      </c>
      <c r="C1494" t="str">
        <f>"583846489"</f>
        <v>583846489</v>
      </c>
      <c r="D1494" t="s">
        <v>4284</v>
      </c>
      <c r="E1494" t="s">
        <v>4285</v>
      </c>
      <c r="F1494" t="s">
        <v>190</v>
      </c>
      <c r="G1494" s="1">
        <v>20896</v>
      </c>
      <c r="H1494" s="1">
        <v>41148</v>
      </c>
      <c r="I1494" t="str">
        <f t="shared" si="30"/>
        <v>51</v>
      </c>
      <c r="J1494" t="s">
        <v>471</v>
      </c>
      <c r="K1494" t="s">
        <v>25</v>
      </c>
      <c r="L1494" t="s">
        <v>26</v>
      </c>
      <c r="M1494" t="s">
        <v>27</v>
      </c>
      <c r="N1494" s="1">
        <v>18629</v>
      </c>
      <c r="O1494">
        <v>0</v>
      </c>
      <c r="P1494">
        <v>0</v>
      </c>
      <c r="Q1494" t="s">
        <v>37</v>
      </c>
      <c r="R1494" t="s">
        <v>71</v>
      </c>
      <c r="S1494" t="s">
        <v>871</v>
      </c>
      <c r="T1494" t="s">
        <v>872</v>
      </c>
    </row>
    <row r="1495" spans="1:20" x14ac:dyDescent="0.25">
      <c r="A1495" t="s">
        <v>4286</v>
      </c>
      <c r="B1495" t="str">
        <f>"5065"</f>
        <v>5065</v>
      </c>
      <c r="C1495" t="str">
        <f>"279885065"</f>
        <v>279885065</v>
      </c>
      <c r="D1495" t="s">
        <v>4287</v>
      </c>
      <c r="E1495" t="s">
        <v>504</v>
      </c>
      <c r="F1495" t="s">
        <v>93</v>
      </c>
      <c r="G1495" s="1">
        <v>29182</v>
      </c>
      <c r="H1495" s="1">
        <v>41148</v>
      </c>
      <c r="I1495" t="str">
        <f t="shared" si="30"/>
        <v>51</v>
      </c>
      <c r="J1495" t="s">
        <v>471</v>
      </c>
      <c r="K1495" t="s">
        <v>25</v>
      </c>
      <c r="L1495" t="s">
        <v>26</v>
      </c>
      <c r="M1495" t="s">
        <v>27</v>
      </c>
      <c r="N1495" s="1">
        <v>18629</v>
      </c>
      <c r="O1495">
        <v>0</v>
      </c>
      <c r="P1495">
        <v>0</v>
      </c>
      <c r="Q1495" t="s">
        <v>37</v>
      </c>
      <c r="R1495" t="s">
        <v>29</v>
      </c>
      <c r="S1495" t="s">
        <v>138</v>
      </c>
      <c r="T1495" t="s">
        <v>139</v>
      </c>
    </row>
    <row r="1496" spans="1:20" x14ac:dyDescent="0.25">
      <c r="A1496" t="s">
        <v>4288</v>
      </c>
      <c r="B1496" t="str">
        <f>"0415"</f>
        <v>0415</v>
      </c>
      <c r="C1496" t="str">
        <f>"296660415"</f>
        <v>296660415</v>
      </c>
      <c r="D1496" t="s">
        <v>4289</v>
      </c>
      <c r="E1496" t="s">
        <v>789</v>
      </c>
      <c r="F1496" t="s">
        <v>93</v>
      </c>
      <c r="G1496" s="1">
        <v>27364</v>
      </c>
      <c r="H1496" s="1">
        <v>41148</v>
      </c>
      <c r="I1496" t="str">
        <f t="shared" si="30"/>
        <v>51</v>
      </c>
      <c r="J1496" t="s">
        <v>471</v>
      </c>
      <c r="K1496" t="s">
        <v>25</v>
      </c>
      <c r="L1496" t="s">
        <v>26</v>
      </c>
      <c r="M1496" t="s">
        <v>27</v>
      </c>
      <c r="N1496" s="1">
        <v>18629</v>
      </c>
      <c r="O1496">
        <v>0</v>
      </c>
      <c r="P1496">
        <v>0</v>
      </c>
      <c r="Q1496" t="s">
        <v>37</v>
      </c>
      <c r="R1496" t="s">
        <v>71</v>
      </c>
      <c r="S1496" t="s">
        <v>305</v>
      </c>
      <c r="T1496" t="s">
        <v>306</v>
      </c>
    </row>
    <row r="1497" spans="1:20" x14ac:dyDescent="0.25">
      <c r="A1497" t="s">
        <v>4290</v>
      </c>
      <c r="B1497" t="str">
        <f>"2693"</f>
        <v>2693</v>
      </c>
      <c r="C1497" t="str">
        <f>"273482693"</f>
        <v>273482693</v>
      </c>
      <c r="D1497" t="s">
        <v>1624</v>
      </c>
      <c r="E1497" t="s">
        <v>4291</v>
      </c>
      <c r="F1497" t="s">
        <v>264</v>
      </c>
      <c r="G1497" s="1">
        <v>17817</v>
      </c>
      <c r="H1497" s="1">
        <v>41148</v>
      </c>
      <c r="I1497" t="str">
        <f t="shared" si="30"/>
        <v>51</v>
      </c>
      <c r="J1497" t="s">
        <v>471</v>
      </c>
      <c r="K1497" t="s">
        <v>25</v>
      </c>
      <c r="L1497" t="s">
        <v>26</v>
      </c>
      <c r="M1497" t="s">
        <v>27</v>
      </c>
      <c r="N1497" s="1">
        <v>18629</v>
      </c>
      <c r="O1497">
        <v>0</v>
      </c>
      <c r="P1497">
        <v>0</v>
      </c>
      <c r="Q1497" t="s">
        <v>37</v>
      </c>
      <c r="R1497" t="s">
        <v>29</v>
      </c>
      <c r="S1497" t="s">
        <v>138</v>
      </c>
      <c r="T1497" t="s">
        <v>139</v>
      </c>
    </row>
    <row r="1498" spans="1:20" x14ac:dyDescent="0.25">
      <c r="A1498" t="s">
        <v>4292</v>
      </c>
      <c r="B1498" t="str">
        <f>"4264"</f>
        <v>4264</v>
      </c>
      <c r="C1498" t="str">
        <f>"295584264"</f>
        <v>295584264</v>
      </c>
      <c r="D1498" t="s">
        <v>4293</v>
      </c>
      <c r="E1498" t="s">
        <v>877</v>
      </c>
      <c r="F1498" t="s">
        <v>97</v>
      </c>
      <c r="G1498" s="1">
        <v>25400</v>
      </c>
      <c r="H1498" s="1">
        <v>41148</v>
      </c>
      <c r="I1498" t="str">
        <f t="shared" si="30"/>
        <v>51</v>
      </c>
      <c r="J1498" t="s">
        <v>471</v>
      </c>
      <c r="K1498" t="s">
        <v>25</v>
      </c>
      <c r="L1498" t="s">
        <v>26</v>
      </c>
      <c r="M1498" t="s">
        <v>27</v>
      </c>
      <c r="N1498" s="1">
        <v>18629</v>
      </c>
      <c r="O1498">
        <v>0</v>
      </c>
      <c r="P1498">
        <v>0</v>
      </c>
      <c r="Q1498" t="s">
        <v>37</v>
      </c>
      <c r="R1498" t="s">
        <v>29</v>
      </c>
      <c r="S1498" t="s">
        <v>2355</v>
      </c>
      <c r="T1498" t="s">
        <v>2356</v>
      </c>
    </row>
    <row r="1499" spans="1:20" x14ac:dyDescent="0.25">
      <c r="A1499" t="s">
        <v>4294</v>
      </c>
      <c r="B1499" t="str">
        <f>"3948"</f>
        <v>3948</v>
      </c>
      <c r="C1499" t="str">
        <f>"201503948"</f>
        <v>201503948</v>
      </c>
      <c r="D1499" t="s">
        <v>4295</v>
      </c>
      <c r="E1499" t="s">
        <v>664</v>
      </c>
      <c r="F1499" t="s">
        <v>93</v>
      </c>
      <c r="G1499" s="1">
        <v>21965</v>
      </c>
      <c r="H1499" s="1">
        <v>41148</v>
      </c>
      <c r="I1499" t="str">
        <f t="shared" si="30"/>
        <v>51</v>
      </c>
      <c r="J1499" t="s">
        <v>471</v>
      </c>
      <c r="K1499" t="s">
        <v>25</v>
      </c>
      <c r="L1499" t="s">
        <v>26</v>
      </c>
      <c r="M1499" t="s">
        <v>27</v>
      </c>
      <c r="N1499" s="1">
        <v>18629</v>
      </c>
      <c r="O1499">
        <v>0</v>
      </c>
      <c r="P1499">
        <v>0</v>
      </c>
      <c r="Q1499" t="s">
        <v>28</v>
      </c>
      <c r="R1499" t="s">
        <v>29</v>
      </c>
      <c r="S1499" t="s">
        <v>3763</v>
      </c>
      <c r="T1499" t="s">
        <v>3764</v>
      </c>
    </row>
    <row r="1500" spans="1:20" x14ac:dyDescent="0.25">
      <c r="A1500" t="s">
        <v>4296</v>
      </c>
      <c r="B1500" t="str">
        <f>"7791"</f>
        <v>7791</v>
      </c>
      <c r="C1500" t="str">
        <f>"274847791"</f>
        <v>274847791</v>
      </c>
      <c r="D1500" t="s">
        <v>4297</v>
      </c>
      <c r="E1500" t="s">
        <v>1666</v>
      </c>
      <c r="F1500" t="s">
        <v>93</v>
      </c>
      <c r="G1500" s="1">
        <v>27494</v>
      </c>
      <c r="H1500" s="1">
        <v>41148</v>
      </c>
      <c r="I1500" t="str">
        <f t="shared" si="30"/>
        <v>51</v>
      </c>
      <c r="J1500" t="s">
        <v>471</v>
      </c>
      <c r="K1500" t="s">
        <v>25</v>
      </c>
      <c r="L1500" t="s">
        <v>26</v>
      </c>
      <c r="M1500" t="s">
        <v>27</v>
      </c>
      <c r="N1500" s="1">
        <v>18629</v>
      </c>
      <c r="O1500">
        <v>0</v>
      </c>
      <c r="P1500">
        <v>0</v>
      </c>
      <c r="Q1500" t="s">
        <v>37</v>
      </c>
      <c r="R1500" t="s">
        <v>29</v>
      </c>
      <c r="S1500" t="s">
        <v>138</v>
      </c>
      <c r="T1500" t="s">
        <v>139</v>
      </c>
    </row>
    <row r="1501" spans="1:20" x14ac:dyDescent="0.25">
      <c r="A1501" t="s">
        <v>4298</v>
      </c>
      <c r="B1501" t="str">
        <f>"5208"</f>
        <v>5208</v>
      </c>
      <c r="C1501" t="str">
        <f>"290645208"</f>
        <v>290645208</v>
      </c>
      <c r="D1501" t="s">
        <v>4299</v>
      </c>
      <c r="E1501" t="s">
        <v>4300</v>
      </c>
      <c r="G1501" s="1">
        <v>24953</v>
      </c>
      <c r="H1501" s="1">
        <v>41148</v>
      </c>
      <c r="I1501" t="str">
        <f t="shared" si="30"/>
        <v>51</v>
      </c>
      <c r="J1501" t="s">
        <v>471</v>
      </c>
      <c r="K1501" t="s">
        <v>25</v>
      </c>
      <c r="L1501" t="s">
        <v>26</v>
      </c>
      <c r="M1501" t="s">
        <v>27</v>
      </c>
      <c r="N1501" s="1">
        <v>18629</v>
      </c>
      <c r="O1501">
        <v>0</v>
      </c>
      <c r="P1501">
        <v>0</v>
      </c>
      <c r="Q1501" t="s">
        <v>37</v>
      </c>
      <c r="R1501" t="s">
        <v>29</v>
      </c>
      <c r="S1501" t="s">
        <v>138</v>
      </c>
      <c r="T1501" t="s">
        <v>139</v>
      </c>
    </row>
    <row r="1502" spans="1:20" x14ac:dyDescent="0.25">
      <c r="A1502" t="s">
        <v>4301</v>
      </c>
      <c r="B1502" t="str">
        <f>"6728"</f>
        <v>6728</v>
      </c>
      <c r="C1502" t="str">
        <f>"278526728"</f>
        <v>278526728</v>
      </c>
      <c r="D1502" t="s">
        <v>4302</v>
      </c>
      <c r="E1502" t="s">
        <v>1071</v>
      </c>
      <c r="F1502" t="s">
        <v>44</v>
      </c>
      <c r="G1502" s="1">
        <v>18671</v>
      </c>
      <c r="H1502" s="1">
        <v>41148</v>
      </c>
      <c r="I1502" t="str">
        <f t="shared" si="30"/>
        <v>51</v>
      </c>
      <c r="J1502" t="s">
        <v>471</v>
      </c>
      <c r="K1502" t="s">
        <v>25</v>
      </c>
      <c r="L1502" t="s">
        <v>26</v>
      </c>
      <c r="M1502" t="s">
        <v>27</v>
      </c>
      <c r="N1502" s="1">
        <v>18629</v>
      </c>
      <c r="O1502">
        <v>0</v>
      </c>
      <c r="P1502">
        <v>0</v>
      </c>
      <c r="Q1502" t="s">
        <v>37</v>
      </c>
      <c r="R1502" t="s">
        <v>51</v>
      </c>
      <c r="S1502" s="2" t="s">
        <v>1568</v>
      </c>
      <c r="T1502" t="s">
        <v>1569</v>
      </c>
    </row>
    <row r="1503" spans="1:20" x14ac:dyDescent="0.25">
      <c r="A1503" t="s">
        <v>4303</v>
      </c>
      <c r="B1503" t="str">
        <f>"3150"</f>
        <v>3150</v>
      </c>
      <c r="C1503" t="str">
        <f>"274823150"</f>
        <v>274823150</v>
      </c>
      <c r="D1503" t="s">
        <v>4304</v>
      </c>
      <c r="E1503" t="s">
        <v>178</v>
      </c>
      <c r="F1503" t="s">
        <v>93</v>
      </c>
      <c r="G1503" s="1">
        <v>30760</v>
      </c>
      <c r="H1503" s="1">
        <v>41148</v>
      </c>
      <c r="I1503" t="str">
        <f t="shared" si="30"/>
        <v>51</v>
      </c>
      <c r="J1503" t="s">
        <v>471</v>
      </c>
      <c r="K1503" t="s">
        <v>25</v>
      </c>
      <c r="L1503" t="s">
        <v>26</v>
      </c>
      <c r="M1503" t="s">
        <v>27</v>
      </c>
      <c r="N1503" s="1">
        <v>18629</v>
      </c>
      <c r="O1503">
        <v>0</v>
      </c>
      <c r="P1503">
        <v>0</v>
      </c>
      <c r="Q1503" t="s">
        <v>28</v>
      </c>
      <c r="R1503" t="s">
        <v>51</v>
      </c>
      <c r="S1503" s="2" t="s">
        <v>3730</v>
      </c>
      <c r="T1503" t="s">
        <v>3731</v>
      </c>
    </row>
    <row r="1504" spans="1:20" x14ac:dyDescent="0.25">
      <c r="A1504" t="s">
        <v>4305</v>
      </c>
      <c r="B1504" t="str">
        <f>"8696"</f>
        <v>8696</v>
      </c>
      <c r="C1504" t="str">
        <f>"271648696"</f>
        <v>271648696</v>
      </c>
      <c r="D1504" t="s">
        <v>4306</v>
      </c>
      <c r="E1504" t="s">
        <v>2537</v>
      </c>
      <c r="F1504" t="s">
        <v>93</v>
      </c>
      <c r="G1504" s="1">
        <v>25358</v>
      </c>
      <c r="H1504" s="1">
        <v>41148</v>
      </c>
      <c r="I1504" t="str">
        <f t="shared" si="30"/>
        <v>51</v>
      </c>
      <c r="J1504" t="s">
        <v>471</v>
      </c>
      <c r="K1504" t="s">
        <v>25</v>
      </c>
      <c r="L1504" t="s">
        <v>26</v>
      </c>
      <c r="M1504" t="s">
        <v>27</v>
      </c>
      <c r="N1504" s="1">
        <v>18629</v>
      </c>
      <c r="O1504">
        <v>0</v>
      </c>
      <c r="P1504">
        <v>0</v>
      </c>
      <c r="Q1504" t="s">
        <v>37</v>
      </c>
      <c r="R1504" t="s">
        <v>71</v>
      </c>
      <c r="S1504" t="s">
        <v>2406</v>
      </c>
      <c r="T1504" t="s">
        <v>2407</v>
      </c>
    </row>
    <row r="1505" spans="1:20" x14ac:dyDescent="0.25">
      <c r="A1505" t="s">
        <v>4307</v>
      </c>
      <c r="B1505" t="str">
        <f>"3437"</f>
        <v>3437</v>
      </c>
      <c r="C1505" t="str">
        <f>"299743437"</f>
        <v>299743437</v>
      </c>
      <c r="D1505" t="s">
        <v>4308</v>
      </c>
      <c r="E1505" t="s">
        <v>194</v>
      </c>
      <c r="F1505" t="s">
        <v>44</v>
      </c>
      <c r="G1505" s="1">
        <v>27973</v>
      </c>
      <c r="H1505" s="1">
        <v>41148</v>
      </c>
      <c r="I1505" t="str">
        <f t="shared" si="30"/>
        <v>51</v>
      </c>
      <c r="J1505" t="s">
        <v>471</v>
      </c>
      <c r="K1505" t="s">
        <v>25</v>
      </c>
      <c r="L1505" t="s">
        <v>26</v>
      </c>
      <c r="M1505" t="s">
        <v>27</v>
      </c>
      <c r="N1505" s="1">
        <v>18629</v>
      </c>
      <c r="O1505">
        <v>0</v>
      </c>
      <c r="P1505">
        <v>0</v>
      </c>
      <c r="Q1505" t="s">
        <v>37</v>
      </c>
      <c r="R1505" t="s">
        <v>29</v>
      </c>
      <c r="S1505" t="s">
        <v>138</v>
      </c>
      <c r="T1505" t="s">
        <v>139</v>
      </c>
    </row>
    <row r="1506" spans="1:20" x14ac:dyDescent="0.25">
      <c r="A1506" t="s">
        <v>4309</v>
      </c>
      <c r="B1506" t="str">
        <f>"6537"</f>
        <v>6537</v>
      </c>
      <c r="C1506" t="str">
        <f>"269506537"</f>
        <v>269506537</v>
      </c>
      <c r="D1506" t="s">
        <v>4310</v>
      </c>
      <c r="E1506" t="s">
        <v>1248</v>
      </c>
      <c r="F1506" t="s">
        <v>28</v>
      </c>
      <c r="G1506" s="1">
        <v>18130</v>
      </c>
      <c r="H1506" s="1">
        <v>41148</v>
      </c>
      <c r="I1506" t="str">
        <f t="shared" si="30"/>
        <v>51</v>
      </c>
      <c r="J1506" t="s">
        <v>471</v>
      </c>
      <c r="K1506" t="s">
        <v>25</v>
      </c>
      <c r="L1506" t="s">
        <v>26</v>
      </c>
      <c r="M1506" t="s">
        <v>27</v>
      </c>
      <c r="N1506" s="1">
        <v>18629</v>
      </c>
      <c r="O1506">
        <v>0</v>
      </c>
      <c r="P1506">
        <v>0</v>
      </c>
      <c r="Q1506" t="s">
        <v>37</v>
      </c>
      <c r="R1506" t="s">
        <v>29</v>
      </c>
      <c r="S1506" t="s">
        <v>138</v>
      </c>
      <c r="T1506" t="s">
        <v>139</v>
      </c>
    </row>
    <row r="1507" spans="1:20" x14ac:dyDescent="0.25">
      <c r="A1507" t="s">
        <v>4311</v>
      </c>
      <c r="B1507" t="str">
        <f>"4978"</f>
        <v>4978</v>
      </c>
      <c r="C1507" t="str">
        <f>"643304978"</f>
        <v>643304978</v>
      </c>
      <c r="D1507" t="s">
        <v>4312</v>
      </c>
      <c r="E1507" t="s">
        <v>4313</v>
      </c>
      <c r="G1507" s="1">
        <v>22374</v>
      </c>
      <c r="H1507" s="1">
        <v>41148</v>
      </c>
      <c r="I1507" t="str">
        <f t="shared" si="30"/>
        <v>51</v>
      </c>
      <c r="J1507" t="s">
        <v>471</v>
      </c>
      <c r="K1507" t="s">
        <v>25</v>
      </c>
      <c r="L1507" t="s">
        <v>26</v>
      </c>
      <c r="M1507" t="s">
        <v>27</v>
      </c>
      <c r="N1507" s="1">
        <v>18629</v>
      </c>
      <c r="O1507">
        <v>0</v>
      </c>
      <c r="P1507">
        <v>0</v>
      </c>
      <c r="Q1507" t="s">
        <v>28</v>
      </c>
      <c r="R1507" t="s">
        <v>51</v>
      </c>
      <c r="S1507" s="2" t="s">
        <v>64</v>
      </c>
      <c r="T1507" t="s">
        <v>65</v>
      </c>
    </row>
    <row r="1508" spans="1:20" x14ac:dyDescent="0.25">
      <c r="A1508" t="s">
        <v>4314</v>
      </c>
      <c r="B1508" t="str">
        <f>"8559"</f>
        <v>8559</v>
      </c>
      <c r="C1508" t="str">
        <f>"277468559"</f>
        <v>277468559</v>
      </c>
      <c r="D1508" t="s">
        <v>3921</v>
      </c>
      <c r="E1508" t="s">
        <v>789</v>
      </c>
      <c r="F1508" t="s">
        <v>93</v>
      </c>
      <c r="G1508" s="1">
        <v>23507</v>
      </c>
      <c r="H1508" s="1">
        <v>41148</v>
      </c>
      <c r="I1508" t="str">
        <f t="shared" si="30"/>
        <v>51</v>
      </c>
      <c r="J1508" t="s">
        <v>471</v>
      </c>
      <c r="K1508" t="s">
        <v>25</v>
      </c>
      <c r="L1508" t="s">
        <v>26</v>
      </c>
      <c r="M1508" t="s">
        <v>27</v>
      </c>
      <c r="N1508" s="1">
        <v>18629</v>
      </c>
      <c r="O1508">
        <v>0</v>
      </c>
      <c r="P1508">
        <v>0</v>
      </c>
      <c r="Q1508" t="s">
        <v>37</v>
      </c>
      <c r="R1508" t="s">
        <v>51</v>
      </c>
      <c r="S1508" s="2" t="s">
        <v>3730</v>
      </c>
      <c r="T1508" t="s">
        <v>3731</v>
      </c>
    </row>
    <row r="1509" spans="1:20" x14ac:dyDescent="0.25">
      <c r="A1509" t="s">
        <v>4315</v>
      </c>
      <c r="B1509" t="str">
        <f>"4831"</f>
        <v>4831</v>
      </c>
      <c r="C1509" t="str">
        <f>"236334831"</f>
        <v>236334831</v>
      </c>
      <c r="D1509" t="s">
        <v>1049</v>
      </c>
      <c r="E1509" t="s">
        <v>499</v>
      </c>
      <c r="F1509" t="s">
        <v>97</v>
      </c>
      <c r="G1509" s="1">
        <v>27506</v>
      </c>
      <c r="H1509" s="1">
        <v>41148</v>
      </c>
      <c r="I1509" t="str">
        <f t="shared" si="30"/>
        <v>51</v>
      </c>
      <c r="J1509" t="s">
        <v>471</v>
      </c>
      <c r="K1509" t="s">
        <v>25</v>
      </c>
      <c r="L1509" t="s">
        <v>26</v>
      </c>
      <c r="M1509" t="s">
        <v>27</v>
      </c>
      <c r="N1509" s="1">
        <v>18629</v>
      </c>
      <c r="O1509">
        <v>0</v>
      </c>
      <c r="P1509">
        <v>0</v>
      </c>
      <c r="Q1509" t="s">
        <v>28</v>
      </c>
      <c r="R1509" t="s">
        <v>71</v>
      </c>
      <c r="S1509" t="s">
        <v>3963</v>
      </c>
      <c r="T1509" t="s">
        <v>3964</v>
      </c>
    </row>
    <row r="1510" spans="1:20" x14ac:dyDescent="0.25">
      <c r="A1510" t="s">
        <v>4316</v>
      </c>
      <c r="B1510" t="str">
        <f>"5426"</f>
        <v>5426</v>
      </c>
      <c r="C1510" t="str">
        <f>"276445426"</f>
        <v>276445426</v>
      </c>
      <c r="D1510" t="s">
        <v>4317</v>
      </c>
      <c r="E1510" t="s">
        <v>1381</v>
      </c>
      <c r="F1510" t="s">
        <v>264</v>
      </c>
      <c r="G1510" s="1">
        <v>18439</v>
      </c>
      <c r="H1510" s="1">
        <v>41148</v>
      </c>
      <c r="I1510" t="str">
        <f t="shared" si="30"/>
        <v>51</v>
      </c>
      <c r="J1510" t="s">
        <v>471</v>
      </c>
      <c r="K1510" t="s">
        <v>25</v>
      </c>
      <c r="L1510" t="s">
        <v>26</v>
      </c>
      <c r="M1510" t="s">
        <v>27</v>
      </c>
      <c r="N1510" s="1">
        <v>18629</v>
      </c>
      <c r="O1510">
        <v>0</v>
      </c>
      <c r="P1510">
        <v>0</v>
      </c>
      <c r="Q1510" t="s">
        <v>28</v>
      </c>
      <c r="R1510" t="s">
        <v>71</v>
      </c>
      <c r="S1510" t="s">
        <v>305</v>
      </c>
      <c r="T1510" t="s">
        <v>306</v>
      </c>
    </row>
    <row r="1511" spans="1:20" x14ac:dyDescent="0.25">
      <c r="A1511" t="s">
        <v>4318</v>
      </c>
      <c r="B1511" t="str">
        <f>"3124"</f>
        <v>3124</v>
      </c>
      <c r="C1511" t="str">
        <f>"378293124"</f>
        <v>378293124</v>
      </c>
      <c r="D1511" t="s">
        <v>4319</v>
      </c>
      <c r="E1511" t="s">
        <v>4320</v>
      </c>
      <c r="F1511" t="s">
        <v>264</v>
      </c>
      <c r="G1511" s="1">
        <v>29033</v>
      </c>
      <c r="H1511" s="1">
        <v>41148</v>
      </c>
      <c r="I1511" t="str">
        <f t="shared" si="30"/>
        <v>51</v>
      </c>
      <c r="J1511" t="s">
        <v>471</v>
      </c>
      <c r="K1511" t="s">
        <v>25</v>
      </c>
      <c r="L1511" t="s">
        <v>26</v>
      </c>
      <c r="M1511" t="s">
        <v>27</v>
      </c>
      <c r="N1511" s="1">
        <v>18629</v>
      </c>
      <c r="O1511">
        <v>0</v>
      </c>
      <c r="P1511">
        <v>0</v>
      </c>
      <c r="Q1511" t="s">
        <v>37</v>
      </c>
      <c r="R1511" t="s">
        <v>29</v>
      </c>
      <c r="S1511" t="s">
        <v>1677</v>
      </c>
      <c r="T1511" t="s">
        <v>1678</v>
      </c>
    </row>
    <row r="1512" spans="1:20" x14ac:dyDescent="0.25">
      <c r="A1512" t="s">
        <v>4321</v>
      </c>
      <c r="B1512" t="str">
        <f>"0222"</f>
        <v>0222</v>
      </c>
      <c r="C1512" t="str">
        <f>"280860222"</f>
        <v>280860222</v>
      </c>
      <c r="D1512" t="s">
        <v>860</v>
      </c>
      <c r="E1512" t="s">
        <v>1453</v>
      </c>
      <c r="F1512" t="s">
        <v>93</v>
      </c>
      <c r="G1512" s="1">
        <v>30035</v>
      </c>
      <c r="H1512" s="1">
        <v>41148</v>
      </c>
      <c r="I1512" t="str">
        <f t="shared" si="30"/>
        <v>51</v>
      </c>
      <c r="J1512" t="s">
        <v>471</v>
      </c>
      <c r="K1512" t="s">
        <v>25</v>
      </c>
      <c r="L1512" t="s">
        <v>26</v>
      </c>
      <c r="M1512" t="s">
        <v>27</v>
      </c>
      <c r="N1512" s="1">
        <v>18629</v>
      </c>
      <c r="O1512">
        <v>0</v>
      </c>
      <c r="P1512">
        <v>0</v>
      </c>
      <c r="Q1512" t="s">
        <v>28</v>
      </c>
      <c r="R1512" t="s">
        <v>71</v>
      </c>
      <c r="S1512" t="s">
        <v>1474</v>
      </c>
      <c r="T1512" t="s">
        <v>1475</v>
      </c>
    </row>
    <row r="1513" spans="1:20" x14ac:dyDescent="0.25">
      <c r="A1513" t="s">
        <v>4322</v>
      </c>
      <c r="B1513" t="str">
        <f>"6139"</f>
        <v>6139</v>
      </c>
      <c r="C1513" t="str">
        <f>"294666139"</f>
        <v>294666139</v>
      </c>
      <c r="D1513" t="s">
        <v>4323</v>
      </c>
      <c r="E1513" t="s">
        <v>486</v>
      </c>
      <c r="F1513" t="s">
        <v>93</v>
      </c>
      <c r="G1513" s="1">
        <v>25206</v>
      </c>
      <c r="H1513" s="1">
        <v>41148</v>
      </c>
      <c r="I1513" t="str">
        <f t="shared" si="30"/>
        <v>51</v>
      </c>
      <c r="J1513" t="s">
        <v>471</v>
      </c>
      <c r="K1513" t="s">
        <v>25</v>
      </c>
      <c r="L1513" t="s">
        <v>26</v>
      </c>
      <c r="M1513" t="s">
        <v>27</v>
      </c>
      <c r="N1513" s="1">
        <v>18629</v>
      </c>
      <c r="O1513">
        <v>0</v>
      </c>
      <c r="P1513">
        <v>0</v>
      </c>
      <c r="Q1513" t="s">
        <v>37</v>
      </c>
      <c r="R1513" t="s">
        <v>29</v>
      </c>
      <c r="S1513" t="s">
        <v>138</v>
      </c>
      <c r="T1513" t="s">
        <v>139</v>
      </c>
    </row>
    <row r="1514" spans="1:20" x14ac:dyDescent="0.25">
      <c r="A1514" t="s">
        <v>4324</v>
      </c>
      <c r="B1514" t="str">
        <f>"3759"</f>
        <v>3759</v>
      </c>
      <c r="C1514" t="str">
        <f>"278863759"</f>
        <v>278863759</v>
      </c>
      <c r="D1514" t="s">
        <v>863</v>
      </c>
      <c r="E1514" t="s">
        <v>4325</v>
      </c>
      <c r="F1514" t="s">
        <v>44</v>
      </c>
      <c r="G1514" s="1">
        <v>31753</v>
      </c>
      <c r="H1514" s="1">
        <v>41148</v>
      </c>
      <c r="I1514" t="str">
        <f>"41"</f>
        <v>41</v>
      </c>
      <c r="J1514" t="s">
        <v>24</v>
      </c>
      <c r="K1514" t="s">
        <v>25</v>
      </c>
      <c r="L1514" t="s">
        <v>26</v>
      </c>
      <c r="M1514" t="s">
        <v>27</v>
      </c>
      <c r="N1514" s="1">
        <v>18629</v>
      </c>
      <c r="O1514">
        <v>0</v>
      </c>
      <c r="P1514">
        <v>0</v>
      </c>
      <c r="Q1514" t="s">
        <v>28</v>
      </c>
      <c r="R1514" t="s">
        <v>51</v>
      </c>
      <c r="S1514" s="2" t="s">
        <v>1972</v>
      </c>
      <c r="T1514" t="s">
        <v>1973</v>
      </c>
    </row>
    <row r="1515" spans="1:20" x14ac:dyDescent="0.25">
      <c r="A1515" t="s">
        <v>4326</v>
      </c>
      <c r="B1515" t="str">
        <f>"0926"</f>
        <v>0926</v>
      </c>
      <c r="C1515" t="str">
        <f>"219720926"</f>
        <v>219720926</v>
      </c>
      <c r="D1515" t="s">
        <v>4327</v>
      </c>
      <c r="E1515" t="s">
        <v>2917</v>
      </c>
      <c r="F1515" t="s">
        <v>219</v>
      </c>
      <c r="G1515" s="1">
        <v>25231</v>
      </c>
      <c r="H1515" s="1">
        <v>41148</v>
      </c>
      <c r="I1515" t="str">
        <f t="shared" ref="I1515:I1527" si="31">"51"</f>
        <v>51</v>
      </c>
      <c r="J1515" t="s">
        <v>471</v>
      </c>
      <c r="K1515" t="s">
        <v>25</v>
      </c>
      <c r="L1515" t="s">
        <v>26</v>
      </c>
      <c r="M1515" t="s">
        <v>27</v>
      </c>
      <c r="N1515" s="1">
        <v>18629</v>
      </c>
      <c r="O1515">
        <v>0</v>
      </c>
      <c r="P1515">
        <v>0</v>
      </c>
      <c r="Q1515" t="s">
        <v>37</v>
      </c>
      <c r="R1515" t="s">
        <v>29</v>
      </c>
      <c r="S1515" t="s">
        <v>138</v>
      </c>
      <c r="T1515" t="s">
        <v>139</v>
      </c>
    </row>
    <row r="1516" spans="1:20" x14ac:dyDescent="0.25">
      <c r="A1516" t="s">
        <v>4328</v>
      </c>
      <c r="B1516" t="str">
        <f>"3727"</f>
        <v>3727</v>
      </c>
      <c r="C1516" t="str">
        <f>"195543727"</f>
        <v>195543727</v>
      </c>
      <c r="D1516" t="s">
        <v>539</v>
      </c>
      <c r="E1516" t="s">
        <v>1381</v>
      </c>
      <c r="F1516" t="s">
        <v>69</v>
      </c>
      <c r="G1516" s="1">
        <v>25910</v>
      </c>
      <c r="H1516" s="1">
        <v>41148</v>
      </c>
      <c r="I1516" t="str">
        <f t="shared" si="31"/>
        <v>51</v>
      </c>
      <c r="J1516" t="s">
        <v>471</v>
      </c>
      <c r="K1516" t="s">
        <v>25</v>
      </c>
      <c r="L1516" t="s">
        <v>26</v>
      </c>
      <c r="M1516" t="s">
        <v>27</v>
      </c>
      <c r="N1516" s="1">
        <v>18629</v>
      </c>
      <c r="O1516">
        <v>0</v>
      </c>
      <c r="P1516">
        <v>0</v>
      </c>
      <c r="Q1516" t="s">
        <v>28</v>
      </c>
      <c r="R1516" t="s">
        <v>71</v>
      </c>
      <c r="S1516" t="s">
        <v>2590</v>
      </c>
      <c r="T1516" t="s">
        <v>2591</v>
      </c>
    </row>
    <row r="1517" spans="1:20" x14ac:dyDescent="0.25">
      <c r="A1517" t="s">
        <v>4329</v>
      </c>
      <c r="B1517" t="str">
        <f>"5611"</f>
        <v>5611</v>
      </c>
      <c r="C1517" t="str">
        <f>"287605611"</f>
        <v>287605611</v>
      </c>
      <c r="D1517" t="s">
        <v>563</v>
      </c>
      <c r="E1517" t="s">
        <v>900</v>
      </c>
      <c r="G1517" s="1">
        <v>23413</v>
      </c>
      <c r="H1517" s="1">
        <v>41148</v>
      </c>
      <c r="I1517" t="str">
        <f t="shared" si="31"/>
        <v>51</v>
      </c>
      <c r="J1517" t="s">
        <v>471</v>
      </c>
      <c r="K1517" t="s">
        <v>25</v>
      </c>
      <c r="L1517" t="s">
        <v>26</v>
      </c>
      <c r="M1517" t="s">
        <v>27</v>
      </c>
      <c r="N1517" s="1">
        <v>18629</v>
      </c>
      <c r="O1517">
        <v>0</v>
      </c>
      <c r="P1517">
        <v>0</v>
      </c>
      <c r="Q1517" t="s">
        <v>37</v>
      </c>
      <c r="R1517" t="s">
        <v>29</v>
      </c>
      <c r="S1517" t="s">
        <v>138</v>
      </c>
      <c r="T1517" t="s">
        <v>139</v>
      </c>
    </row>
    <row r="1518" spans="1:20" x14ac:dyDescent="0.25">
      <c r="A1518" t="s">
        <v>4330</v>
      </c>
      <c r="B1518" t="str">
        <f>"2904"</f>
        <v>2904</v>
      </c>
      <c r="C1518" t="str">
        <f>"278882904"</f>
        <v>278882904</v>
      </c>
      <c r="D1518" t="s">
        <v>4331</v>
      </c>
      <c r="E1518" t="s">
        <v>4332</v>
      </c>
      <c r="F1518" t="s">
        <v>438</v>
      </c>
      <c r="G1518" s="1">
        <v>30055</v>
      </c>
      <c r="H1518" s="1">
        <v>41148</v>
      </c>
      <c r="I1518" t="str">
        <f t="shared" si="31"/>
        <v>51</v>
      </c>
      <c r="J1518" t="s">
        <v>471</v>
      </c>
      <c r="K1518" t="s">
        <v>25</v>
      </c>
      <c r="L1518" t="s">
        <v>26</v>
      </c>
      <c r="M1518" t="s">
        <v>27</v>
      </c>
      <c r="N1518" s="1">
        <v>18629</v>
      </c>
      <c r="O1518">
        <v>0</v>
      </c>
      <c r="P1518">
        <v>0</v>
      </c>
      <c r="Q1518" t="s">
        <v>28</v>
      </c>
      <c r="R1518" t="s">
        <v>71</v>
      </c>
      <c r="S1518" t="s">
        <v>857</v>
      </c>
      <c r="T1518" t="s">
        <v>858</v>
      </c>
    </row>
    <row r="1519" spans="1:20" x14ac:dyDescent="0.25">
      <c r="A1519" t="s">
        <v>4333</v>
      </c>
      <c r="B1519" t="str">
        <f>"0040"</f>
        <v>0040</v>
      </c>
      <c r="C1519" t="str">
        <f>"284760040"</f>
        <v>284760040</v>
      </c>
      <c r="D1519" t="s">
        <v>4334</v>
      </c>
      <c r="E1519" t="s">
        <v>4335</v>
      </c>
      <c r="G1519" s="1">
        <v>29185</v>
      </c>
      <c r="H1519" s="1">
        <v>41148</v>
      </c>
      <c r="I1519" t="str">
        <f t="shared" si="31"/>
        <v>51</v>
      </c>
      <c r="J1519" t="s">
        <v>471</v>
      </c>
      <c r="K1519" t="s">
        <v>25</v>
      </c>
      <c r="L1519" t="s">
        <v>26</v>
      </c>
      <c r="M1519" t="s">
        <v>27</v>
      </c>
      <c r="N1519" s="1">
        <v>18629</v>
      </c>
      <c r="O1519">
        <v>0</v>
      </c>
      <c r="P1519">
        <v>0</v>
      </c>
      <c r="Q1519" t="s">
        <v>37</v>
      </c>
      <c r="R1519" t="s">
        <v>29</v>
      </c>
      <c r="S1519" t="s">
        <v>138</v>
      </c>
      <c r="T1519" t="s">
        <v>139</v>
      </c>
    </row>
    <row r="1520" spans="1:20" x14ac:dyDescent="0.25">
      <c r="A1520" t="s">
        <v>4336</v>
      </c>
      <c r="B1520" t="str">
        <f>"8692"</f>
        <v>8692</v>
      </c>
      <c r="C1520" t="str">
        <f>"270728692"</f>
        <v>270728692</v>
      </c>
      <c r="D1520" t="s">
        <v>4337</v>
      </c>
      <c r="E1520" t="s">
        <v>4338</v>
      </c>
      <c r="F1520" t="s">
        <v>44</v>
      </c>
      <c r="G1520" s="1">
        <v>26760</v>
      </c>
      <c r="H1520" s="1">
        <v>41148</v>
      </c>
      <c r="I1520" t="str">
        <f t="shared" si="31"/>
        <v>51</v>
      </c>
      <c r="J1520" t="s">
        <v>471</v>
      </c>
      <c r="K1520" t="s">
        <v>25</v>
      </c>
      <c r="L1520" t="s">
        <v>26</v>
      </c>
      <c r="M1520" t="s">
        <v>27</v>
      </c>
      <c r="N1520" s="1">
        <v>18629</v>
      </c>
      <c r="O1520">
        <v>0</v>
      </c>
      <c r="P1520">
        <v>0</v>
      </c>
      <c r="Q1520" t="s">
        <v>37</v>
      </c>
      <c r="R1520" t="s">
        <v>29</v>
      </c>
      <c r="S1520" t="s">
        <v>138</v>
      </c>
      <c r="T1520" t="s">
        <v>139</v>
      </c>
    </row>
    <row r="1521" spans="1:20" x14ac:dyDescent="0.25">
      <c r="A1521" t="s">
        <v>4339</v>
      </c>
      <c r="B1521" t="str">
        <f>"8177"</f>
        <v>8177</v>
      </c>
      <c r="C1521" t="str">
        <f>"297848177"</f>
        <v>297848177</v>
      </c>
      <c r="D1521" t="s">
        <v>4340</v>
      </c>
      <c r="E1521" t="s">
        <v>3412</v>
      </c>
      <c r="F1521" t="s">
        <v>264</v>
      </c>
      <c r="G1521" s="1">
        <v>30826</v>
      </c>
      <c r="H1521" s="1">
        <v>41148</v>
      </c>
      <c r="I1521" t="str">
        <f t="shared" si="31"/>
        <v>51</v>
      </c>
      <c r="J1521" t="s">
        <v>471</v>
      </c>
      <c r="K1521" t="s">
        <v>25</v>
      </c>
      <c r="L1521" t="s">
        <v>26</v>
      </c>
      <c r="M1521" t="s">
        <v>27</v>
      </c>
      <c r="N1521" s="1">
        <v>18629</v>
      </c>
      <c r="O1521">
        <v>0</v>
      </c>
      <c r="P1521">
        <v>0</v>
      </c>
      <c r="Q1521" t="s">
        <v>28</v>
      </c>
      <c r="R1521" t="s">
        <v>71</v>
      </c>
      <c r="S1521" t="s">
        <v>2458</v>
      </c>
      <c r="T1521" t="s">
        <v>2459</v>
      </c>
    </row>
    <row r="1522" spans="1:20" x14ac:dyDescent="0.25">
      <c r="A1522" t="s">
        <v>4341</v>
      </c>
      <c r="B1522" t="str">
        <f>"2431"</f>
        <v>2431</v>
      </c>
      <c r="C1522" t="str">
        <f>"276842431"</f>
        <v>276842431</v>
      </c>
      <c r="D1522" t="s">
        <v>4342</v>
      </c>
      <c r="E1522" t="s">
        <v>963</v>
      </c>
      <c r="F1522" t="s">
        <v>4343</v>
      </c>
      <c r="G1522" s="1">
        <v>28864</v>
      </c>
      <c r="H1522" s="1">
        <v>41148</v>
      </c>
      <c r="I1522" t="str">
        <f t="shared" si="31"/>
        <v>51</v>
      </c>
      <c r="J1522" t="s">
        <v>471</v>
      </c>
      <c r="K1522" t="s">
        <v>25</v>
      </c>
      <c r="L1522" t="s">
        <v>26</v>
      </c>
      <c r="M1522" t="s">
        <v>27</v>
      </c>
      <c r="N1522" s="1">
        <v>18629</v>
      </c>
      <c r="O1522">
        <v>0</v>
      </c>
      <c r="P1522">
        <v>0</v>
      </c>
      <c r="Q1522" t="s">
        <v>37</v>
      </c>
      <c r="R1522" t="s">
        <v>51</v>
      </c>
      <c r="S1522" s="2" t="s">
        <v>1508</v>
      </c>
      <c r="T1522" t="s">
        <v>1509</v>
      </c>
    </row>
    <row r="1523" spans="1:20" x14ac:dyDescent="0.25">
      <c r="A1523" t="s">
        <v>4344</v>
      </c>
      <c r="B1523" t="str">
        <f>"5018"</f>
        <v>5018</v>
      </c>
      <c r="C1523" t="str">
        <f>"268905018"</f>
        <v>268905018</v>
      </c>
      <c r="D1523" t="s">
        <v>4345</v>
      </c>
      <c r="E1523" t="s">
        <v>4346</v>
      </c>
      <c r="F1523" t="s">
        <v>28</v>
      </c>
      <c r="G1523" s="1">
        <v>32400</v>
      </c>
      <c r="H1523" s="1">
        <v>41148</v>
      </c>
      <c r="I1523" t="str">
        <f t="shared" si="31"/>
        <v>51</v>
      </c>
      <c r="J1523" t="s">
        <v>471</v>
      </c>
      <c r="K1523" t="s">
        <v>25</v>
      </c>
      <c r="L1523" t="s">
        <v>26</v>
      </c>
      <c r="M1523" t="s">
        <v>27</v>
      </c>
      <c r="N1523" s="1">
        <v>18629</v>
      </c>
      <c r="O1523">
        <v>0</v>
      </c>
      <c r="P1523">
        <v>0</v>
      </c>
      <c r="Q1523" t="s">
        <v>28</v>
      </c>
      <c r="R1523" t="s">
        <v>71</v>
      </c>
      <c r="S1523" t="s">
        <v>1547</v>
      </c>
      <c r="T1523" t="s">
        <v>1548</v>
      </c>
    </row>
    <row r="1524" spans="1:20" x14ac:dyDescent="0.25">
      <c r="A1524" t="s">
        <v>4347</v>
      </c>
      <c r="B1524" t="str">
        <f>"6648"</f>
        <v>6648</v>
      </c>
      <c r="C1524" t="str">
        <f>"273666648"</f>
        <v>273666648</v>
      </c>
      <c r="D1524" t="s">
        <v>4348</v>
      </c>
      <c r="E1524" t="s">
        <v>2470</v>
      </c>
      <c r="F1524" t="s">
        <v>165</v>
      </c>
      <c r="G1524" s="1">
        <v>21311</v>
      </c>
      <c r="H1524" s="1">
        <v>41148</v>
      </c>
      <c r="I1524" t="str">
        <f t="shared" si="31"/>
        <v>51</v>
      </c>
      <c r="J1524" t="s">
        <v>471</v>
      </c>
      <c r="K1524" t="s">
        <v>25</v>
      </c>
      <c r="L1524" t="s">
        <v>26</v>
      </c>
      <c r="M1524" t="s">
        <v>27</v>
      </c>
      <c r="N1524" s="1">
        <v>18629</v>
      </c>
      <c r="O1524">
        <v>0</v>
      </c>
      <c r="P1524">
        <v>0</v>
      </c>
      <c r="Q1524" t="s">
        <v>28</v>
      </c>
      <c r="R1524" t="s">
        <v>71</v>
      </c>
      <c r="S1524" t="s">
        <v>2634</v>
      </c>
      <c r="T1524" t="s">
        <v>2635</v>
      </c>
    </row>
    <row r="1525" spans="1:20" x14ac:dyDescent="0.25">
      <c r="A1525" t="s">
        <v>4349</v>
      </c>
      <c r="B1525" t="str">
        <f>"2683"</f>
        <v>2683</v>
      </c>
      <c r="C1525" t="str">
        <f>"270922683"</f>
        <v>270922683</v>
      </c>
      <c r="D1525" t="s">
        <v>4350</v>
      </c>
      <c r="E1525" t="s">
        <v>4351</v>
      </c>
      <c r="F1525" t="s">
        <v>93</v>
      </c>
      <c r="G1525" s="1">
        <v>31501</v>
      </c>
      <c r="H1525" s="1">
        <v>41148</v>
      </c>
      <c r="I1525" t="str">
        <f t="shared" si="31"/>
        <v>51</v>
      </c>
      <c r="J1525" t="s">
        <v>471</v>
      </c>
      <c r="K1525" t="s">
        <v>25</v>
      </c>
      <c r="L1525" t="s">
        <v>26</v>
      </c>
      <c r="M1525" t="s">
        <v>27</v>
      </c>
      <c r="N1525" s="1">
        <v>18629</v>
      </c>
      <c r="O1525">
        <v>0</v>
      </c>
      <c r="P1525">
        <v>0</v>
      </c>
      <c r="Q1525" t="s">
        <v>37</v>
      </c>
      <c r="R1525" t="s">
        <v>71</v>
      </c>
      <c r="S1525" t="s">
        <v>1474</v>
      </c>
      <c r="T1525" t="s">
        <v>1475</v>
      </c>
    </row>
    <row r="1526" spans="1:20" x14ac:dyDescent="0.25">
      <c r="A1526" t="s">
        <v>4352</v>
      </c>
      <c r="B1526" t="str">
        <f>"6394"</f>
        <v>6394</v>
      </c>
      <c r="C1526" t="str">
        <f>"280506394"</f>
        <v>280506394</v>
      </c>
      <c r="D1526" t="s">
        <v>4353</v>
      </c>
      <c r="E1526" t="s">
        <v>1813</v>
      </c>
      <c r="F1526" t="s">
        <v>438</v>
      </c>
      <c r="G1526" s="1">
        <v>18584</v>
      </c>
      <c r="H1526" s="1">
        <v>41148</v>
      </c>
      <c r="I1526" t="str">
        <f t="shared" si="31"/>
        <v>51</v>
      </c>
      <c r="J1526" t="s">
        <v>471</v>
      </c>
      <c r="K1526" t="s">
        <v>25</v>
      </c>
      <c r="L1526" t="s">
        <v>26</v>
      </c>
      <c r="M1526" t="s">
        <v>27</v>
      </c>
      <c r="N1526" s="1">
        <v>18629</v>
      </c>
      <c r="O1526">
        <v>0</v>
      </c>
      <c r="P1526">
        <v>0</v>
      </c>
      <c r="Q1526" t="s">
        <v>37</v>
      </c>
      <c r="R1526" t="s">
        <v>29</v>
      </c>
      <c r="S1526" t="s">
        <v>1572</v>
      </c>
      <c r="T1526" t="s">
        <v>1573</v>
      </c>
    </row>
    <row r="1527" spans="1:20" x14ac:dyDescent="0.25">
      <c r="A1527" t="s">
        <v>4354</v>
      </c>
      <c r="B1527" t="str">
        <f>"9247"</f>
        <v>9247</v>
      </c>
      <c r="C1527" t="str">
        <f>"269489247"</f>
        <v>269489247</v>
      </c>
      <c r="D1527" t="s">
        <v>4355</v>
      </c>
      <c r="E1527" t="s">
        <v>1104</v>
      </c>
      <c r="F1527" t="s">
        <v>44</v>
      </c>
      <c r="G1527" s="1">
        <v>18577</v>
      </c>
      <c r="H1527" s="1">
        <v>41148</v>
      </c>
      <c r="I1527" t="str">
        <f t="shared" si="31"/>
        <v>51</v>
      </c>
      <c r="J1527" t="s">
        <v>471</v>
      </c>
      <c r="K1527" t="s">
        <v>25</v>
      </c>
      <c r="L1527" t="s">
        <v>26</v>
      </c>
      <c r="M1527" t="s">
        <v>27</v>
      </c>
      <c r="N1527" s="1">
        <v>18629</v>
      </c>
      <c r="O1527">
        <v>0</v>
      </c>
      <c r="P1527">
        <v>0</v>
      </c>
      <c r="Q1527" t="s">
        <v>28</v>
      </c>
      <c r="R1527" t="s">
        <v>71</v>
      </c>
      <c r="S1527" t="s">
        <v>770</v>
      </c>
      <c r="T1527" t="s">
        <v>771</v>
      </c>
    </row>
    <row r="1528" spans="1:20" x14ac:dyDescent="0.25">
      <c r="A1528" t="s">
        <v>4356</v>
      </c>
      <c r="B1528" t="str">
        <f>"6877"</f>
        <v>6877</v>
      </c>
      <c r="C1528" t="str">
        <f>"300586877"</f>
        <v>300586877</v>
      </c>
      <c r="D1528" t="s">
        <v>4357</v>
      </c>
      <c r="E1528" t="s">
        <v>1055</v>
      </c>
      <c r="F1528" t="s">
        <v>93</v>
      </c>
      <c r="G1528" s="1">
        <v>24547</v>
      </c>
      <c r="H1528" s="1">
        <v>41146</v>
      </c>
      <c r="I1528" t="str">
        <f>"41"</f>
        <v>41</v>
      </c>
      <c r="J1528" t="s">
        <v>24</v>
      </c>
      <c r="K1528" t="s">
        <v>25</v>
      </c>
      <c r="L1528" t="s">
        <v>26</v>
      </c>
      <c r="M1528" t="s">
        <v>27</v>
      </c>
      <c r="N1528" s="1">
        <v>18629</v>
      </c>
      <c r="O1528">
        <v>0</v>
      </c>
      <c r="P1528">
        <v>0</v>
      </c>
      <c r="Q1528" t="s">
        <v>28</v>
      </c>
      <c r="R1528" t="s">
        <v>71</v>
      </c>
      <c r="S1528" t="s">
        <v>402</v>
      </c>
      <c r="T1528" t="s">
        <v>403</v>
      </c>
    </row>
    <row r="1529" spans="1:20" x14ac:dyDescent="0.25">
      <c r="A1529" t="s">
        <v>4358</v>
      </c>
      <c r="B1529" t="str">
        <f>"7851"</f>
        <v>7851</v>
      </c>
      <c r="C1529" t="str">
        <f>"166407851"</f>
        <v>166407851</v>
      </c>
      <c r="D1529" t="s">
        <v>4359</v>
      </c>
      <c r="E1529" t="s">
        <v>3772</v>
      </c>
      <c r="F1529" t="s">
        <v>97</v>
      </c>
      <c r="G1529" s="1">
        <v>17690</v>
      </c>
      <c r="H1529" s="1">
        <v>41144</v>
      </c>
      <c r="I1529" t="str">
        <f>"53"</f>
        <v>53</v>
      </c>
      <c r="J1529" t="s">
        <v>917</v>
      </c>
      <c r="K1529" t="s">
        <v>25</v>
      </c>
      <c r="L1529" t="s">
        <v>26</v>
      </c>
      <c r="M1529" t="s">
        <v>27</v>
      </c>
      <c r="N1529" s="1">
        <v>18629</v>
      </c>
      <c r="O1529">
        <v>0</v>
      </c>
      <c r="P1529">
        <v>0</v>
      </c>
      <c r="Q1529" t="s">
        <v>28</v>
      </c>
      <c r="R1529" t="s">
        <v>51</v>
      </c>
      <c r="S1529" t="s">
        <v>4360</v>
      </c>
      <c r="T1529" t="s">
        <v>4361</v>
      </c>
    </row>
    <row r="1530" spans="1:20" x14ac:dyDescent="0.25">
      <c r="A1530" t="s">
        <v>4362</v>
      </c>
      <c r="B1530" t="str">
        <f>"4263"</f>
        <v>4263</v>
      </c>
      <c r="C1530" t="str">
        <f>"285604263"</f>
        <v>285604263</v>
      </c>
      <c r="D1530" t="s">
        <v>1911</v>
      </c>
      <c r="E1530" t="s">
        <v>448</v>
      </c>
      <c r="F1530" t="s">
        <v>97</v>
      </c>
      <c r="G1530" s="1">
        <v>22509</v>
      </c>
      <c r="H1530" s="1">
        <v>41142</v>
      </c>
      <c r="I1530" t="str">
        <f>"30"</f>
        <v>30</v>
      </c>
      <c r="J1530" t="s">
        <v>50</v>
      </c>
      <c r="K1530" t="s">
        <v>25</v>
      </c>
      <c r="L1530" t="s">
        <v>26</v>
      </c>
      <c r="M1530" t="s">
        <v>27</v>
      </c>
      <c r="N1530" s="1">
        <v>18629</v>
      </c>
      <c r="O1530">
        <v>0</v>
      </c>
      <c r="P1530">
        <v>0</v>
      </c>
      <c r="Q1530" t="s">
        <v>37</v>
      </c>
      <c r="R1530" t="s">
        <v>51</v>
      </c>
      <c r="S1530" t="s">
        <v>795</v>
      </c>
      <c r="T1530" t="s">
        <v>796</v>
      </c>
    </row>
    <row r="1531" spans="1:20" x14ac:dyDescent="0.25">
      <c r="A1531" t="s">
        <v>4363</v>
      </c>
      <c r="B1531" t="str">
        <f>"8958"</f>
        <v>8958</v>
      </c>
      <c r="C1531" t="str">
        <f>"302468958"</f>
        <v>302468958</v>
      </c>
      <c r="D1531" t="s">
        <v>4364</v>
      </c>
      <c r="E1531" t="s">
        <v>304</v>
      </c>
      <c r="F1531" t="s">
        <v>438</v>
      </c>
      <c r="G1531" s="1">
        <v>18850</v>
      </c>
      <c r="H1531" s="1">
        <v>41141</v>
      </c>
      <c r="I1531" t="str">
        <f>"50"</f>
        <v>50</v>
      </c>
      <c r="J1531" t="s">
        <v>208</v>
      </c>
      <c r="K1531" t="s">
        <v>25</v>
      </c>
      <c r="L1531" t="s">
        <v>26</v>
      </c>
      <c r="M1531" t="s">
        <v>27</v>
      </c>
      <c r="N1531" s="1">
        <v>18629</v>
      </c>
      <c r="O1531">
        <v>0</v>
      </c>
      <c r="P1531">
        <v>0</v>
      </c>
      <c r="Q1531" t="s">
        <v>28</v>
      </c>
      <c r="R1531" t="s">
        <v>51</v>
      </c>
      <c r="S1531" t="s">
        <v>185</v>
      </c>
      <c r="T1531" t="s">
        <v>186</v>
      </c>
    </row>
    <row r="1532" spans="1:20" x14ac:dyDescent="0.25">
      <c r="A1532" t="s">
        <v>4365</v>
      </c>
      <c r="B1532" t="str">
        <f>"5441"</f>
        <v>5441</v>
      </c>
      <c r="C1532" t="str">
        <f>"283445441"</f>
        <v>283445441</v>
      </c>
      <c r="D1532" t="s">
        <v>4366</v>
      </c>
      <c r="E1532" t="s">
        <v>2364</v>
      </c>
      <c r="F1532" t="s">
        <v>219</v>
      </c>
      <c r="G1532" s="1">
        <v>17853</v>
      </c>
      <c r="H1532" s="1">
        <v>41141</v>
      </c>
      <c r="I1532" t="str">
        <f>"50"</f>
        <v>50</v>
      </c>
      <c r="J1532" t="s">
        <v>208</v>
      </c>
      <c r="K1532" t="s">
        <v>25</v>
      </c>
      <c r="L1532" t="s">
        <v>26</v>
      </c>
      <c r="M1532" t="s">
        <v>27</v>
      </c>
      <c r="N1532" s="1">
        <v>18629</v>
      </c>
      <c r="O1532">
        <v>0</v>
      </c>
      <c r="P1532">
        <v>0</v>
      </c>
      <c r="Q1532" t="s">
        <v>37</v>
      </c>
      <c r="R1532" t="s">
        <v>29</v>
      </c>
      <c r="S1532" t="s">
        <v>185</v>
      </c>
      <c r="T1532" t="s">
        <v>186</v>
      </c>
    </row>
    <row r="1533" spans="1:20" x14ac:dyDescent="0.25">
      <c r="A1533" t="s">
        <v>4367</v>
      </c>
      <c r="B1533" t="str">
        <f>"4511"</f>
        <v>4511</v>
      </c>
      <c r="C1533" t="str">
        <f>"153824511"</f>
        <v>153824511</v>
      </c>
      <c r="D1533" t="s">
        <v>4368</v>
      </c>
      <c r="E1533" t="s">
        <v>1666</v>
      </c>
      <c r="G1533" s="1">
        <v>29054</v>
      </c>
      <c r="H1533" s="1">
        <v>41141</v>
      </c>
      <c r="I1533" t="str">
        <f>"50"</f>
        <v>50</v>
      </c>
      <c r="J1533" t="s">
        <v>208</v>
      </c>
      <c r="K1533" t="s">
        <v>25</v>
      </c>
      <c r="L1533" t="s">
        <v>26</v>
      </c>
      <c r="M1533" t="s">
        <v>27</v>
      </c>
      <c r="N1533" s="1">
        <v>18629</v>
      </c>
      <c r="O1533">
        <v>0</v>
      </c>
      <c r="P1533">
        <v>0</v>
      </c>
      <c r="Q1533" t="s">
        <v>37</v>
      </c>
      <c r="R1533" t="s">
        <v>29</v>
      </c>
      <c r="S1533" t="s">
        <v>185</v>
      </c>
      <c r="T1533" t="s">
        <v>186</v>
      </c>
    </row>
    <row r="1534" spans="1:20" x14ac:dyDescent="0.25">
      <c r="A1534" t="s">
        <v>4369</v>
      </c>
      <c r="B1534" t="str">
        <f>"8761"</f>
        <v>8761</v>
      </c>
      <c r="C1534" t="str">
        <f>"283888761"</f>
        <v>283888761</v>
      </c>
      <c r="D1534" t="s">
        <v>4370</v>
      </c>
      <c r="E1534" t="s">
        <v>609</v>
      </c>
      <c r="F1534" t="s">
        <v>28</v>
      </c>
      <c r="G1534" s="1">
        <v>27394</v>
      </c>
      <c r="H1534" s="1">
        <v>41141</v>
      </c>
      <c r="I1534" t="str">
        <f>"30"</f>
        <v>30</v>
      </c>
      <c r="J1534" t="s">
        <v>50</v>
      </c>
      <c r="K1534" t="s">
        <v>25</v>
      </c>
      <c r="L1534" t="s">
        <v>26</v>
      </c>
      <c r="M1534" t="s">
        <v>27</v>
      </c>
      <c r="N1534" s="1">
        <v>18629</v>
      </c>
      <c r="O1534">
        <v>0</v>
      </c>
      <c r="P1534">
        <v>0</v>
      </c>
      <c r="Q1534" t="s">
        <v>28</v>
      </c>
      <c r="R1534" t="s">
        <v>29</v>
      </c>
      <c r="S1534" t="s">
        <v>589</v>
      </c>
      <c r="T1534" t="s">
        <v>590</v>
      </c>
    </row>
    <row r="1535" spans="1:20" x14ac:dyDescent="0.25">
      <c r="A1535" t="s">
        <v>4371</v>
      </c>
      <c r="B1535" t="str">
        <f>"6315"</f>
        <v>6315</v>
      </c>
      <c r="C1535" t="str">
        <f>"271606315"</f>
        <v>271606315</v>
      </c>
      <c r="D1535" t="s">
        <v>4372</v>
      </c>
      <c r="E1535" t="s">
        <v>4373</v>
      </c>
      <c r="G1535" s="1">
        <v>21449</v>
      </c>
      <c r="H1535" s="1">
        <v>41141</v>
      </c>
      <c r="I1535" t="str">
        <f>"41"</f>
        <v>41</v>
      </c>
      <c r="J1535" t="s">
        <v>24</v>
      </c>
      <c r="K1535" t="s">
        <v>25</v>
      </c>
      <c r="L1535" t="s">
        <v>26</v>
      </c>
      <c r="M1535" t="s">
        <v>27</v>
      </c>
      <c r="N1535" s="1">
        <v>18629</v>
      </c>
      <c r="O1535">
        <v>0</v>
      </c>
      <c r="P1535">
        <v>0</v>
      </c>
      <c r="Q1535" t="s">
        <v>28</v>
      </c>
      <c r="R1535" t="s">
        <v>29</v>
      </c>
      <c r="S1535" t="s">
        <v>527</v>
      </c>
      <c r="T1535" t="s">
        <v>528</v>
      </c>
    </row>
    <row r="1536" spans="1:20" x14ac:dyDescent="0.25">
      <c r="A1536" t="s">
        <v>4374</v>
      </c>
      <c r="B1536" t="str">
        <f>"9198"</f>
        <v>9198</v>
      </c>
      <c r="C1536" t="str">
        <f>"272689198"</f>
        <v>272689198</v>
      </c>
      <c r="D1536" t="s">
        <v>2988</v>
      </c>
      <c r="E1536" t="s">
        <v>4375</v>
      </c>
      <c r="F1536" t="s">
        <v>44</v>
      </c>
      <c r="G1536" s="1">
        <v>23189</v>
      </c>
      <c r="H1536" s="1">
        <v>41141</v>
      </c>
      <c r="I1536" t="str">
        <f>"30"</f>
        <v>30</v>
      </c>
      <c r="J1536" t="s">
        <v>50</v>
      </c>
      <c r="K1536" t="s">
        <v>25</v>
      </c>
      <c r="L1536" t="s">
        <v>26</v>
      </c>
      <c r="M1536" t="s">
        <v>27</v>
      </c>
      <c r="N1536" s="1">
        <v>18629</v>
      </c>
      <c r="O1536">
        <v>0</v>
      </c>
      <c r="P1536">
        <v>0</v>
      </c>
      <c r="Q1536" t="s">
        <v>37</v>
      </c>
      <c r="R1536" t="s">
        <v>29</v>
      </c>
      <c r="S1536" t="s">
        <v>3275</v>
      </c>
      <c r="T1536" t="s">
        <v>3276</v>
      </c>
    </row>
    <row r="1537" spans="1:20" x14ac:dyDescent="0.25">
      <c r="A1537" t="s">
        <v>4376</v>
      </c>
      <c r="B1537" t="str">
        <f>"3439"</f>
        <v>3439</v>
      </c>
      <c r="C1537" t="str">
        <f>"298803439"</f>
        <v>298803439</v>
      </c>
      <c r="D1537" t="s">
        <v>4377</v>
      </c>
      <c r="E1537" t="s">
        <v>106</v>
      </c>
      <c r="F1537" t="s">
        <v>264</v>
      </c>
      <c r="G1537" s="1">
        <v>25343</v>
      </c>
      <c r="H1537" s="1">
        <v>41136</v>
      </c>
      <c r="I1537" t="str">
        <f>"41"</f>
        <v>41</v>
      </c>
      <c r="J1537" t="s">
        <v>24</v>
      </c>
      <c r="K1537" t="s">
        <v>25</v>
      </c>
      <c r="L1537" t="s">
        <v>26</v>
      </c>
      <c r="M1537" t="s">
        <v>27</v>
      </c>
      <c r="N1537" s="1">
        <v>18629</v>
      </c>
      <c r="O1537">
        <v>0</v>
      </c>
      <c r="P1537">
        <v>0</v>
      </c>
      <c r="Q1537" t="s">
        <v>28</v>
      </c>
      <c r="R1537" t="s">
        <v>71</v>
      </c>
      <c r="S1537" t="s">
        <v>402</v>
      </c>
      <c r="T1537" t="s">
        <v>403</v>
      </c>
    </row>
    <row r="1538" spans="1:20" x14ac:dyDescent="0.25">
      <c r="A1538" t="s">
        <v>4378</v>
      </c>
      <c r="B1538" t="str">
        <f>"0390"</f>
        <v>0390</v>
      </c>
      <c r="C1538" t="str">
        <f>"273760390"</f>
        <v>273760390</v>
      </c>
      <c r="D1538" t="s">
        <v>4379</v>
      </c>
      <c r="E1538" t="s">
        <v>3646</v>
      </c>
      <c r="F1538" t="s">
        <v>93</v>
      </c>
      <c r="G1538" s="1">
        <v>26489</v>
      </c>
      <c r="H1538" s="1">
        <v>41134</v>
      </c>
      <c r="I1538" t="str">
        <f>"41"</f>
        <v>41</v>
      </c>
      <c r="J1538" t="s">
        <v>24</v>
      </c>
      <c r="K1538" t="s">
        <v>25</v>
      </c>
      <c r="L1538" t="s">
        <v>26</v>
      </c>
      <c r="M1538" t="s">
        <v>27</v>
      </c>
      <c r="N1538" s="1">
        <v>18629</v>
      </c>
      <c r="O1538">
        <v>0</v>
      </c>
      <c r="P1538">
        <v>0</v>
      </c>
      <c r="Q1538" t="s">
        <v>28</v>
      </c>
      <c r="R1538" t="s">
        <v>29</v>
      </c>
      <c r="S1538" t="s">
        <v>138</v>
      </c>
      <c r="T1538" t="s">
        <v>139</v>
      </c>
    </row>
    <row r="1539" spans="1:20" x14ac:dyDescent="0.25">
      <c r="A1539" t="s">
        <v>4380</v>
      </c>
      <c r="B1539" t="str">
        <f>"2697"</f>
        <v>2697</v>
      </c>
      <c r="C1539" t="str">
        <f>"291442697"</f>
        <v>291442697</v>
      </c>
      <c r="D1539" t="s">
        <v>4381</v>
      </c>
      <c r="E1539" t="s">
        <v>832</v>
      </c>
      <c r="F1539" t="s">
        <v>97</v>
      </c>
      <c r="G1539" s="1">
        <v>22673</v>
      </c>
      <c r="H1539" s="1">
        <v>41134</v>
      </c>
      <c r="I1539" t="str">
        <f>"51"</f>
        <v>51</v>
      </c>
      <c r="J1539" t="s">
        <v>471</v>
      </c>
      <c r="K1539" t="s">
        <v>25</v>
      </c>
      <c r="L1539" t="s">
        <v>26</v>
      </c>
      <c r="M1539" t="s">
        <v>27</v>
      </c>
      <c r="N1539" s="1">
        <v>18629</v>
      </c>
      <c r="O1539">
        <v>0</v>
      </c>
      <c r="P1539">
        <v>0</v>
      </c>
      <c r="Q1539" t="s">
        <v>28</v>
      </c>
      <c r="R1539" t="s">
        <v>71</v>
      </c>
      <c r="S1539" t="s">
        <v>1474</v>
      </c>
      <c r="T1539" t="s">
        <v>1475</v>
      </c>
    </row>
    <row r="1540" spans="1:20" x14ac:dyDescent="0.25">
      <c r="A1540" t="s">
        <v>4382</v>
      </c>
      <c r="B1540" t="str">
        <f>"1245"</f>
        <v>1245</v>
      </c>
      <c r="C1540" t="str">
        <f>"287131245"</f>
        <v>287131245</v>
      </c>
      <c r="D1540" t="s">
        <v>4383</v>
      </c>
      <c r="E1540" t="s">
        <v>4384</v>
      </c>
      <c r="G1540" s="1">
        <v>26738</v>
      </c>
      <c r="H1540" s="1">
        <v>41134</v>
      </c>
      <c r="I1540" t="str">
        <f>"20"</f>
        <v>20</v>
      </c>
      <c r="J1540" t="s">
        <v>123</v>
      </c>
      <c r="L1540" t="s">
        <v>37</v>
      </c>
      <c r="M1540" t="s">
        <v>143</v>
      </c>
      <c r="N1540" s="1">
        <v>41631</v>
      </c>
      <c r="O1540">
        <v>185.9</v>
      </c>
      <c r="P1540">
        <v>-185.9</v>
      </c>
      <c r="Q1540" t="s">
        <v>37</v>
      </c>
      <c r="R1540" t="s">
        <v>29</v>
      </c>
      <c r="S1540" t="s">
        <v>1555</v>
      </c>
      <c r="T1540" t="s">
        <v>1556</v>
      </c>
    </row>
    <row r="1541" spans="1:20" x14ac:dyDescent="0.25">
      <c r="A1541" t="s">
        <v>4385</v>
      </c>
      <c r="B1541" t="str">
        <f>"8006"</f>
        <v>8006</v>
      </c>
      <c r="C1541" t="str">
        <f>"642688006"</f>
        <v>642688006</v>
      </c>
      <c r="D1541" t="s">
        <v>4386</v>
      </c>
      <c r="E1541" t="s">
        <v>649</v>
      </c>
      <c r="G1541" s="1">
        <v>24188</v>
      </c>
      <c r="H1541" s="1">
        <v>41134</v>
      </c>
      <c r="I1541" t="str">
        <f>"20"</f>
        <v>20</v>
      </c>
      <c r="J1541" t="s">
        <v>123</v>
      </c>
      <c r="L1541" t="s">
        <v>37</v>
      </c>
      <c r="M1541" t="s">
        <v>143</v>
      </c>
      <c r="N1541" s="1">
        <v>41631</v>
      </c>
      <c r="O1541">
        <v>185.9</v>
      </c>
      <c r="P1541">
        <v>-185.9</v>
      </c>
      <c r="Q1541" t="s">
        <v>28</v>
      </c>
      <c r="R1541" t="s">
        <v>71</v>
      </c>
      <c r="S1541" t="s">
        <v>3191</v>
      </c>
      <c r="T1541" t="s">
        <v>3192</v>
      </c>
    </row>
    <row r="1542" spans="1:20" x14ac:dyDescent="0.25">
      <c r="A1542" t="s">
        <v>4387</v>
      </c>
      <c r="B1542" t="str">
        <f>"7003"</f>
        <v>7003</v>
      </c>
      <c r="C1542" t="str">
        <f>"302487003"</f>
        <v>302487003</v>
      </c>
      <c r="D1542" t="s">
        <v>4388</v>
      </c>
      <c r="E1542" t="s">
        <v>2824</v>
      </c>
      <c r="F1542" t="s">
        <v>44</v>
      </c>
      <c r="G1542" s="1">
        <v>18664</v>
      </c>
      <c r="H1542" s="1">
        <v>41129</v>
      </c>
      <c r="I1542" t="str">
        <f>"41"</f>
        <v>41</v>
      </c>
      <c r="J1542" t="s">
        <v>24</v>
      </c>
      <c r="K1542" t="s">
        <v>25</v>
      </c>
      <c r="L1542" t="s">
        <v>26</v>
      </c>
      <c r="M1542" t="s">
        <v>27</v>
      </c>
      <c r="N1542" s="1">
        <v>18629</v>
      </c>
      <c r="O1542">
        <v>0</v>
      </c>
      <c r="P1542">
        <v>0</v>
      </c>
      <c r="Q1542" t="s">
        <v>28</v>
      </c>
      <c r="R1542" t="s">
        <v>71</v>
      </c>
      <c r="S1542" t="s">
        <v>402</v>
      </c>
      <c r="T1542" t="s">
        <v>403</v>
      </c>
    </row>
    <row r="1543" spans="1:20" x14ac:dyDescent="0.25">
      <c r="A1543" t="s">
        <v>4389</v>
      </c>
      <c r="B1543" t="str">
        <f>"6328"</f>
        <v>6328</v>
      </c>
      <c r="C1543" t="str">
        <f>"287846328"</f>
        <v>287846328</v>
      </c>
      <c r="D1543" t="s">
        <v>4390</v>
      </c>
      <c r="E1543" t="s">
        <v>604</v>
      </c>
      <c r="F1543" t="s">
        <v>438</v>
      </c>
      <c r="G1543" s="1">
        <v>26385</v>
      </c>
      <c r="H1543" s="1">
        <v>41129</v>
      </c>
      <c r="I1543" t="str">
        <f>"30"</f>
        <v>30</v>
      </c>
      <c r="J1543" t="s">
        <v>50</v>
      </c>
      <c r="K1543" t="s">
        <v>25</v>
      </c>
      <c r="L1543" t="s">
        <v>26</v>
      </c>
      <c r="M1543" t="s">
        <v>27</v>
      </c>
      <c r="N1543" s="1">
        <v>18629</v>
      </c>
      <c r="O1543">
        <v>0</v>
      </c>
      <c r="P1543">
        <v>0</v>
      </c>
      <c r="Q1543" t="s">
        <v>37</v>
      </c>
      <c r="R1543" t="s">
        <v>51</v>
      </c>
      <c r="S1543" s="2" t="s">
        <v>52</v>
      </c>
      <c r="T1543" t="s">
        <v>53</v>
      </c>
    </row>
    <row r="1544" spans="1:20" x14ac:dyDescent="0.25">
      <c r="A1544" t="s">
        <v>4391</v>
      </c>
      <c r="B1544" t="str">
        <f>"5342"</f>
        <v>5342</v>
      </c>
      <c r="C1544" t="str">
        <f>"298625342"</f>
        <v>298625342</v>
      </c>
      <c r="D1544" t="s">
        <v>4392</v>
      </c>
      <c r="E1544" t="s">
        <v>56</v>
      </c>
      <c r="F1544" t="s">
        <v>219</v>
      </c>
      <c r="G1544" s="1">
        <v>21959</v>
      </c>
      <c r="H1544" s="1">
        <v>41127</v>
      </c>
      <c r="I1544" t="str">
        <f>"51"</f>
        <v>51</v>
      </c>
      <c r="J1544" t="s">
        <v>471</v>
      </c>
      <c r="K1544" t="s">
        <v>25</v>
      </c>
      <c r="L1544" t="s">
        <v>26</v>
      </c>
      <c r="M1544" t="s">
        <v>27</v>
      </c>
      <c r="N1544" s="1">
        <v>18629</v>
      </c>
      <c r="O1544">
        <v>0</v>
      </c>
      <c r="P1544">
        <v>0</v>
      </c>
      <c r="Q1544" t="s">
        <v>28</v>
      </c>
      <c r="R1544" t="s">
        <v>71</v>
      </c>
      <c r="S1544" t="s">
        <v>2190</v>
      </c>
      <c r="T1544" t="s">
        <v>2191</v>
      </c>
    </row>
    <row r="1545" spans="1:20" x14ac:dyDescent="0.25">
      <c r="A1545" t="s">
        <v>4393</v>
      </c>
      <c r="B1545" t="str">
        <f>"3617"</f>
        <v>3617</v>
      </c>
      <c r="C1545" t="str">
        <f>"278543617"</f>
        <v>278543617</v>
      </c>
      <c r="D1545" t="s">
        <v>4394</v>
      </c>
      <c r="E1545" t="s">
        <v>908</v>
      </c>
      <c r="G1545" s="1">
        <v>25265</v>
      </c>
      <c r="H1545" s="1">
        <v>41127</v>
      </c>
      <c r="I1545" t="str">
        <f>"52"</f>
        <v>52</v>
      </c>
      <c r="J1545" t="s">
        <v>330</v>
      </c>
      <c r="K1545" t="s">
        <v>25</v>
      </c>
      <c r="L1545" t="s">
        <v>26</v>
      </c>
      <c r="M1545" t="s">
        <v>27</v>
      </c>
      <c r="N1545" s="1">
        <v>18629</v>
      </c>
      <c r="O1545">
        <v>0</v>
      </c>
      <c r="P1545">
        <v>0</v>
      </c>
      <c r="Q1545" t="s">
        <v>28</v>
      </c>
      <c r="R1545" t="s">
        <v>258</v>
      </c>
      <c r="S1545" t="s">
        <v>960</v>
      </c>
      <c r="T1545" t="s">
        <v>314</v>
      </c>
    </row>
    <row r="1546" spans="1:20" x14ac:dyDescent="0.25">
      <c r="A1546" t="s">
        <v>4395</v>
      </c>
      <c r="B1546" t="str">
        <f>"0008"</f>
        <v>0008</v>
      </c>
      <c r="C1546" t="str">
        <f>"286860008"</f>
        <v>286860008</v>
      </c>
      <c r="D1546" t="s">
        <v>2093</v>
      </c>
      <c r="E1546" t="s">
        <v>3646</v>
      </c>
      <c r="F1546" t="s">
        <v>499</v>
      </c>
      <c r="G1546" s="1">
        <v>26444</v>
      </c>
      <c r="H1546" s="1">
        <v>41127</v>
      </c>
      <c r="I1546" t="str">
        <f>"20"</f>
        <v>20</v>
      </c>
      <c r="J1546" t="s">
        <v>123</v>
      </c>
      <c r="K1546" t="s">
        <v>98</v>
      </c>
      <c r="L1546" t="s">
        <v>37</v>
      </c>
      <c r="M1546" t="s">
        <v>117</v>
      </c>
      <c r="N1546" s="1">
        <v>41631</v>
      </c>
      <c r="O1546">
        <v>4951.9799999999996</v>
      </c>
      <c r="P1546">
        <v>1237.94</v>
      </c>
      <c r="Q1546" t="s">
        <v>28</v>
      </c>
      <c r="R1546" t="s">
        <v>29</v>
      </c>
      <c r="S1546" t="s">
        <v>589</v>
      </c>
      <c r="T1546" t="s">
        <v>590</v>
      </c>
    </row>
    <row r="1547" spans="1:20" x14ac:dyDescent="0.25">
      <c r="A1547" t="s">
        <v>4396</v>
      </c>
      <c r="B1547" t="str">
        <f>"9775"</f>
        <v>9775</v>
      </c>
      <c r="C1547" t="str">
        <f>"280849775"</f>
        <v>280849775</v>
      </c>
      <c r="D1547" t="s">
        <v>4397</v>
      </c>
      <c r="E1547" t="s">
        <v>4398</v>
      </c>
      <c r="F1547" t="s">
        <v>219</v>
      </c>
      <c r="G1547" s="1">
        <v>30837</v>
      </c>
      <c r="H1547" s="1">
        <v>41127</v>
      </c>
      <c r="I1547" t="str">
        <f>"51"</f>
        <v>51</v>
      </c>
      <c r="J1547" t="s">
        <v>471</v>
      </c>
      <c r="K1547" t="s">
        <v>25</v>
      </c>
      <c r="L1547" t="s">
        <v>26</v>
      </c>
      <c r="M1547" t="s">
        <v>27</v>
      </c>
      <c r="N1547" s="1">
        <v>18629</v>
      </c>
      <c r="O1547">
        <v>0</v>
      </c>
      <c r="P1547">
        <v>0</v>
      </c>
      <c r="Q1547" t="s">
        <v>28</v>
      </c>
      <c r="R1547" t="s">
        <v>71</v>
      </c>
      <c r="S1547" t="s">
        <v>808</v>
      </c>
      <c r="T1547" t="s">
        <v>809</v>
      </c>
    </row>
    <row r="1548" spans="1:20" x14ac:dyDescent="0.25">
      <c r="A1548" t="s">
        <v>4399</v>
      </c>
      <c r="B1548" t="str">
        <f>"6213"</f>
        <v>6213</v>
      </c>
      <c r="C1548" t="str">
        <f>"285726213"</f>
        <v>285726213</v>
      </c>
      <c r="D1548" t="s">
        <v>4400</v>
      </c>
      <c r="E1548" t="s">
        <v>2290</v>
      </c>
      <c r="F1548" t="s">
        <v>414</v>
      </c>
      <c r="G1548" s="1">
        <v>25867</v>
      </c>
      <c r="H1548" s="1">
        <v>41127</v>
      </c>
      <c r="I1548" t="str">
        <f>"20"</f>
        <v>20</v>
      </c>
      <c r="J1548" t="s">
        <v>123</v>
      </c>
      <c r="K1548" t="s">
        <v>98</v>
      </c>
      <c r="L1548" t="s">
        <v>37</v>
      </c>
      <c r="M1548" t="s">
        <v>117</v>
      </c>
      <c r="N1548" s="1">
        <v>41631</v>
      </c>
      <c r="O1548">
        <v>4951.9799999999996</v>
      </c>
      <c r="P1548">
        <v>1237.94</v>
      </c>
      <c r="Q1548" t="s">
        <v>28</v>
      </c>
      <c r="R1548" t="s">
        <v>71</v>
      </c>
      <c r="S1548" t="s">
        <v>3750</v>
      </c>
      <c r="T1548" t="s">
        <v>3751</v>
      </c>
    </row>
    <row r="1549" spans="1:20" x14ac:dyDescent="0.25">
      <c r="A1549" t="s">
        <v>4401</v>
      </c>
      <c r="B1549" t="str">
        <f>"5901"</f>
        <v>5901</v>
      </c>
      <c r="C1549" t="str">
        <f>"298445901"</f>
        <v>298445901</v>
      </c>
      <c r="D1549" t="s">
        <v>4402</v>
      </c>
      <c r="E1549" t="s">
        <v>1363</v>
      </c>
      <c r="G1549" s="1">
        <v>22255</v>
      </c>
      <c r="H1549" s="1">
        <v>41127</v>
      </c>
      <c r="I1549" t="str">
        <f>"20"</f>
        <v>20</v>
      </c>
      <c r="J1549" t="s">
        <v>123</v>
      </c>
      <c r="K1549" t="s">
        <v>98</v>
      </c>
      <c r="L1549" t="s">
        <v>37</v>
      </c>
      <c r="M1549" t="s">
        <v>117</v>
      </c>
      <c r="N1549" s="1">
        <v>41631</v>
      </c>
      <c r="O1549">
        <v>4951.9799999999996</v>
      </c>
      <c r="P1549">
        <v>1237.94</v>
      </c>
      <c r="Q1549" t="s">
        <v>37</v>
      </c>
      <c r="R1549" t="s">
        <v>51</v>
      </c>
      <c r="S1549" t="s">
        <v>717</v>
      </c>
      <c r="T1549" t="s">
        <v>718</v>
      </c>
    </row>
    <row r="1550" spans="1:20" x14ac:dyDescent="0.25">
      <c r="A1550" t="s">
        <v>4403</v>
      </c>
      <c r="B1550" t="str">
        <f>"6388"</f>
        <v>6388</v>
      </c>
      <c r="C1550" t="str">
        <f>"284646388"</f>
        <v>284646388</v>
      </c>
      <c r="D1550" t="s">
        <v>4404</v>
      </c>
      <c r="E1550" t="s">
        <v>682</v>
      </c>
      <c r="F1550" t="s">
        <v>219</v>
      </c>
      <c r="G1550" s="1">
        <v>22732</v>
      </c>
      <c r="H1550" s="1">
        <v>41127</v>
      </c>
      <c r="I1550" t="str">
        <f>"20"</f>
        <v>20</v>
      </c>
      <c r="J1550" t="s">
        <v>123</v>
      </c>
      <c r="K1550" t="s">
        <v>98</v>
      </c>
      <c r="L1550" t="s">
        <v>37</v>
      </c>
      <c r="M1550" t="s">
        <v>257</v>
      </c>
      <c r="N1550" s="1">
        <v>41631</v>
      </c>
      <c r="O1550">
        <v>10753.16</v>
      </c>
      <c r="P1550">
        <v>2688.4</v>
      </c>
      <c r="Q1550" t="s">
        <v>37</v>
      </c>
      <c r="R1550" t="s">
        <v>71</v>
      </c>
      <c r="S1550" t="s">
        <v>1517</v>
      </c>
      <c r="T1550" t="s">
        <v>1518</v>
      </c>
    </row>
    <row r="1551" spans="1:20" x14ac:dyDescent="0.25">
      <c r="A1551" t="s">
        <v>4405</v>
      </c>
      <c r="B1551" t="str">
        <f>"9177"</f>
        <v>9177</v>
      </c>
      <c r="C1551" t="str">
        <f>"289569177"</f>
        <v>289569177</v>
      </c>
      <c r="D1551" t="s">
        <v>4406</v>
      </c>
      <c r="E1551" t="s">
        <v>4407</v>
      </c>
      <c r="F1551" t="s">
        <v>438</v>
      </c>
      <c r="G1551" s="1">
        <v>25738</v>
      </c>
      <c r="H1551" s="1">
        <v>41127</v>
      </c>
      <c r="I1551" t="str">
        <f>"51"</f>
        <v>51</v>
      </c>
      <c r="J1551" t="s">
        <v>471</v>
      </c>
      <c r="K1551" t="s">
        <v>25</v>
      </c>
      <c r="L1551" t="s">
        <v>26</v>
      </c>
      <c r="M1551" t="s">
        <v>27</v>
      </c>
      <c r="N1551" s="1">
        <v>18629</v>
      </c>
      <c r="O1551">
        <v>0</v>
      </c>
      <c r="P1551">
        <v>0</v>
      </c>
      <c r="Q1551" t="s">
        <v>37</v>
      </c>
      <c r="R1551" t="s">
        <v>71</v>
      </c>
      <c r="S1551" t="s">
        <v>157</v>
      </c>
      <c r="T1551" t="s">
        <v>158</v>
      </c>
    </row>
    <row r="1552" spans="1:20" x14ac:dyDescent="0.25">
      <c r="A1552" t="s">
        <v>4408</v>
      </c>
      <c r="B1552" t="str">
        <f>"2837"</f>
        <v>2837</v>
      </c>
      <c r="C1552" t="str">
        <f>"274442837"</f>
        <v>274442837</v>
      </c>
      <c r="D1552" t="s">
        <v>4409</v>
      </c>
      <c r="E1552" t="s">
        <v>4410</v>
      </c>
      <c r="F1552" t="s">
        <v>44</v>
      </c>
      <c r="G1552" s="1">
        <v>16959</v>
      </c>
      <c r="H1552" s="1">
        <v>41127</v>
      </c>
      <c r="I1552" t="str">
        <f>"20"</f>
        <v>20</v>
      </c>
      <c r="J1552" t="s">
        <v>123</v>
      </c>
      <c r="L1552" t="s">
        <v>37</v>
      </c>
      <c r="M1552" t="s">
        <v>143</v>
      </c>
      <c r="N1552" s="1">
        <v>41631</v>
      </c>
      <c r="O1552">
        <v>185.9</v>
      </c>
      <c r="P1552">
        <v>-185.9</v>
      </c>
      <c r="Q1552" t="s">
        <v>28</v>
      </c>
      <c r="R1552" t="s">
        <v>29</v>
      </c>
      <c r="S1552" t="s">
        <v>1494</v>
      </c>
      <c r="T1552" t="s">
        <v>1495</v>
      </c>
    </row>
    <row r="1553" spans="1:20" x14ac:dyDescent="0.25">
      <c r="A1553" t="s">
        <v>4411</v>
      </c>
      <c r="B1553" t="str">
        <f>"9202"</f>
        <v>9202</v>
      </c>
      <c r="C1553" t="str">
        <f>"290769202"</f>
        <v>290769202</v>
      </c>
      <c r="D1553" t="s">
        <v>4412</v>
      </c>
      <c r="E1553" t="s">
        <v>1666</v>
      </c>
      <c r="F1553" t="s">
        <v>69</v>
      </c>
      <c r="G1553" s="1">
        <v>29552</v>
      </c>
      <c r="H1553" s="1">
        <v>41127</v>
      </c>
      <c r="I1553" t="str">
        <f>"03"</f>
        <v>03</v>
      </c>
      <c r="J1553" t="s">
        <v>70</v>
      </c>
      <c r="K1553" t="s">
        <v>510</v>
      </c>
      <c r="L1553" t="s">
        <v>37</v>
      </c>
      <c r="M1553" t="s">
        <v>117</v>
      </c>
      <c r="N1553" s="1">
        <v>41617</v>
      </c>
      <c r="O1553">
        <v>6477.12</v>
      </c>
      <c r="P1553">
        <v>1619.28</v>
      </c>
      <c r="Q1553" t="s">
        <v>37</v>
      </c>
      <c r="R1553" t="s">
        <v>29</v>
      </c>
      <c r="S1553" t="s">
        <v>138</v>
      </c>
      <c r="T1553" t="s">
        <v>139</v>
      </c>
    </row>
    <row r="1554" spans="1:20" x14ac:dyDescent="0.25">
      <c r="A1554" t="s">
        <v>4413</v>
      </c>
      <c r="B1554" t="str">
        <f>"9993"</f>
        <v>9993</v>
      </c>
      <c r="C1554" t="str">
        <f>"294549993"</f>
        <v>294549993</v>
      </c>
      <c r="D1554" t="s">
        <v>4414</v>
      </c>
      <c r="E1554" t="s">
        <v>1412</v>
      </c>
      <c r="F1554" t="s">
        <v>93</v>
      </c>
      <c r="G1554" s="1">
        <v>20689</v>
      </c>
      <c r="H1554" s="1">
        <v>41127</v>
      </c>
      <c r="I1554" t="str">
        <f>"20"</f>
        <v>20</v>
      </c>
      <c r="J1554" t="s">
        <v>123</v>
      </c>
      <c r="L1554" t="s">
        <v>37</v>
      </c>
      <c r="M1554" t="s">
        <v>143</v>
      </c>
      <c r="N1554" s="1">
        <v>41631</v>
      </c>
      <c r="O1554">
        <v>185.9</v>
      </c>
      <c r="P1554">
        <v>-185.9</v>
      </c>
      <c r="Q1554" t="s">
        <v>28</v>
      </c>
      <c r="R1554" t="s">
        <v>71</v>
      </c>
      <c r="S1554" t="s">
        <v>2458</v>
      </c>
      <c r="T1554" t="s">
        <v>2459</v>
      </c>
    </row>
    <row r="1555" spans="1:20" x14ac:dyDescent="0.25">
      <c r="A1555" t="s">
        <v>4415</v>
      </c>
      <c r="B1555" t="str">
        <f>"7785"</f>
        <v>7785</v>
      </c>
      <c r="C1555" t="str">
        <f>"482027785"</f>
        <v>482027785</v>
      </c>
      <c r="D1555" t="s">
        <v>4416</v>
      </c>
      <c r="E1555" t="s">
        <v>1841</v>
      </c>
      <c r="F1555" t="s">
        <v>69</v>
      </c>
      <c r="G1555" s="1">
        <v>29877</v>
      </c>
      <c r="H1555" s="1">
        <v>41127</v>
      </c>
      <c r="I1555" t="str">
        <f>"20"</f>
        <v>20</v>
      </c>
      <c r="J1555" t="s">
        <v>123</v>
      </c>
      <c r="K1555" t="s">
        <v>98</v>
      </c>
      <c r="L1555" t="s">
        <v>37</v>
      </c>
      <c r="M1555" t="s">
        <v>257</v>
      </c>
      <c r="N1555" s="1">
        <v>41659</v>
      </c>
      <c r="O1555">
        <v>10753.16</v>
      </c>
      <c r="P1555">
        <v>2688.4</v>
      </c>
      <c r="Q1555" t="s">
        <v>37</v>
      </c>
      <c r="R1555" t="s">
        <v>29</v>
      </c>
      <c r="S1555" t="s">
        <v>2736</v>
      </c>
      <c r="T1555" t="s">
        <v>2737</v>
      </c>
    </row>
    <row r="1556" spans="1:20" x14ac:dyDescent="0.25">
      <c r="A1556" t="s">
        <v>4417</v>
      </c>
      <c r="B1556" t="str">
        <f>"3454"</f>
        <v>3454</v>
      </c>
      <c r="C1556" t="str">
        <f>"284723454"</f>
        <v>284723454</v>
      </c>
      <c r="D1556" t="s">
        <v>4418</v>
      </c>
      <c r="E1556" t="s">
        <v>179</v>
      </c>
      <c r="F1556" t="s">
        <v>414</v>
      </c>
      <c r="G1556" s="1">
        <v>28084</v>
      </c>
      <c r="H1556" s="1">
        <v>41127</v>
      </c>
      <c r="I1556" t="str">
        <f>"51"</f>
        <v>51</v>
      </c>
      <c r="J1556" t="s">
        <v>471</v>
      </c>
      <c r="K1556" t="s">
        <v>25</v>
      </c>
      <c r="L1556" t="s">
        <v>26</v>
      </c>
      <c r="M1556" t="s">
        <v>27</v>
      </c>
      <c r="N1556" s="1">
        <v>18629</v>
      </c>
      <c r="O1556">
        <v>0</v>
      </c>
      <c r="P1556">
        <v>0</v>
      </c>
      <c r="Q1556" t="s">
        <v>28</v>
      </c>
      <c r="R1556" t="s">
        <v>71</v>
      </c>
      <c r="S1556" t="s">
        <v>1474</v>
      </c>
      <c r="T1556" t="s">
        <v>1475</v>
      </c>
    </row>
    <row r="1557" spans="1:20" x14ac:dyDescent="0.25">
      <c r="A1557" t="s">
        <v>4419</v>
      </c>
      <c r="B1557" t="str">
        <f>"4584"</f>
        <v>4584</v>
      </c>
      <c r="C1557" t="str">
        <f>"284884584"</f>
        <v>284884584</v>
      </c>
      <c r="D1557" t="s">
        <v>4420</v>
      </c>
      <c r="E1557" t="s">
        <v>231</v>
      </c>
      <c r="F1557" t="s">
        <v>93</v>
      </c>
      <c r="G1557" s="1">
        <v>29652</v>
      </c>
      <c r="H1557" s="1">
        <v>41127</v>
      </c>
      <c r="I1557" t="str">
        <f>"05"</f>
        <v>05</v>
      </c>
      <c r="J1557" t="s">
        <v>58</v>
      </c>
      <c r="K1557" t="s">
        <v>175</v>
      </c>
      <c r="L1557" t="s">
        <v>37</v>
      </c>
      <c r="M1557" t="s">
        <v>257</v>
      </c>
      <c r="N1557" s="1">
        <v>41617</v>
      </c>
      <c r="O1557">
        <v>11847.94</v>
      </c>
      <c r="P1557">
        <v>2961.92</v>
      </c>
      <c r="Q1557" t="s">
        <v>37</v>
      </c>
      <c r="R1557" t="s">
        <v>71</v>
      </c>
      <c r="S1557" t="s">
        <v>660</v>
      </c>
      <c r="T1557" t="s">
        <v>661</v>
      </c>
    </row>
    <row r="1558" spans="1:20" x14ac:dyDescent="0.25">
      <c r="A1558" t="s">
        <v>4421</v>
      </c>
      <c r="B1558" t="str">
        <f>"9837"</f>
        <v>9837</v>
      </c>
      <c r="C1558" t="str">
        <f>"300749837"</f>
        <v>300749837</v>
      </c>
      <c r="D1558" t="s">
        <v>1341</v>
      </c>
      <c r="E1558" t="s">
        <v>2290</v>
      </c>
      <c r="F1558" t="s">
        <v>264</v>
      </c>
      <c r="G1558" s="1">
        <v>28616</v>
      </c>
      <c r="H1558" s="1">
        <v>41127</v>
      </c>
      <c r="I1558" t="str">
        <f>"05"</f>
        <v>05</v>
      </c>
      <c r="J1558" t="s">
        <v>58</v>
      </c>
      <c r="K1558" t="s">
        <v>98</v>
      </c>
      <c r="L1558" t="s">
        <v>37</v>
      </c>
      <c r="M1558" t="s">
        <v>99</v>
      </c>
      <c r="N1558" s="1">
        <v>41617</v>
      </c>
      <c r="O1558">
        <v>14801.8</v>
      </c>
      <c r="P1558">
        <v>3700.32</v>
      </c>
      <c r="Q1558" t="s">
        <v>28</v>
      </c>
      <c r="R1558" t="s">
        <v>38</v>
      </c>
      <c r="S1558" t="s">
        <v>913</v>
      </c>
      <c r="T1558" t="s">
        <v>914</v>
      </c>
    </row>
    <row r="1559" spans="1:20" x14ac:dyDescent="0.25">
      <c r="A1559" t="s">
        <v>4422</v>
      </c>
      <c r="B1559" t="str">
        <f>"3797"</f>
        <v>3797</v>
      </c>
      <c r="C1559" t="str">
        <f>"299703797"</f>
        <v>299703797</v>
      </c>
      <c r="D1559" t="s">
        <v>4423</v>
      </c>
      <c r="E1559" t="s">
        <v>308</v>
      </c>
      <c r="F1559" t="s">
        <v>28</v>
      </c>
      <c r="G1559" s="1">
        <v>27735</v>
      </c>
      <c r="H1559" s="1">
        <v>41127</v>
      </c>
      <c r="I1559" t="str">
        <f>"01"</f>
        <v>01</v>
      </c>
      <c r="J1559" t="s">
        <v>116</v>
      </c>
      <c r="K1559" t="s">
        <v>98</v>
      </c>
      <c r="L1559" t="s">
        <v>37</v>
      </c>
      <c r="M1559" t="s">
        <v>99</v>
      </c>
      <c r="N1559" s="1">
        <v>41617</v>
      </c>
      <c r="O1559">
        <v>14801.8</v>
      </c>
      <c r="P1559">
        <v>3700.32</v>
      </c>
      <c r="Q1559" t="s">
        <v>37</v>
      </c>
      <c r="R1559" t="s">
        <v>29</v>
      </c>
      <c r="S1559" t="s">
        <v>3444</v>
      </c>
      <c r="T1559" t="s">
        <v>3445</v>
      </c>
    </row>
    <row r="1560" spans="1:20" x14ac:dyDescent="0.25">
      <c r="A1560" t="s">
        <v>4424</v>
      </c>
      <c r="B1560" t="str">
        <f>"5443"</f>
        <v>5443</v>
      </c>
      <c r="C1560" t="str">
        <f>"431495443"</f>
        <v>431495443</v>
      </c>
      <c r="D1560" t="s">
        <v>824</v>
      </c>
      <c r="E1560" t="s">
        <v>3163</v>
      </c>
      <c r="G1560" s="1">
        <v>28735</v>
      </c>
      <c r="H1560" s="1">
        <v>41127</v>
      </c>
      <c r="I1560" t="str">
        <f>"05"</f>
        <v>05</v>
      </c>
      <c r="J1560" t="s">
        <v>58</v>
      </c>
      <c r="K1560" t="s">
        <v>98</v>
      </c>
      <c r="L1560" t="s">
        <v>37</v>
      </c>
      <c r="M1560" t="s">
        <v>117</v>
      </c>
      <c r="N1560" s="1">
        <v>41617</v>
      </c>
      <c r="O1560">
        <v>4951.96</v>
      </c>
      <c r="P1560">
        <v>1237.8599999999999</v>
      </c>
      <c r="Q1560" t="s">
        <v>37</v>
      </c>
      <c r="R1560" t="s">
        <v>29</v>
      </c>
      <c r="S1560" t="s">
        <v>3275</v>
      </c>
      <c r="T1560" t="s">
        <v>3276</v>
      </c>
    </row>
    <row r="1561" spans="1:20" x14ac:dyDescent="0.25">
      <c r="A1561" t="s">
        <v>4425</v>
      </c>
      <c r="B1561" t="str">
        <f>"1980"</f>
        <v>1980</v>
      </c>
      <c r="C1561" t="str">
        <f>"129601980"</f>
        <v>129601980</v>
      </c>
      <c r="D1561" t="s">
        <v>2275</v>
      </c>
      <c r="E1561" t="s">
        <v>1172</v>
      </c>
      <c r="F1561" t="s">
        <v>329</v>
      </c>
      <c r="G1561" s="1">
        <v>23387</v>
      </c>
      <c r="H1561" s="1">
        <v>41127</v>
      </c>
      <c r="I1561" t="str">
        <f>"20"</f>
        <v>20</v>
      </c>
      <c r="J1561" t="s">
        <v>123</v>
      </c>
      <c r="K1561" t="s">
        <v>98</v>
      </c>
      <c r="L1561" t="s">
        <v>37</v>
      </c>
      <c r="M1561" t="s">
        <v>117</v>
      </c>
      <c r="N1561" s="1">
        <v>41631</v>
      </c>
      <c r="O1561">
        <v>4951.9799999999996</v>
      </c>
      <c r="P1561">
        <v>1237.94</v>
      </c>
      <c r="Q1561" t="s">
        <v>28</v>
      </c>
      <c r="R1561" t="s">
        <v>51</v>
      </c>
      <c r="S1561" s="2" t="s">
        <v>3730</v>
      </c>
      <c r="T1561" t="s">
        <v>3731</v>
      </c>
    </row>
    <row r="1562" spans="1:20" x14ac:dyDescent="0.25">
      <c r="A1562" t="s">
        <v>4426</v>
      </c>
      <c r="B1562" t="str">
        <f>"5298"</f>
        <v>5298</v>
      </c>
      <c r="C1562" t="str">
        <f>"290885298"</f>
        <v>290885298</v>
      </c>
      <c r="D1562" t="s">
        <v>4427</v>
      </c>
      <c r="E1562" t="s">
        <v>4428</v>
      </c>
      <c r="F1562" t="s">
        <v>44</v>
      </c>
      <c r="G1562" s="1">
        <v>29171</v>
      </c>
      <c r="H1562" s="1">
        <v>41127</v>
      </c>
      <c r="I1562" t="str">
        <f>"20"</f>
        <v>20</v>
      </c>
      <c r="J1562" t="s">
        <v>123</v>
      </c>
      <c r="K1562" t="s">
        <v>98</v>
      </c>
      <c r="L1562" t="s">
        <v>37</v>
      </c>
      <c r="M1562" t="s">
        <v>99</v>
      </c>
      <c r="N1562" s="1">
        <v>41729</v>
      </c>
      <c r="O1562">
        <v>14801.82</v>
      </c>
      <c r="P1562">
        <v>3700.4</v>
      </c>
      <c r="Q1562" t="s">
        <v>37</v>
      </c>
      <c r="R1562" t="s">
        <v>29</v>
      </c>
      <c r="S1562" t="s">
        <v>1572</v>
      </c>
      <c r="T1562" t="s">
        <v>1573</v>
      </c>
    </row>
    <row r="1563" spans="1:20" x14ac:dyDescent="0.25">
      <c r="A1563" t="s">
        <v>4429</v>
      </c>
      <c r="B1563" t="str">
        <f>"2526"</f>
        <v>2526</v>
      </c>
      <c r="C1563" t="str">
        <f>"273762526"</f>
        <v>273762526</v>
      </c>
      <c r="D1563" t="s">
        <v>845</v>
      </c>
      <c r="E1563" t="s">
        <v>213</v>
      </c>
      <c r="F1563" t="s">
        <v>414</v>
      </c>
      <c r="G1563" s="1">
        <v>28064</v>
      </c>
      <c r="H1563" s="1">
        <v>41127</v>
      </c>
      <c r="I1563" t="str">
        <f>"20"</f>
        <v>20</v>
      </c>
      <c r="J1563" t="s">
        <v>123</v>
      </c>
      <c r="K1563" t="s">
        <v>98</v>
      </c>
      <c r="L1563" t="s">
        <v>37</v>
      </c>
      <c r="M1563" t="s">
        <v>117</v>
      </c>
      <c r="N1563" s="1">
        <v>41631</v>
      </c>
      <c r="O1563">
        <v>4951.9799999999996</v>
      </c>
      <c r="P1563">
        <v>1237.94</v>
      </c>
      <c r="Q1563" t="s">
        <v>28</v>
      </c>
      <c r="R1563" t="s">
        <v>71</v>
      </c>
      <c r="S1563" t="s">
        <v>157</v>
      </c>
      <c r="T1563" t="s">
        <v>158</v>
      </c>
    </row>
    <row r="1564" spans="1:20" x14ac:dyDescent="0.25">
      <c r="A1564" t="s">
        <v>4430</v>
      </c>
      <c r="B1564" t="str">
        <f>"4645"</f>
        <v>4645</v>
      </c>
      <c r="C1564" t="str">
        <f>"289844645"</f>
        <v>289844645</v>
      </c>
      <c r="D1564" t="s">
        <v>4431</v>
      </c>
      <c r="E1564" t="s">
        <v>4398</v>
      </c>
      <c r="F1564" t="s">
        <v>69</v>
      </c>
      <c r="G1564" s="1">
        <v>25371</v>
      </c>
      <c r="H1564" s="1">
        <v>41127</v>
      </c>
      <c r="I1564" t="str">
        <f>"20"</f>
        <v>20</v>
      </c>
      <c r="J1564" t="s">
        <v>123</v>
      </c>
      <c r="K1564" t="s">
        <v>98</v>
      </c>
      <c r="L1564" t="s">
        <v>37</v>
      </c>
      <c r="M1564" t="s">
        <v>99</v>
      </c>
      <c r="N1564" s="1">
        <v>41631</v>
      </c>
      <c r="O1564">
        <v>14801.82</v>
      </c>
      <c r="P1564">
        <v>3700.4</v>
      </c>
      <c r="Q1564" t="s">
        <v>28</v>
      </c>
      <c r="R1564" t="s">
        <v>71</v>
      </c>
      <c r="S1564" t="s">
        <v>157</v>
      </c>
      <c r="T1564" t="s">
        <v>158</v>
      </c>
    </row>
    <row r="1565" spans="1:20" x14ac:dyDescent="0.25">
      <c r="A1565" t="s">
        <v>4432</v>
      </c>
      <c r="B1565" t="str">
        <f>"9761"</f>
        <v>9761</v>
      </c>
      <c r="C1565" t="str">
        <f>"285789761"</f>
        <v>285789761</v>
      </c>
      <c r="D1565" t="s">
        <v>4433</v>
      </c>
      <c r="E1565" t="s">
        <v>344</v>
      </c>
      <c r="F1565" t="s">
        <v>165</v>
      </c>
      <c r="G1565" s="1">
        <v>27695</v>
      </c>
      <c r="H1565" s="1">
        <v>41127</v>
      </c>
      <c r="I1565" t="str">
        <f>"51"</f>
        <v>51</v>
      </c>
      <c r="J1565" t="s">
        <v>471</v>
      </c>
      <c r="K1565" t="s">
        <v>25</v>
      </c>
      <c r="L1565" t="s">
        <v>26</v>
      </c>
      <c r="M1565" t="s">
        <v>27</v>
      </c>
      <c r="N1565" s="1">
        <v>18629</v>
      </c>
      <c r="O1565">
        <v>0</v>
      </c>
      <c r="P1565">
        <v>0</v>
      </c>
      <c r="Q1565" t="s">
        <v>37</v>
      </c>
      <c r="R1565" t="s">
        <v>29</v>
      </c>
      <c r="S1565" t="s">
        <v>191</v>
      </c>
      <c r="T1565" t="s">
        <v>192</v>
      </c>
    </row>
    <row r="1566" spans="1:20" x14ac:dyDescent="0.25">
      <c r="A1566" t="s">
        <v>4434</v>
      </c>
      <c r="B1566" t="str">
        <f>"9067"</f>
        <v>9067</v>
      </c>
      <c r="C1566" t="str">
        <f>"268749067"</f>
        <v>268749067</v>
      </c>
      <c r="D1566" t="s">
        <v>4435</v>
      </c>
      <c r="E1566" t="s">
        <v>430</v>
      </c>
      <c r="F1566" t="s">
        <v>93</v>
      </c>
      <c r="G1566" s="1">
        <v>26833</v>
      </c>
      <c r="H1566" s="1">
        <v>41127</v>
      </c>
      <c r="I1566" t="str">
        <f>"20"</f>
        <v>20</v>
      </c>
      <c r="J1566" t="s">
        <v>123</v>
      </c>
      <c r="K1566" t="s">
        <v>98</v>
      </c>
      <c r="L1566" t="s">
        <v>37</v>
      </c>
      <c r="M1566" t="s">
        <v>117</v>
      </c>
      <c r="N1566" s="1">
        <v>41631</v>
      </c>
      <c r="O1566">
        <v>4951.9799999999996</v>
      </c>
      <c r="P1566">
        <v>1237.94</v>
      </c>
      <c r="Q1566" t="s">
        <v>28</v>
      </c>
      <c r="R1566" t="s">
        <v>71</v>
      </c>
      <c r="S1566" t="s">
        <v>2458</v>
      </c>
      <c r="T1566" t="s">
        <v>2459</v>
      </c>
    </row>
    <row r="1567" spans="1:20" x14ac:dyDescent="0.25">
      <c r="A1567" t="s">
        <v>4436</v>
      </c>
      <c r="B1567" t="str">
        <f>"2334"</f>
        <v>2334</v>
      </c>
      <c r="C1567" t="str">
        <f>"274602334"</f>
        <v>274602334</v>
      </c>
      <c r="D1567" t="s">
        <v>114</v>
      </c>
      <c r="E1567" t="s">
        <v>2617</v>
      </c>
      <c r="F1567" t="s">
        <v>93</v>
      </c>
      <c r="G1567" s="1">
        <v>22955</v>
      </c>
      <c r="H1567" s="1">
        <v>41127</v>
      </c>
      <c r="I1567" t="str">
        <f>"20"</f>
        <v>20</v>
      </c>
      <c r="J1567" t="s">
        <v>123</v>
      </c>
      <c r="K1567" t="s">
        <v>510</v>
      </c>
      <c r="L1567" t="s">
        <v>37</v>
      </c>
      <c r="M1567" t="s">
        <v>257</v>
      </c>
      <c r="N1567" s="1">
        <v>41631</v>
      </c>
      <c r="O1567">
        <v>14110.8</v>
      </c>
      <c r="P1567">
        <v>3527.7</v>
      </c>
      <c r="Q1567" t="s">
        <v>28</v>
      </c>
      <c r="R1567" t="s">
        <v>346</v>
      </c>
      <c r="S1567" t="s">
        <v>130</v>
      </c>
      <c r="T1567" t="s">
        <v>131</v>
      </c>
    </row>
    <row r="1568" spans="1:20" x14ac:dyDescent="0.25">
      <c r="A1568" t="s">
        <v>4437</v>
      </c>
      <c r="B1568" t="str">
        <f>"4815"</f>
        <v>4815</v>
      </c>
      <c r="C1568" t="str">
        <f>"277604815"</f>
        <v>277604815</v>
      </c>
      <c r="D1568" t="s">
        <v>4438</v>
      </c>
      <c r="E1568" t="s">
        <v>3415</v>
      </c>
      <c r="F1568" t="s">
        <v>165</v>
      </c>
      <c r="G1568" s="1">
        <v>20572</v>
      </c>
      <c r="H1568" s="1">
        <v>41117</v>
      </c>
      <c r="I1568" t="str">
        <f>"01"</f>
        <v>01</v>
      </c>
      <c r="J1568" t="s">
        <v>116</v>
      </c>
      <c r="K1568" t="s">
        <v>98</v>
      </c>
      <c r="L1568" t="s">
        <v>37</v>
      </c>
      <c r="M1568" t="s">
        <v>117</v>
      </c>
      <c r="N1568" s="1">
        <v>41617</v>
      </c>
      <c r="O1568">
        <v>4951.96</v>
      </c>
      <c r="P1568">
        <v>1237.8599999999999</v>
      </c>
      <c r="Q1568" t="s">
        <v>28</v>
      </c>
      <c r="R1568" t="s">
        <v>110</v>
      </c>
      <c r="S1568" t="s">
        <v>4439</v>
      </c>
      <c r="T1568" t="s">
        <v>4440</v>
      </c>
    </row>
    <row r="1569" spans="1:20" x14ac:dyDescent="0.25">
      <c r="A1569" t="s">
        <v>4441</v>
      </c>
      <c r="B1569" t="str">
        <f>"3529"</f>
        <v>3529</v>
      </c>
      <c r="C1569" t="str">
        <f>"282483529"</f>
        <v>282483529</v>
      </c>
      <c r="D1569" t="s">
        <v>4442</v>
      </c>
      <c r="E1569" t="s">
        <v>753</v>
      </c>
      <c r="F1569" t="s">
        <v>190</v>
      </c>
      <c r="G1569" s="1">
        <v>18643</v>
      </c>
      <c r="H1569" s="1">
        <v>41117</v>
      </c>
      <c r="I1569" t="str">
        <f>"52"</f>
        <v>52</v>
      </c>
      <c r="J1569" t="s">
        <v>330</v>
      </c>
      <c r="K1569" t="s">
        <v>25</v>
      </c>
      <c r="L1569" t="s">
        <v>26</v>
      </c>
      <c r="M1569" t="s">
        <v>27</v>
      </c>
      <c r="N1569" s="1">
        <v>18629</v>
      </c>
      <c r="O1569">
        <v>0</v>
      </c>
      <c r="P1569">
        <v>0</v>
      </c>
      <c r="Q1569" t="s">
        <v>28</v>
      </c>
      <c r="R1569" t="s">
        <v>29</v>
      </c>
      <c r="S1569" s="2" t="s">
        <v>1148</v>
      </c>
      <c r="T1569" t="s">
        <v>1149</v>
      </c>
    </row>
    <row r="1570" spans="1:20" x14ac:dyDescent="0.25">
      <c r="A1570" t="s">
        <v>4443</v>
      </c>
      <c r="B1570" t="str">
        <f>"4437"</f>
        <v>4437</v>
      </c>
      <c r="C1570" t="str">
        <f>"272424437"</f>
        <v>272424437</v>
      </c>
      <c r="D1570" t="s">
        <v>4444</v>
      </c>
      <c r="E1570" t="s">
        <v>933</v>
      </c>
      <c r="F1570" t="s">
        <v>165</v>
      </c>
      <c r="G1570" s="1">
        <v>17227</v>
      </c>
      <c r="H1570" s="1">
        <v>41114</v>
      </c>
      <c r="I1570" t="str">
        <f>"51"</f>
        <v>51</v>
      </c>
      <c r="J1570" t="s">
        <v>471</v>
      </c>
      <c r="K1570" t="s">
        <v>25</v>
      </c>
      <c r="L1570" t="s">
        <v>26</v>
      </c>
      <c r="M1570" t="s">
        <v>27</v>
      </c>
      <c r="N1570" s="1">
        <v>18629</v>
      </c>
      <c r="O1570">
        <v>0</v>
      </c>
      <c r="P1570">
        <v>0</v>
      </c>
      <c r="Q1570" t="s">
        <v>28</v>
      </c>
      <c r="R1570" t="s">
        <v>258</v>
      </c>
      <c r="S1570" t="s">
        <v>533</v>
      </c>
      <c r="T1570" t="s">
        <v>534</v>
      </c>
    </row>
    <row r="1571" spans="1:20" x14ac:dyDescent="0.25">
      <c r="A1571" t="s">
        <v>4445</v>
      </c>
      <c r="B1571" t="str">
        <f>"6624"</f>
        <v>6624</v>
      </c>
      <c r="C1571" t="str">
        <f>"290546624"</f>
        <v>290546624</v>
      </c>
      <c r="D1571" t="s">
        <v>4446</v>
      </c>
      <c r="E1571" t="s">
        <v>137</v>
      </c>
      <c r="F1571" t="s">
        <v>165</v>
      </c>
      <c r="G1571" s="1">
        <v>20520</v>
      </c>
      <c r="H1571" s="1">
        <v>41113</v>
      </c>
      <c r="I1571" t="str">
        <f>"20"</f>
        <v>20</v>
      </c>
      <c r="J1571" t="s">
        <v>123</v>
      </c>
      <c r="L1571" t="s">
        <v>37</v>
      </c>
      <c r="M1571" t="s">
        <v>143</v>
      </c>
      <c r="N1571" s="1">
        <v>41631</v>
      </c>
      <c r="O1571">
        <v>185.9</v>
      </c>
      <c r="P1571">
        <v>-185.9</v>
      </c>
      <c r="Q1571" t="s">
        <v>37</v>
      </c>
      <c r="R1571" t="s">
        <v>29</v>
      </c>
      <c r="S1571" t="s">
        <v>191</v>
      </c>
      <c r="T1571" t="s">
        <v>192</v>
      </c>
    </row>
    <row r="1572" spans="1:20" x14ac:dyDescent="0.25">
      <c r="A1572" t="s">
        <v>4447</v>
      </c>
      <c r="B1572" t="str">
        <f>"0599"</f>
        <v>0599</v>
      </c>
      <c r="C1572" t="str">
        <f>"271920599"</f>
        <v>271920599</v>
      </c>
      <c r="D1572" t="s">
        <v>4448</v>
      </c>
      <c r="E1572" t="s">
        <v>4449</v>
      </c>
      <c r="F1572" t="s">
        <v>28</v>
      </c>
      <c r="G1572" s="1">
        <v>32934</v>
      </c>
      <c r="H1572" s="1">
        <v>41113</v>
      </c>
      <c r="I1572" t="str">
        <f>"52"</f>
        <v>52</v>
      </c>
      <c r="J1572" t="s">
        <v>330</v>
      </c>
      <c r="K1572" t="s">
        <v>25</v>
      </c>
      <c r="L1572" t="s">
        <v>26</v>
      </c>
      <c r="M1572" t="s">
        <v>27</v>
      </c>
      <c r="N1572" s="1">
        <v>18629</v>
      </c>
      <c r="O1572">
        <v>0</v>
      </c>
      <c r="P1572">
        <v>0</v>
      </c>
      <c r="Q1572" t="s">
        <v>37</v>
      </c>
      <c r="R1572" t="s">
        <v>29</v>
      </c>
      <c r="S1572" t="s">
        <v>4000</v>
      </c>
      <c r="T1572" t="s">
        <v>4001</v>
      </c>
    </row>
    <row r="1573" spans="1:20" x14ac:dyDescent="0.25">
      <c r="A1573" t="s">
        <v>4450</v>
      </c>
      <c r="B1573" t="str">
        <f>"7668"</f>
        <v>7668</v>
      </c>
      <c r="C1573" t="str">
        <f>"302907668"</f>
        <v>302907668</v>
      </c>
      <c r="D1573" t="s">
        <v>4451</v>
      </c>
      <c r="E1573" t="s">
        <v>4452</v>
      </c>
      <c r="F1573" t="s">
        <v>28</v>
      </c>
      <c r="G1573" s="1">
        <v>31516</v>
      </c>
      <c r="H1573" s="1">
        <v>41113</v>
      </c>
      <c r="I1573" t="str">
        <f>"34"</f>
        <v>34</v>
      </c>
      <c r="J1573" t="s">
        <v>388</v>
      </c>
      <c r="K1573" t="s">
        <v>25</v>
      </c>
      <c r="L1573" t="s">
        <v>26</v>
      </c>
      <c r="M1573" t="s">
        <v>27</v>
      </c>
      <c r="N1573" s="1">
        <v>18629</v>
      </c>
      <c r="O1573">
        <v>0</v>
      </c>
      <c r="P1573">
        <v>0</v>
      </c>
      <c r="Q1573" t="s">
        <v>37</v>
      </c>
      <c r="R1573" t="s">
        <v>51</v>
      </c>
      <c r="S1573" s="2" t="s">
        <v>1148</v>
      </c>
      <c r="T1573" t="s">
        <v>1149</v>
      </c>
    </row>
    <row r="1574" spans="1:20" x14ac:dyDescent="0.25">
      <c r="A1574" t="s">
        <v>4453</v>
      </c>
      <c r="B1574" t="str">
        <f>"0274"</f>
        <v>0274</v>
      </c>
      <c r="C1574" t="str">
        <f>"232900274"</f>
        <v>232900274</v>
      </c>
      <c r="D1574" t="s">
        <v>4454</v>
      </c>
      <c r="E1574" t="s">
        <v>381</v>
      </c>
      <c r="F1574" t="s">
        <v>93</v>
      </c>
      <c r="G1574" s="1">
        <v>20314</v>
      </c>
      <c r="H1574" s="1">
        <v>41113</v>
      </c>
      <c r="I1574" t="str">
        <f>"05"</f>
        <v>05</v>
      </c>
      <c r="J1574" t="s">
        <v>58</v>
      </c>
      <c r="L1574" t="s">
        <v>37</v>
      </c>
      <c r="M1574" t="s">
        <v>143</v>
      </c>
      <c r="N1574" s="1">
        <v>41617</v>
      </c>
      <c r="O1574">
        <v>185.9</v>
      </c>
      <c r="P1574">
        <v>-185.9</v>
      </c>
      <c r="Q1574" t="s">
        <v>37</v>
      </c>
      <c r="R1574" t="s">
        <v>71</v>
      </c>
      <c r="S1574" t="s">
        <v>271</v>
      </c>
      <c r="T1574" t="s">
        <v>272</v>
      </c>
    </row>
    <row r="1575" spans="1:20" x14ac:dyDescent="0.25">
      <c r="A1575" t="s">
        <v>4455</v>
      </c>
      <c r="B1575" t="str">
        <f>"5098"</f>
        <v>5098</v>
      </c>
      <c r="C1575" t="str">
        <f>"270705098"</f>
        <v>270705098</v>
      </c>
      <c r="D1575" t="s">
        <v>4456</v>
      </c>
      <c r="E1575" t="s">
        <v>682</v>
      </c>
      <c r="F1575" t="s">
        <v>44</v>
      </c>
      <c r="G1575" s="1">
        <v>23928</v>
      </c>
      <c r="H1575" s="1">
        <v>41113</v>
      </c>
      <c r="I1575" t="str">
        <f>"01"</f>
        <v>01</v>
      </c>
      <c r="J1575" t="s">
        <v>116</v>
      </c>
      <c r="K1575" t="s">
        <v>98</v>
      </c>
      <c r="L1575" t="s">
        <v>37</v>
      </c>
      <c r="M1575" t="s">
        <v>99</v>
      </c>
      <c r="N1575" s="1">
        <v>41617</v>
      </c>
      <c r="O1575">
        <v>14801.8</v>
      </c>
      <c r="P1575">
        <v>3700.32</v>
      </c>
      <c r="Q1575" t="s">
        <v>37</v>
      </c>
      <c r="R1575" t="s">
        <v>110</v>
      </c>
      <c r="S1575" t="s">
        <v>4457</v>
      </c>
      <c r="T1575" t="s">
        <v>4458</v>
      </c>
    </row>
    <row r="1576" spans="1:20" x14ac:dyDescent="0.25">
      <c r="A1576" t="s">
        <v>4459</v>
      </c>
      <c r="B1576" t="str">
        <f>"7349"</f>
        <v>7349</v>
      </c>
      <c r="C1576" t="str">
        <f>"274687349"</f>
        <v>274687349</v>
      </c>
      <c r="D1576" t="s">
        <v>4460</v>
      </c>
      <c r="E1576" t="s">
        <v>3059</v>
      </c>
      <c r="F1576" t="s">
        <v>93</v>
      </c>
      <c r="G1576" s="1">
        <v>26297</v>
      </c>
      <c r="H1576" s="1">
        <v>41113</v>
      </c>
      <c r="I1576" t="str">
        <f>"20"</f>
        <v>20</v>
      </c>
      <c r="J1576" t="s">
        <v>123</v>
      </c>
      <c r="K1576" t="s">
        <v>98</v>
      </c>
      <c r="L1576" t="s">
        <v>37</v>
      </c>
      <c r="M1576" t="s">
        <v>117</v>
      </c>
      <c r="N1576" s="1">
        <v>41631</v>
      </c>
      <c r="O1576">
        <v>4951.9799999999996</v>
      </c>
      <c r="P1576">
        <v>1237.94</v>
      </c>
      <c r="Q1576" t="s">
        <v>28</v>
      </c>
      <c r="R1576" t="s">
        <v>71</v>
      </c>
      <c r="S1576" t="s">
        <v>209</v>
      </c>
      <c r="T1576" t="s">
        <v>210</v>
      </c>
    </row>
    <row r="1577" spans="1:20" x14ac:dyDescent="0.25">
      <c r="A1577" t="s">
        <v>4461</v>
      </c>
      <c r="B1577" t="str">
        <f>"1855"</f>
        <v>1855</v>
      </c>
      <c r="C1577" t="str">
        <f>"276781855"</f>
        <v>276781855</v>
      </c>
      <c r="D1577" t="s">
        <v>4462</v>
      </c>
      <c r="E1577" t="s">
        <v>2450</v>
      </c>
      <c r="F1577" t="s">
        <v>44</v>
      </c>
      <c r="G1577" s="1">
        <v>23289</v>
      </c>
      <c r="H1577" s="1">
        <v>41113</v>
      </c>
      <c r="I1577" t="str">
        <f>"08"</f>
        <v>08</v>
      </c>
      <c r="J1577" t="s">
        <v>265</v>
      </c>
      <c r="L1577" t="s">
        <v>37</v>
      </c>
      <c r="M1577" t="s">
        <v>143</v>
      </c>
      <c r="N1577" s="1">
        <v>41617</v>
      </c>
      <c r="O1577">
        <v>185.9</v>
      </c>
      <c r="P1577">
        <v>-185.9</v>
      </c>
      <c r="Q1577" t="s">
        <v>37</v>
      </c>
      <c r="R1577" t="s">
        <v>71</v>
      </c>
      <c r="S1577" t="s">
        <v>1438</v>
      </c>
      <c r="T1577" t="s">
        <v>1439</v>
      </c>
    </row>
    <row r="1578" spans="1:20" x14ac:dyDescent="0.25">
      <c r="A1578" t="s">
        <v>4463</v>
      </c>
      <c r="B1578" t="str">
        <f>"1510"</f>
        <v>1510</v>
      </c>
      <c r="C1578" t="str">
        <f>"283981510"</f>
        <v>283981510</v>
      </c>
      <c r="D1578" t="s">
        <v>4464</v>
      </c>
      <c r="E1578" t="s">
        <v>1484</v>
      </c>
      <c r="F1578" t="s">
        <v>28</v>
      </c>
      <c r="G1578" s="1">
        <v>34799</v>
      </c>
      <c r="H1578" s="1">
        <v>41113</v>
      </c>
      <c r="I1578" t="str">
        <f>"52"</f>
        <v>52</v>
      </c>
      <c r="J1578" t="s">
        <v>330</v>
      </c>
      <c r="K1578" t="s">
        <v>25</v>
      </c>
      <c r="L1578" t="s">
        <v>26</v>
      </c>
      <c r="M1578" t="s">
        <v>27</v>
      </c>
      <c r="N1578" s="1">
        <v>18629</v>
      </c>
      <c r="O1578">
        <v>0</v>
      </c>
      <c r="P1578">
        <v>0</v>
      </c>
      <c r="Q1578" t="s">
        <v>37</v>
      </c>
      <c r="R1578" t="s">
        <v>29</v>
      </c>
      <c r="S1578" t="s">
        <v>4000</v>
      </c>
      <c r="T1578" t="s">
        <v>4001</v>
      </c>
    </row>
    <row r="1579" spans="1:20" x14ac:dyDescent="0.25">
      <c r="A1579" t="s">
        <v>4465</v>
      </c>
      <c r="B1579" t="str">
        <f>"9191"</f>
        <v>9191</v>
      </c>
      <c r="C1579" t="str">
        <f>"271869191"</f>
        <v>271869191</v>
      </c>
      <c r="D1579" t="s">
        <v>4466</v>
      </c>
      <c r="E1579" t="s">
        <v>4467</v>
      </c>
      <c r="F1579" t="s">
        <v>44</v>
      </c>
      <c r="G1579" s="1">
        <v>25959</v>
      </c>
      <c r="H1579" s="1">
        <v>41113</v>
      </c>
      <c r="I1579" t="str">
        <f>"41"</f>
        <v>41</v>
      </c>
      <c r="J1579" t="s">
        <v>24</v>
      </c>
      <c r="K1579" t="s">
        <v>25</v>
      </c>
      <c r="L1579" t="s">
        <v>26</v>
      </c>
      <c r="M1579" t="s">
        <v>27</v>
      </c>
      <c r="N1579" s="1">
        <v>18629</v>
      </c>
      <c r="O1579">
        <v>0</v>
      </c>
      <c r="P1579">
        <v>0</v>
      </c>
      <c r="Q1579" t="s">
        <v>37</v>
      </c>
      <c r="R1579" t="s">
        <v>29</v>
      </c>
      <c r="S1579" t="s">
        <v>4468</v>
      </c>
      <c r="T1579" t="s">
        <v>4469</v>
      </c>
    </row>
    <row r="1580" spans="1:20" x14ac:dyDescent="0.25">
      <c r="A1580" t="s">
        <v>4470</v>
      </c>
      <c r="B1580" t="str">
        <f>"3040"</f>
        <v>3040</v>
      </c>
      <c r="C1580" t="str">
        <f>"295703040"</f>
        <v>295703040</v>
      </c>
      <c r="D1580" t="s">
        <v>4471</v>
      </c>
      <c r="E1580" t="s">
        <v>458</v>
      </c>
      <c r="F1580" t="s">
        <v>26</v>
      </c>
      <c r="G1580" s="1">
        <v>22821</v>
      </c>
      <c r="H1580" s="1">
        <v>41102</v>
      </c>
      <c r="I1580" t="str">
        <f>"52"</f>
        <v>52</v>
      </c>
      <c r="J1580" t="s">
        <v>330</v>
      </c>
      <c r="K1580" t="s">
        <v>25</v>
      </c>
      <c r="L1580" t="s">
        <v>26</v>
      </c>
      <c r="M1580" t="s">
        <v>27</v>
      </c>
      <c r="N1580" s="1">
        <v>18629</v>
      </c>
      <c r="O1580">
        <v>0</v>
      </c>
      <c r="P1580">
        <v>0</v>
      </c>
      <c r="Q1580" t="s">
        <v>28</v>
      </c>
      <c r="R1580" t="s">
        <v>71</v>
      </c>
      <c r="S1580" t="s">
        <v>336</v>
      </c>
      <c r="T1580" t="s">
        <v>337</v>
      </c>
    </row>
    <row r="1581" spans="1:20" x14ac:dyDescent="0.25">
      <c r="A1581" t="s">
        <v>4472</v>
      </c>
      <c r="B1581" t="str">
        <f>"0598"</f>
        <v>0598</v>
      </c>
      <c r="C1581" t="str">
        <f>"283580598"</f>
        <v>283580598</v>
      </c>
      <c r="D1581" t="s">
        <v>4473</v>
      </c>
      <c r="E1581" t="s">
        <v>2267</v>
      </c>
      <c r="F1581" t="s">
        <v>282</v>
      </c>
      <c r="G1581" s="1">
        <v>21508</v>
      </c>
      <c r="H1581" s="1">
        <v>41101</v>
      </c>
      <c r="I1581" t="str">
        <f>"52"</f>
        <v>52</v>
      </c>
      <c r="J1581" t="s">
        <v>330</v>
      </c>
      <c r="K1581" t="s">
        <v>25</v>
      </c>
      <c r="L1581" t="s">
        <v>26</v>
      </c>
      <c r="M1581" t="s">
        <v>27</v>
      </c>
      <c r="N1581" s="1">
        <v>18629</v>
      </c>
      <c r="O1581">
        <v>0</v>
      </c>
      <c r="P1581">
        <v>0</v>
      </c>
      <c r="Q1581" t="s">
        <v>28</v>
      </c>
      <c r="R1581" t="s">
        <v>71</v>
      </c>
      <c r="S1581" t="s">
        <v>336</v>
      </c>
      <c r="T1581" t="s">
        <v>337</v>
      </c>
    </row>
    <row r="1582" spans="1:20" x14ac:dyDescent="0.25">
      <c r="A1582" t="s">
        <v>4474</v>
      </c>
      <c r="B1582" t="str">
        <f>"8533"</f>
        <v>8533</v>
      </c>
      <c r="C1582" t="str">
        <f>"285708533"</f>
        <v>285708533</v>
      </c>
      <c r="D1582" t="s">
        <v>1383</v>
      </c>
      <c r="E1582" t="s">
        <v>588</v>
      </c>
      <c r="F1582" t="s">
        <v>282</v>
      </c>
      <c r="G1582" s="1">
        <v>22930</v>
      </c>
      <c r="H1582" s="1">
        <v>41099</v>
      </c>
      <c r="I1582" t="str">
        <f>"52"</f>
        <v>52</v>
      </c>
      <c r="J1582" t="s">
        <v>330</v>
      </c>
      <c r="K1582" t="s">
        <v>25</v>
      </c>
      <c r="L1582" t="s">
        <v>26</v>
      </c>
      <c r="M1582" t="s">
        <v>27</v>
      </c>
      <c r="N1582" s="1">
        <v>18629</v>
      </c>
      <c r="O1582">
        <v>0</v>
      </c>
      <c r="P1582">
        <v>0</v>
      </c>
      <c r="Q1582" t="s">
        <v>28</v>
      </c>
      <c r="R1582" t="s">
        <v>312</v>
      </c>
      <c r="S1582" t="s">
        <v>557</v>
      </c>
      <c r="T1582" t="s">
        <v>558</v>
      </c>
    </row>
    <row r="1583" spans="1:20" x14ac:dyDescent="0.25">
      <c r="A1583" t="s">
        <v>4475</v>
      </c>
      <c r="B1583" t="str">
        <f>"4791"</f>
        <v>4791</v>
      </c>
      <c r="C1583" t="str">
        <f>"192384791"</f>
        <v>192384791</v>
      </c>
      <c r="D1583" t="s">
        <v>4476</v>
      </c>
      <c r="E1583" t="s">
        <v>33</v>
      </c>
      <c r="F1583" t="s">
        <v>438</v>
      </c>
      <c r="G1583" s="1">
        <v>17948</v>
      </c>
      <c r="H1583" s="1">
        <v>41099</v>
      </c>
      <c r="I1583" t="str">
        <f>"52"</f>
        <v>52</v>
      </c>
      <c r="J1583" t="s">
        <v>330</v>
      </c>
      <c r="K1583" t="s">
        <v>25</v>
      </c>
      <c r="L1583" t="s">
        <v>26</v>
      </c>
      <c r="M1583" t="s">
        <v>27</v>
      </c>
      <c r="N1583" s="1">
        <v>18629</v>
      </c>
      <c r="O1583">
        <v>0</v>
      </c>
      <c r="P1583">
        <v>0</v>
      </c>
      <c r="Q1583" t="s">
        <v>28</v>
      </c>
      <c r="R1583" t="s">
        <v>312</v>
      </c>
      <c r="S1583" t="s">
        <v>557</v>
      </c>
      <c r="T1583" t="s">
        <v>558</v>
      </c>
    </row>
    <row r="1584" spans="1:20" x14ac:dyDescent="0.25">
      <c r="A1584" t="s">
        <v>4477</v>
      </c>
      <c r="B1584" t="str">
        <f>"4900"</f>
        <v>4900</v>
      </c>
      <c r="C1584" t="str">
        <f>"287524900"</f>
        <v>287524900</v>
      </c>
      <c r="D1584" t="s">
        <v>4478</v>
      </c>
      <c r="E1584" t="s">
        <v>3809</v>
      </c>
      <c r="F1584" t="s">
        <v>37</v>
      </c>
      <c r="G1584" s="1">
        <v>19770</v>
      </c>
      <c r="H1584" s="1">
        <v>41099</v>
      </c>
      <c r="I1584" t="str">
        <f>"03"</f>
        <v>03</v>
      </c>
      <c r="J1584" t="s">
        <v>70</v>
      </c>
      <c r="K1584" t="s">
        <v>98</v>
      </c>
      <c r="L1584" t="s">
        <v>37</v>
      </c>
      <c r="M1584" t="s">
        <v>257</v>
      </c>
      <c r="N1584" s="1">
        <v>41617</v>
      </c>
      <c r="O1584">
        <v>10753.08</v>
      </c>
      <c r="P1584">
        <v>2688.4</v>
      </c>
      <c r="Q1584" t="s">
        <v>37</v>
      </c>
      <c r="R1584" t="s">
        <v>51</v>
      </c>
      <c r="S1584" s="2" t="s">
        <v>839</v>
      </c>
      <c r="T1584" t="s">
        <v>840</v>
      </c>
    </row>
    <row r="1585" spans="1:20" x14ac:dyDescent="0.25">
      <c r="A1585" t="s">
        <v>4479</v>
      </c>
      <c r="B1585" t="str">
        <f>"5923"</f>
        <v>5923</v>
      </c>
      <c r="C1585" t="str">
        <f>"271745923"</f>
        <v>271745923</v>
      </c>
      <c r="D1585" t="s">
        <v>907</v>
      </c>
      <c r="E1585" t="s">
        <v>3587</v>
      </c>
      <c r="F1585" t="s">
        <v>69</v>
      </c>
      <c r="G1585" s="1">
        <v>24020</v>
      </c>
      <c r="H1585" s="1">
        <v>41099</v>
      </c>
      <c r="I1585" t="str">
        <f>"12"</f>
        <v>12</v>
      </c>
      <c r="J1585" t="s">
        <v>245</v>
      </c>
      <c r="K1585" t="s">
        <v>98</v>
      </c>
      <c r="L1585" t="s">
        <v>37</v>
      </c>
      <c r="M1585" t="s">
        <v>257</v>
      </c>
      <c r="N1585" s="1">
        <v>41617</v>
      </c>
      <c r="O1585">
        <v>10753.08</v>
      </c>
      <c r="P1585">
        <v>2688.4</v>
      </c>
      <c r="Q1585" t="s">
        <v>28</v>
      </c>
      <c r="R1585" t="s">
        <v>312</v>
      </c>
      <c r="S1585" t="s">
        <v>4480</v>
      </c>
      <c r="T1585" t="s">
        <v>4481</v>
      </c>
    </row>
    <row r="1586" spans="1:20" x14ac:dyDescent="0.25">
      <c r="A1586" t="s">
        <v>4482</v>
      </c>
      <c r="B1586" t="str">
        <f>"9611"</f>
        <v>9611</v>
      </c>
      <c r="C1586" t="str">
        <f>"269929611"</f>
        <v>269929611</v>
      </c>
      <c r="D1586" t="s">
        <v>2421</v>
      </c>
      <c r="E1586" t="s">
        <v>499</v>
      </c>
      <c r="F1586" t="s">
        <v>28</v>
      </c>
      <c r="G1586" s="1">
        <v>32880</v>
      </c>
      <c r="H1586" s="1">
        <v>41099</v>
      </c>
      <c r="I1586" t="str">
        <f>"09"</f>
        <v>09</v>
      </c>
      <c r="J1586" t="s">
        <v>4483</v>
      </c>
      <c r="K1586" t="s">
        <v>98</v>
      </c>
      <c r="L1586" t="s">
        <v>37</v>
      </c>
      <c r="M1586" t="s">
        <v>117</v>
      </c>
      <c r="N1586" s="1">
        <v>41617</v>
      </c>
      <c r="O1586">
        <v>4951.96</v>
      </c>
      <c r="P1586">
        <v>1237.8599999999999</v>
      </c>
      <c r="Q1586" t="s">
        <v>28</v>
      </c>
      <c r="R1586" t="s">
        <v>29</v>
      </c>
      <c r="S1586" t="s">
        <v>3986</v>
      </c>
      <c r="T1586" t="s">
        <v>3987</v>
      </c>
    </row>
    <row r="1587" spans="1:20" x14ac:dyDescent="0.25">
      <c r="A1587" t="s">
        <v>4484</v>
      </c>
      <c r="B1587" t="str">
        <f>"4929"</f>
        <v>4929</v>
      </c>
      <c r="C1587" t="str">
        <f>"279624929"</f>
        <v>279624929</v>
      </c>
      <c r="D1587" t="s">
        <v>4485</v>
      </c>
      <c r="E1587" t="s">
        <v>1616</v>
      </c>
      <c r="F1587" t="s">
        <v>28</v>
      </c>
      <c r="G1587" s="1">
        <v>21552</v>
      </c>
      <c r="H1587" s="1">
        <v>41099</v>
      </c>
      <c r="I1587" t="str">
        <f>"41"</f>
        <v>41</v>
      </c>
      <c r="J1587" t="s">
        <v>24</v>
      </c>
      <c r="K1587" t="s">
        <v>25</v>
      </c>
      <c r="L1587" t="s">
        <v>26</v>
      </c>
      <c r="M1587" t="s">
        <v>27</v>
      </c>
      <c r="N1587" s="1">
        <v>18629</v>
      </c>
      <c r="O1587">
        <v>0</v>
      </c>
      <c r="P1587">
        <v>0</v>
      </c>
      <c r="Q1587" t="s">
        <v>37</v>
      </c>
      <c r="R1587" t="s">
        <v>258</v>
      </c>
      <c r="S1587" t="s">
        <v>605</v>
      </c>
      <c r="T1587" t="s">
        <v>606</v>
      </c>
    </row>
    <row r="1588" spans="1:20" x14ac:dyDescent="0.25">
      <c r="A1588" t="s">
        <v>4486</v>
      </c>
      <c r="B1588" t="str">
        <f>"8452"</f>
        <v>8452</v>
      </c>
      <c r="C1588" t="str">
        <f>"296748452"</f>
        <v>296748452</v>
      </c>
      <c r="D1588" t="s">
        <v>4487</v>
      </c>
      <c r="E1588" t="s">
        <v>448</v>
      </c>
      <c r="F1588" t="s">
        <v>264</v>
      </c>
      <c r="G1588" s="1">
        <v>29096</v>
      </c>
      <c r="H1588" s="1">
        <v>41099</v>
      </c>
      <c r="I1588" t="str">
        <f>"05"</f>
        <v>05</v>
      </c>
      <c r="J1588" t="s">
        <v>58</v>
      </c>
      <c r="K1588" t="s">
        <v>98</v>
      </c>
      <c r="L1588" t="s">
        <v>37</v>
      </c>
      <c r="M1588" t="s">
        <v>117</v>
      </c>
      <c r="N1588" s="1">
        <v>41617</v>
      </c>
      <c r="O1588">
        <v>4951.96</v>
      </c>
      <c r="P1588">
        <v>1237.8599999999999</v>
      </c>
      <c r="Q1588" t="s">
        <v>37</v>
      </c>
      <c r="R1588" t="s">
        <v>29</v>
      </c>
      <c r="S1588" t="s">
        <v>973</v>
      </c>
      <c r="T1588" t="s">
        <v>974</v>
      </c>
    </row>
    <row r="1589" spans="1:20" x14ac:dyDescent="0.25">
      <c r="A1589" t="s">
        <v>4488</v>
      </c>
      <c r="B1589" t="str">
        <f>"8339"</f>
        <v>8339</v>
      </c>
      <c r="C1589" t="str">
        <f>"282868339"</f>
        <v>282868339</v>
      </c>
      <c r="D1589" t="s">
        <v>4489</v>
      </c>
      <c r="E1589" t="s">
        <v>304</v>
      </c>
      <c r="F1589" t="s">
        <v>56</v>
      </c>
      <c r="G1589" s="1">
        <v>27578</v>
      </c>
      <c r="H1589" s="1">
        <v>41099</v>
      </c>
      <c r="I1589" t="str">
        <f>"08"</f>
        <v>08</v>
      </c>
      <c r="J1589" t="s">
        <v>265</v>
      </c>
      <c r="K1589" t="s">
        <v>98</v>
      </c>
      <c r="L1589" t="s">
        <v>37</v>
      </c>
      <c r="M1589" t="s">
        <v>99</v>
      </c>
      <c r="N1589" s="1">
        <v>41617</v>
      </c>
      <c r="O1589">
        <v>14801.8</v>
      </c>
      <c r="P1589">
        <v>3700.32</v>
      </c>
      <c r="Q1589" t="s">
        <v>28</v>
      </c>
      <c r="R1589" t="s">
        <v>29</v>
      </c>
      <c r="S1589" t="s">
        <v>982</v>
      </c>
      <c r="T1589" t="s">
        <v>983</v>
      </c>
    </row>
    <row r="1590" spans="1:20" x14ac:dyDescent="0.25">
      <c r="A1590" t="s">
        <v>4490</v>
      </c>
      <c r="B1590" t="str">
        <f>"7243"</f>
        <v>7243</v>
      </c>
      <c r="C1590" t="str">
        <f>"002567243"</f>
        <v>002567243</v>
      </c>
      <c r="D1590" t="s">
        <v>4491</v>
      </c>
      <c r="E1590" t="s">
        <v>4492</v>
      </c>
      <c r="F1590" t="s">
        <v>414</v>
      </c>
      <c r="G1590" s="1">
        <v>22364</v>
      </c>
      <c r="H1590" s="1">
        <v>41099</v>
      </c>
      <c r="I1590" t="str">
        <f>"52"</f>
        <v>52</v>
      </c>
      <c r="J1590" t="s">
        <v>330</v>
      </c>
      <c r="K1590" t="s">
        <v>25</v>
      </c>
      <c r="L1590" t="s">
        <v>26</v>
      </c>
      <c r="M1590" t="s">
        <v>27</v>
      </c>
      <c r="N1590" s="1">
        <v>18629</v>
      </c>
      <c r="O1590">
        <v>0</v>
      </c>
      <c r="P1590">
        <v>0</v>
      </c>
      <c r="Q1590" t="s">
        <v>37</v>
      </c>
      <c r="R1590" t="s">
        <v>312</v>
      </c>
      <c r="S1590" t="s">
        <v>557</v>
      </c>
      <c r="T1590" t="s">
        <v>558</v>
      </c>
    </row>
    <row r="1591" spans="1:20" x14ac:dyDescent="0.25">
      <c r="A1591" t="s">
        <v>4493</v>
      </c>
      <c r="B1591" t="str">
        <f>"2243"</f>
        <v>2243</v>
      </c>
      <c r="C1591" t="str">
        <f>"128502243"</f>
        <v>128502243</v>
      </c>
      <c r="D1591" t="s">
        <v>4494</v>
      </c>
      <c r="E1591" t="s">
        <v>856</v>
      </c>
      <c r="F1591" t="s">
        <v>219</v>
      </c>
      <c r="G1591" s="1">
        <v>21313</v>
      </c>
      <c r="H1591" s="1">
        <v>41099</v>
      </c>
      <c r="I1591" t="str">
        <f>"03"</f>
        <v>03</v>
      </c>
      <c r="J1591" t="s">
        <v>70</v>
      </c>
      <c r="K1591" t="s">
        <v>98</v>
      </c>
      <c r="L1591" t="s">
        <v>37</v>
      </c>
      <c r="M1591" t="s">
        <v>257</v>
      </c>
      <c r="N1591" s="1">
        <v>41617</v>
      </c>
      <c r="O1591">
        <v>10753.08</v>
      </c>
      <c r="P1591">
        <v>2688.4</v>
      </c>
      <c r="Q1591" t="s">
        <v>37</v>
      </c>
      <c r="R1591" t="s">
        <v>312</v>
      </c>
      <c r="S1591" t="s">
        <v>3171</v>
      </c>
      <c r="T1591" t="s">
        <v>3172</v>
      </c>
    </row>
    <row r="1592" spans="1:20" x14ac:dyDescent="0.25">
      <c r="A1592" t="s">
        <v>4495</v>
      </c>
      <c r="B1592" t="str">
        <f>"9207"</f>
        <v>9207</v>
      </c>
      <c r="C1592" t="str">
        <f>"302509207"</f>
        <v>302509207</v>
      </c>
      <c r="D1592" t="s">
        <v>4496</v>
      </c>
      <c r="E1592" t="s">
        <v>1247</v>
      </c>
      <c r="G1592" s="1">
        <v>18745</v>
      </c>
      <c r="H1592" s="1">
        <v>41099</v>
      </c>
      <c r="I1592" t="str">
        <f>"52"</f>
        <v>52</v>
      </c>
      <c r="J1592" t="s">
        <v>330</v>
      </c>
      <c r="K1592" t="s">
        <v>25</v>
      </c>
      <c r="L1592" t="s">
        <v>26</v>
      </c>
      <c r="M1592" t="s">
        <v>27</v>
      </c>
      <c r="N1592" s="1">
        <v>18629</v>
      </c>
      <c r="O1592">
        <v>0</v>
      </c>
      <c r="P1592">
        <v>0</v>
      </c>
      <c r="Q1592" t="s">
        <v>28</v>
      </c>
      <c r="R1592" t="s">
        <v>312</v>
      </c>
      <c r="S1592" t="s">
        <v>557</v>
      </c>
      <c r="T1592" t="s">
        <v>558</v>
      </c>
    </row>
    <row r="1593" spans="1:20" x14ac:dyDescent="0.25">
      <c r="A1593" t="s">
        <v>4497</v>
      </c>
      <c r="B1593" t="str">
        <f>"4428"</f>
        <v>4428</v>
      </c>
      <c r="C1593" t="str">
        <f>"278604428"</f>
        <v>278604428</v>
      </c>
      <c r="D1593" t="s">
        <v>4498</v>
      </c>
      <c r="E1593" t="s">
        <v>1318</v>
      </c>
      <c r="F1593" t="s">
        <v>4343</v>
      </c>
      <c r="G1593" s="1">
        <v>22052</v>
      </c>
      <c r="H1593" s="1">
        <v>41099</v>
      </c>
      <c r="I1593" t="str">
        <f>"15"</f>
        <v>15</v>
      </c>
      <c r="J1593" t="s">
        <v>36</v>
      </c>
      <c r="K1593" t="s">
        <v>98</v>
      </c>
      <c r="L1593" t="s">
        <v>37</v>
      </c>
      <c r="M1593" t="s">
        <v>117</v>
      </c>
      <c r="N1593" s="1">
        <v>41617</v>
      </c>
      <c r="O1593">
        <v>4951.96</v>
      </c>
      <c r="P1593">
        <v>1237.8599999999999</v>
      </c>
      <c r="Q1593" t="s">
        <v>37</v>
      </c>
      <c r="R1593" t="s">
        <v>110</v>
      </c>
      <c r="S1593" t="s">
        <v>2090</v>
      </c>
      <c r="T1593" t="s">
        <v>2091</v>
      </c>
    </row>
    <row r="1594" spans="1:20" x14ac:dyDescent="0.25">
      <c r="A1594" t="s">
        <v>4499</v>
      </c>
      <c r="B1594" t="str">
        <f>"3075"</f>
        <v>3075</v>
      </c>
      <c r="C1594" t="str">
        <f>"367483075"</f>
        <v>367483075</v>
      </c>
      <c r="D1594" t="s">
        <v>4500</v>
      </c>
      <c r="E1594" t="s">
        <v>33</v>
      </c>
      <c r="F1594" t="s">
        <v>97</v>
      </c>
      <c r="G1594" s="1">
        <v>17428</v>
      </c>
      <c r="H1594" s="1">
        <v>41099</v>
      </c>
      <c r="I1594" t="str">
        <f>"52"</f>
        <v>52</v>
      </c>
      <c r="J1594" t="s">
        <v>330</v>
      </c>
      <c r="K1594" t="s">
        <v>25</v>
      </c>
      <c r="L1594" t="s">
        <v>26</v>
      </c>
      <c r="M1594" t="s">
        <v>27</v>
      </c>
      <c r="N1594" s="1">
        <v>18629</v>
      </c>
      <c r="O1594">
        <v>0</v>
      </c>
      <c r="P1594">
        <v>0</v>
      </c>
      <c r="Q1594" t="s">
        <v>28</v>
      </c>
      <c r="R1594" t="s">
        <v>312</v>
      </c>
      <c r="S1594" t="s">
        <v>557</v>
      </c>
      <c r="T1594" t="s">
        <v>558</v>
      </c>
    </row>
    <row r="1595" spans="1:20" x14ac:dyDescent="0.25">
      <c r="A1595" t="s">
        <v>4501</v>
      </c>
      <c r="B1595" t="str">
        <f>"9598"</f>
        <v>9598</v>
      </c>
      <c r="C1595" t="str">
        <f>"354389598"</f>
        <v>354389598</v>
      </c>
      <c r="D1595" t="s">
        <v>4502</v>
      </c>
      <c r="E1595" t="s">
        <v>1001</v>
      </c>
      <c r="F1595" t="s">
        <v>97</v>
      </c>
      <c r="G1595" s="1">
        <v>16867</v>
      </c>
      <c r="H1595" s="1">
        <v>41099</v>
      </c>
      <c r="I1595" t="str">
        <f>"52"</f>
        <v>52</v>
      </c>
      <c r="J1595" t="s">
        <v>330</v>
      </c>
      <c r="K1595" t="s">
        <v>25</v>
      </c>
      <c r="L1595" t="s">
        <v>26</v>
      </c>
      <c r="M1595" t="s">
        <v>27</v>
      </c>
      <c r="N1595" s="1">
        <v>18629</v>
      </c>
      <c r="O1595">
        <v>0</v>
      </c>
      <c r="P1595">
        <v>0</v>
      </c>
      <c r="Q1595" t="s">
        <v>28</v>
      </c>
      <c r="R1595" t="s">
        <v>312</v>
      </c>
      <c r="S1595" t="s">
        <v>557</v>
      </c>
      <c r="T1595" t="s">
        <v>558</v>
      </c>
    </row>
    <row r="1596" spans="1:20" x14ac:dyDescent="0.25">
      <c r="A1596" t="s">
        <v>4503</v>
      </c>
      <c r="B1596" t="str">
        <f>"5806"</f>
        <v>5806</v>
      </c>
      <c r="C1596" t="str">
        <f>"275785806"</f>
        <v>275785806</v>
      </c>
      <c r="D1596" t="s">
        <v>4504</v>
      </c>
      <c r="E1596" t="s">
        <v>1071</v>
      </c>
      <c r="F1596" t="s">
        <v>28</v>
      </c>
      <c r="G1596" s="1">
        <v>27988</v>
      </c>
      <c r="H1596" s="1">
        <v>41099</v>
      </c>
      <c r="I1596" t="str">
        <f>"03"</f>
        <v>03</v>
      </c>
      <c r="J1596" t="s">
        <v>70</v>
      </c>
      <c r="K1596" t="s">
        <v>98</v>
      </c>
      <c r="L1596" t="s">
        <v>37</v>
      </c>
      <c r="M1596" t="s">
        <v>117</v>
      </c>
      <c r="N1596" s="1">
        <v>41617</v>
      </c>
      <c r="O1596">
        <v>4951.96</v>
      </c>
      <c r="P1596">
        <v>1237.8599999999999</v>
      </c>
      <c r="Q1596" t="s">
        <v>37</v>
      </c>
      <c r="R1596" t="s">
        <v>38</v>
      </c>
      <c r="S1596" t="s">
        <v>491</v>
      </c>
      <c r="T1596" t="s">
        <v>492</v>
      </c>
    </row>
    <row r="1597" spans="1:20" x14ac:dyDescent="0.25">
      <c r="A1597" t="s">
        <v>4505</v>
      </c>
      <c r="B1597" t="str">
        <f>"8573"</f>
        <v>8573</v>
      </c>
      <c r="C1597" t="str">
        <f>"289648573"</f>
        <v>289648573</v>
      </c>
      <c r="D1597" t="s">
        <v>4506</v>
      </c>
      <c r="E1597" t="s">
        <v>2135</v>
      </c>
      <c r="F1597" t="s">
        <v>264</v>
      </c>
      <c r="G1597" s="1">
        <v>21872</v>
      </c>
      <c r="H1597" s="1">
        <v>41093</v>
      </c>
      <c r="I1597" t="str">
        <f>"51"</f>
        <v>51</v>
      </c>
      <c r="J1597" t="s">
        <v>471</v>
      </c>
      <c r="K1597" t="s">
        <v>25</v>
      </c>
      <c r="L1597" t="s">
        <v>26</v>
      </c>
      <c r="M1597" t="s">
        <v>27</v>
      </c>
      <c r="N1597" s="1">
        <v>18629</v>
      </c>
      <c r="O1597">
        <v>0</v>
      </c>
      <c r="P1597">
        <v>0</v>
      </c>
      <c r="Q1597" t="s">
        <v>28</v>
      </c>
      <c r="R1597" t="s">
        <v>258</v>
      </c>
      <c r="S1597" t="s">
        <v>533</v>
      </c>
      <c r="T1597" t="s">
        <v>534</v>
      </c>
    </row>
    <row r="1598" spans="1:20" x14ac:dyDescent="0.25">
      <c r="A1598" t="s">
        <v>4507</v>
      </c>
      <c r="B1598" t="str">
        <f>"5257"</f>
        <v>5257</v>
      </c>
      <c r="C1598" t="str">
        <f>"284905257"</f>
        <v>284905257</v>
      </c>
      <c r="D1598" t="s">
        <v>4508</v>
      </c>
      <c r="E1598" t="s">
        <v>1609</v>
      </c>
      <c r="F1598" t="s">
        <v>239</v>
      </c>
      <c r="G1598" s="1">
        <v>30096</v>
      </c>
      <c r="H1598" s="1">
        <v>41092</v>
      </c>
      <c r="I1598" t="str">
        <f>"33"</f>
        <v>33</v>
      </c>
      <c r="J1598" t="s">
        <v>45</v>
      </c>
      <c r="K1598" t="s">
        <v>25</v>
      </c>
      <c r="L1598" t="s">
        <v>26</v>
      </c>
      <c r="M1598" t="s">
        <v>27</v>
      </c>
      <c r="N1598" s="1">
        <v>18629</v>
      </c>
      <c r="O1598">
        <v>0</v>
      </c>
      <c r="P1598">
        <v>0</v>
      </c>
      <c r="Q1598" t="s">
        <v>28</v>
      </c>
      <c r="R1598" t="s">
        <v>100</v>
      </c>
      <c r="S1598" t="s">
        <v>757</v>
      </c>
      <c r="T1598" t="s">
        <v>758</v>
      </c>
    </row>
    <row r="1599" spans="1:20" x14ac:dyDescent="0.25">
      <c r="A1599" t="s">
        <v>4509</v>
      </c>
      <c r="B1599" t="str">
        <f>"9757"</f>
        <v>9757</v>
      </c>
      <c r="C1599" t="str">
        <f>"290629757"</f>
        <v>290629757</v>
      </c>
      <c r="D1599" t="s">
        <v>4510</v>
      </c>
      <c r="E1599" t="s">
        <v>4511</v>
      </c>
      <c r="F1599" t="s">
        <v>4512</v>
      </c>
      <c r="G1599" s="1">
        <v>26713</v>
      </c>
      <c r="H1599" s="1">
        <v>41092</v>
      </c>
      <c r="I1599" t="str">
        <f>"01"</f>
        <v>01</v>
      </c>
      <c r="J1599" t="s">
        <v>116</v>
      </c>
      <c r="K1599" t="s">
        <v>98</v>
      </c>
      <c r="L1599" t="s">
        <v>37</v>
      </c>
      <c r="M1599" t="s">
        <v>99</v>
      </c>
      <c r="N1599" s="1">
        <v>41617</v>
      </c>
      <c r="O1599">
        <v>14801.8</v>
      </c>
      <c r="P1599">
        <v>3700.32</v>
      </c>
      <c r="Q1599" t="s">
        <v>28</v>
      </c>
      <c r="R1599" t="s">
        <v>51</v>
      </c>
      <c r="S1599" t="s">
        <v>4513</v>
      </c>
      <c r="T1599" t="s">
        <v>4514</v>
      </c>
    </row>
    <row r="1600" spans="1:20" x14ac:dyDescent="0.25">
      <c r="A1600" t="s">
        <v>4515</v>
      </c>
      <c r="B1600" t="str">
        <f>"2121"</f>
        <v>2121</v>
      </c>
      <c r="C1600" t="str">
        <f>"562602121"</f>
        <v>562602121</v>
      </c>
      <c r="D1600" t="s">
        <v>4516</v>
      </c>
      <c r="E1600" t="s">
        <v>179</v>
      </c>
      <c r="F1600" t="s">
        <v>28</v>
      </c>
      <c r="G1600" s="1">
        <v>16214</v>
      </c>
      <c r="H1600" s="1">
        <v>41092</v>
      </c>
      <c r="I1600" t="str">
        <f>"41"</f>
        <v>41</v>
      </c>
      <c r="J1600" t="s">
        <v>24</v>
      </c>
      <c r="K1600" t="s">
        <v>25</v>
      </c>
      <c r="L1600" t="s">
        <v>26</v>
      </c>
      <c r="M1600" t="s">
        <v>27</v>
      </c>
      <c r="N1600" s="1">
        <v>18629</v>
      </c>
      <c r="O1600">
        <v>0</v>
      </c>
      <c r="P1600">
        <v>0</v>
      </c>
      <c r="Q1600" t="s">
        <v>28</v>
      </c>
      <c r="R1600" t="s">
        <v>77</v>
      </c>
      <c r="S1600" t="s">
        <v>1649</v>
      </c>
      <c r="T1600" t="s">
        <v>1650</v>
      </c>
    </row>
    <row r="1601" spans="1:20" x14ac:dyDescent="0.25">
      <c r="A1601" t="s">
        <v>4517</v>
      </c>
      <c r="B1601" t="str">
        <f>"3590"</f>
        <v>3590</v>
      </c>
      <c r="C1601" t="str">
        <f>"275763590"</f>
        <v>275763590</v>
      </c>
      <c r="D1601" t="s">
        <v>1366</v>
      </c>
      <c r="E1601" t="s">
        <v>466</v>
      </c>
      <c r="F1601" t="s">
        <v>69</v>
      </c>
      <c r="G1601" s="1">
        <v>29287</v>
      </c>
      <c r="H1601" s="1">
        <v>41092</v>
      </c>
      <c r="I1601" t="str">
        <f>"07"</f>
        <v>07</v>
      </c>
      <c r="J1601" t="s">
        <v>1018</v>
      </c>
      <c r="K1601" t="s">
        <v>98</v>
      </c>
      <c r="L1601" t="s">
        <v>37</v>
      </c>
      <c r="M1601" t="s">
        <v>99</v>
      </c>
      <c r="N1601" s="1">
        <v>41785</v>
      </c>
      <c r="O1601">
        <v>14801.8</v>
      </c>
      <c r="P1601">
        <v>3700.32</v>
      </c>
      <c r="Q1601" t="s">
        <v>28</v>
      </c>
      <c r="R1601" t="s">
        <v>51</v>
      </c>
      <c r="S1601" t="s">
        <v>993</v>
      </c>
      <c r="T1601" t="s">
        <v>994</v>
      </c>
    </row>
    <row r="1602" spans="1:20" x14ac:dyDescent="0.25">
      <c r="A1602" t="s">
        <v>4518</v>
      </c>
      <c r="B1602" t="str">
        <f>"4067"</f>
        <v>4067</v>
      </c>
      <c r="C1602" t="str">
        <f>"299624067"</f>
        <v>299624067</v>
      </c>
      <c r="D1602" t="s">
        <v>4519</v>
      </c>
      <c r="E1602" t="s">
        <v>2551</v>
      </c>
      <c r="F1602" t="s">
        <v>28</v>
      </c>
      <c r="G1602" s="1">
        <v>25615</v>
      </c>
      <c r="H1602" s="1">
        <v>41091</v>
      </c>
      <c r="I1602" t="str">
        <f>"03"</f>
        <v>03</v>
      </c>
      <c r="J1602" t="s">
        <v>70</v>
      </c>
      <c r="K1602" t="s">
        <v>98</v>
      </c>
      <c r="L1602" t="s">
        <v>37</v>
      </c>
      <c r="M1602" t="s">
        <v>117</v>
      </c>
      <c r="N1602" s="1">
        <v>41617</v>
      </c>
      <c r="O1602">
        <v>4951.96</v>
      </c>
      <c r="P1602">
        <v>1237.8599999999999</v>
      </c>
      <c r="Q1602" t="s">
        <v>37</v>
      </c>
      <c r="R1602" t="s">
        <v>29</v>
      </c>
      <c r="S1602" t="s">
        <v>960</v>
      </c>
      <c r="T1602" t="s">
        <v>314</v>
      </c>
    </row>
    <row r="1603" spans="1:20" x14ac:dyDescent="0.25">
      <c r="A1603" t="s">
        <v>4520</v>
      </c>
      <c r="B1603" t="str">
        <f>"1040"</f>
        <v>1040</v>
      </c>
      <c r="C1603" t="str">
        <f>"178641040"</f>
        <v>178641040</v>
      </c>
      <c r="D1603" t="s">
        <v>2183</v>
      </c>
      <c r="E1603" t="s">
        <v>4521</v>
      </c>
      <c r="F1603" t="s">
        <v>219</v>
      </c>
      <c r="G1603" s="1">
        <v>30225</v>
      </c>
      <c r="H1603" s="1">
        <v>41086</v>
      </c>
      <c r="I1603" t="str">
        <f>"12"</f>
        <v>12</v>
      </c>
      <c r="J1603" t="s">
        <v>245</v>
      </c>
      <c r="K1603" t="s">
        <v>98</v>
      </c>
      <c r="L1603" t="s">
        <v>37</v>
      </c>
      <c r="M1603" t="s">
        <v>117</v>
      </c>
      <c r="N1603" s="1">
        <v>41617</v>
      </c>
      <c r="O1603">
        <v>4951.96</v>
      </c>
      <c r="P1603">
        <v>1237.8599999999999</v>
      </c>
      <c r="Q1603" t="s">
        <v>37</v>
      </c>
      <c r="R1603" t="s">
        <v>110</v>
      </c>
      <c r="S1603" t="s">
        <v>1346</v>
      </c>
      <c r="T1603" t="s">
        <v>1347</v>
      </c>
    </row>
    <row r="1604" spans="1:20" x14ac:dyDescent="0.25">
      <c r="A1604" t="s">
        <v>4522</v>
      </c>
      <c r="B1604" t="str">
        <f>"3390"</f>
        <v>3390</v>
      </c>
      <c r="C1604" t="str">
        <f>"273783390"</f>
        <v>273783390</v>
      </c>
      <c r="D1604" t="s">
        <v>1715</v>
      </c>
      <c r="E1604" t="s">
        <v>2512</v>
      </c>
      <c r="F1604" t="s">
        <v>28</v>
      </c>
      <c r="G1604" s="1">
        <v>26782</v>
      </c>
      <c r="H1604" s="1">
        <v>41085</v>
      </c>
      <c r="I1604" t="str">
        <f>"41"</f>
        <v>41</v>
      </c>
      <c r="J1604" t="s">
        <v>24</v>
      </c>
      <c r="K1604" t="s">
        <v>25</v>
      </c>
      <c r="L1604" t="s">
        <v>26</v>
      </c>
      <c r="M1604" t="s">
        <v>27</v>
      </c>
      <c r="N1604" s="1">
        <v>18629</v>
      </c>
      <c r="O1604">
        <v>0</v>
      </c>
      <c r="P1604">
        <v>0</v>
      </c>
      <c r="Q1604" t="s">
        <v>37</v>
      </c>
      <c r="R1604" t="s">
        <v>29</v>
      </c>
      <c r="S1604" t="s">
        <v>138</v>
      </c>
      <c r="T1604" t="s">
        <v>139</v>
      </c>
    </row>
    <row r="1605" spans="1:20" x14ac:dyDescent="0.25">
      <c r="A1605" t="s">
        <v>4523</v>
      </c>
      <c r="B1605" t="str">
        <f>"0528"</f>
        <v>0528</v>
      </c>
      <c r="C1605" t="str">
        <f>"298480528"</f>
        <v>298480528</v>
      </c>
      <c r="D1605" t="s">
        <v>4524</v>
      </c>
      <c r="E1605" t="s">
        <v>22</v>
      </c>
      <c r="F1605" t="s">
        <v>329</v>
      </c>
      <c r="G1605" s="1">
        <v>24202</v>
      </c>
      <c r="H1605" s="1">
        <v>41085</v>
      </c>
      <c r="I1605" t="str">
        <f>"03"</f>
        <v>03</v>
      </c>
      <c r="J1605" t="s">
        <v>70</v>
      </c>
      <c r="K1605" t="s">
        <v>98</v>
      </c>
      <c r="L1605" t="s">
        <v>37</v>
      </c>
      <c r="M1605" t="s">
        <v>117</v>
      </c>
      <c r="N1605" s="1">
        <v>41617</v>
      </c>
      <c r="O1605">
        <v>4951.96</v>
      </c>
      <c r="P1605">
        <v>1237.8599999999999</v>
      </c>
      <c r="Q1605" t="s">
        <v>28</v>
      </c>
      <c r="R1605" t="s">
        <v>71</v>
      </c>
      <c r="S1605" t="s">
        <v>3844</v>
      </c>
      <c r="T1605" t="s">
        <v>3845</v>
      </c>
    </row>
    <row r="1606" spans="1:20" x14ac:dyDescent="0.25">
      <c r="A1606" t="s">
        <v>4525</v>
      </c>
      <c r="B1606" t="str">
        <f>"9499"</f>
        <v>9499</v>
      </c>
      <c r="C1606" t="str">
        <f>"270989499"</f>
        <v>270989499</v>
      </c>
      <c r="D1606" t="s">
        <v>4526</v>
      </c>
      <c r="E1606" t="s">
        <v>1026</v>
      </c>
      <c r="F1606" t="s">
        <v>239</v>
      </c>
      <c r="G1606" s="1">
        <v>34551</v>
      </c>
      <c r="H1606" s="1">
        <v>41085</v>
      </c>
      <c r="I1606" t="str">
        <f>"52"</f>
        <v>52</v>
      </c>
      <c r="J1606" t="s">
        <v>330</v>
      </c>
      <c r="K1606" t="s">
        <v>25</v>
      </c>
      <c r="L1606" t="s">
        <v>26</v>
      </c>
      <c r="M1606" t="s">
        <v>27</v>
      </c>
      <c r="N1606" s="1">
        <v>18629</v>
      </c>
      <c r="O1606">
        <v>0</v>
      </c>
      <c r="P1606">
        <v>0</v>
      </c>
      <c r="Q1606" t="s">
        <v>37</v>
      </c>
      <c r="R1606" t="s">
        <v>29</v>
      </c>
      <c r="S1606" t="s">
        <v>4000</v>
      </c>
      <c r="T1606" t="s">
        <v>4001</v>
      </c>
    </row>
    <row r="1607" spans="1:20" x14ac:dyDescent="0.25">
      <c r="A1607" t="s">
        <v>4527</v>
      </c>
      <c r="B1607" t="str">
        <f>"3742"</f>
        <v>3742</v>
      </c>
      <c r="C1607" t="str">
        <f>"268843742"</f>
        <v>268843742</v>
      </c>
      <c r="D1607" t="s">
        <v>4528</v>
      </c>
      <c r="E1607" t="s">
        <v>1711</v>
      </c>
      <c r="F1607" t="s">
        <v>165</v>
      </c>
      <c r="G1607" s="1">
        <v>31205</v>
      </c>
      <c r="H1607" s="1">
        <v>41085</v>
      </c>
      <c r="I1607" t="str">
        <f>"52"</f>
        <v>52</v>
      </c>
      <c r="J1607" t="s">
        <v>330</v>
      </c>
      <c r="K1607" t="s">
        <v>25</v>
      </c>
      <c r="L1607" t="s">
        <v>26</v>
      </c>
      <c r="M1607" t="s">
        <v>27</v>
      </c>
      <c r="N1607" s="1">
        <v>18629</v>
      </c>
      <c r="O1607">
        <v>0</v>
      </c>
      <c r="P1607">
        <v>0</v>
      </c>
      <c r="Q1607" t="s">
        <v>37</v>
      </c>
      <c r="R1607" t="s">
        <v>29</v>
      </c>
      <c r="S1607" t="s">
        <v>4000</v>
      </c>
      <c r="T1607" t="s">
        <v>4001</v>
      </c>
    </row>
    <row r="1608" spans="1:20" x14ac:dyDescent="0.25">
      <c r="A1608" t="s">
        <v>4529</v>
      </c>
      <c r="B1608" t="str">
        <f>"5711"</f>
        <v>5711</v>
      </c>
      <c r="C1608" t="str">
        <f>"281965711"</f>
        <v>281965711</v>
      </c>
      <c r="D1608" t="s">
        <v>4530</v>
      </c>
      <c r="E1608" t="s">
        <v>4531</v>
      </c>
      <c r="F1608" t="s">
        <v>93</v>
      </c>
      <c r="G1608" s="1">
        <v>34066</v>
      </c>
      <c r="H1608" s="1">
        <v>41085</v>
      </c>
      <c r="I1608" t="str">
        <f>"52"</f>
        <v>52</v>
      </c>
      <c r="J1608" t="s">
        <v>330</v>
      </c>
      <c r="K1608" t="s">
        <v>25</v>
      </c>
      <c r="L1608" t="s">
        <v>26</v>
      </c>
      <c r="M1608" t="s">
        <v>27</v>
      </c>
      <c r="N1608" s="1">
        <v>18629</v>
      </c>
      <c r="O1608">
        <v>0</v>
      </c>
      <c r="P1608">
        <v>0</v>
      </c>
      <c r="Q1608" t="s">
        <v>28</v>
      </c>
      <c r="R1608" t="s">
        <v>71</v>
      </c>
      <c r="S1608" t="s">
        <v>4000</v>
      </c>
      <c r="T1608" t="s">
        <v>4001</v>
      </c>
    </row>
    <row r="1609" spans="1:20" x14ac:dyDescent="0.25">
      <c r="A1609" t="s">
        <v>4532</v>
      </c>
      <c r="B1609" t="str">
        <f>"4862"</f>
        <v>4862</v>
      </c>
      <c r="C1609" t="str">
        <f>"282724862"</f>
        <v>282724862</v>
      </c>
      <c r="D1609" t="s">
        <v>3688</v>
      </c>
      <c r="E1609" t="s">
        <v>4533</v>
      </c>
      <c r="F1609" t="s">
        <v>438</v>
      </c>
      <c r="G1609" s="1">
        <v>27637</v>
      </c>
      <c r="H1609" s="1">
        <v>41085</v>
      </c>
      <c r="I1609" t="str">
        <f>"52"</f>
        <v>52</v>
      </c>
      <c r="J1609" t="s">
        <v>330</v>
      </c>
      <c r="K1609" t="s">
        <v>25</v>
      </c>
      <c r="L1609" t="s">
        <v>26</v>
      </c>
      <c r="M1609" t="s">
        <v>27</v>
      </c>
      <c r="N1609" s="1">
        <v>18629</v>
      </c>
      <c r="O1609">
        <v>0</v>
      </c>
      <c r="P1609">
        <v>0</v>
      </c>
      <c r="Q1609" t="s">
        <v>37</v>
      </c>
      <c r="R1609" t="s">
        <v>29</v>
      </c>
      <c r="S1609" t="s">
        <v>4000</v>
      </c>
      <c r="T1609" t="s">
        <v>4001</v>
      </c>
    </row>
    <row r="1610" spans="1:20" x14ac:dyDescent="0.25">
      <c r="A1610" t="s">
        <v>4534</v>
      </c>
      <c r="B1610" t="str">
        <f>"1946"</f>
        <v>1946</v>
      </c>
      <c r="C1610" t="str">
        <f>"292721946"</f>
        <v>292721946</v>
      </c>
      <c r="D1610" t="s">
        <v>4535</v>
      </c>
      <c r="E1610" t="s">
        <v>304</v>
      </c>
      <c r="F1610" t="s">
        <v>69</v>
      </c>
      <c r="G1610" s="1">
        <v>22527</v>
      </c>
      <c r="H1610" s="1">
        <v>41085</v>
      </c>
      <c r="I1610" t="str">
        <f>"42"</f>
        <v>42</v>
      </c>
      <c r="J1610" t="s">
        <v>367</v>
      </c>
      <c r="K1610" t="s">
        <v>25</v>
      </c>
      <c r="L1610" t="s">
        <v>26</v>
      </c>
      <c r="M1610" t="s">
        <v>27</v>
      </c>
      <c r="N1610" s="1">
        <v>18629</v>
      </c>
      <c r="O1610">
        <v>0</v>
      </c>
      <c r="P1610">
        <v>0</v>
      </c>
      <c r="Q1610" t="s">
        <v>28</v>
      </c>
      <c r="R1610" t="s">
        <v>599</v>
      </c>
      <c r="S1610" t="s">
        <v>3959</v>
      </c>
      <c r="T1610" t="s">
        <v>3960</v>
      </c>
    </row>
    <row r="1611" spans="1:20" x14ac:dyDescent="0.25">
      <c r="A1611" t="s">
        <v>4536</v>
      </c>
      <c r="B1611" t="str">
        <f>"1184"</f>
        <v>1184</v>
      </c>
      <c r="C1611" t="str">
        <f>"285901184"</f>
        <v>285901184</v>
      </c>
      <c r="D1611" t="s">
        <v>4537</v>
      </c>
      <c r="E1611" t="s">
        <v>4538</v>
      </c>
      <c r="F1611" t="s">
        <v>174</v>
      </c>
      <c r="G1611" s="1">
        <v>30486</v>
      </c>
      <c r="H1611" s="1">
        <v>41085</v>
      </c>
      <c r="I1611" t="str">
        <f>"52"</f>
        <v>52</v>
      </c>
      <c r="J1611" t="s">
        <v>330</v>
      </c>
      <c r="K1611" t="s">
        <v>25</v>
      </c>
      <c r="L1611" t="s">
        <v>26</v>
      </c>
      <c r="M1611" t="s">
        <v>27</v>
      </c>
      <c r="N1611" s="1">
        <v>18629</v>
      </c>
      <c r="O1611">
        <v>0</v>
      </c>
      <c r="P1611">
        <v>0</v>
      </c>
      <c r="Q1611" t="s">
        <v>37</v>
      </c>
      <c r="R1611" t="s">
        <v>71</v>
      </c>
      <c r="S1611" t="s">
        <v>4000</v>
      </c>
      <c r="T1611" t="s">
        <v>4001</v>
      </c>
    </row>
    <row r="1612" spans="1:20" x14ac:dyDescent="0.25">
      <c r="A1612" t="s">
        <v>4539</v>
      </c>
      <c r="B1612" t="str">
        <f>"2602"</f>
        <v>2602</v>
      </c>
      <c r="C1612" t="str">
        <f>"287662602"</f>
        <v>287662602</v>
      </c>
      <c r="D1612" t="s">
        <v>4540</v>
      </c>
      <c r="E1612" t="s">
        <v>1435</v>
      </c>
      <c r="F1612" t="s">
        <v>97</v>
      </c>
      <c r="G1612" s="1">
        <v>22613</v>
      </c>
      <c r="H1612" s="1">
        <v>41085</v>
      </c>
      <c r="I1612" t="str">
        <f>"52"</f>
        <v>52</v>
      </c>
      <c r="J1612" t="s">
        <v>330</v>
      </c>
      <c r="K1612" t="s">
        <v>25</v>
      </c>
      <c r="L1612" t="s">
        <v>26</v>
      </c>
      <c r="M1612" t="s">
        <v>27</v>
      </c>
      <c r="N1612" s="1">
        <v>18629</v>
      </c>
      <c r="O1612">
        <v>0</v>
      </c>
      <c r="P1612">
        <v>0</v>
      </c>
      <c r="Q1612" t="s">
        <v>37</v>
      </c>
      <c r="R1612" t="s">
        <v>71</v>
      </c>
      <c r="S1612" t="s">
        <v>4000</v>
      </c>
      <c r="T1612" t="s">
        <v>4001</v>
      </c>
    </row>
    <row r="1613" spans="1:20" x14ac:dyDescent="0.25">
      <c r="A1613" t="s">
        <v>4541</v>
      </c>
      <c r="B1613" t="str">
        <f>"0020"</f>
        <v>0020</v>
      </c>
      <c r="C1613" t="str">
        <f>"290740020"</f>
        <v>290740020</v>
      </c>
      <c r="D1613" t="s">
        <v>4542</v>
      </c>
      <c r="E1613" t="s">
        <v>56</v>
      </c>
      <c r="F1613" t="s">
        <v>93</v>
      </c>
      <c r="G1613" s="1">
        <v>28425</v>
      </c>
      <c r="H1613" s="1">
        <v>41085</v>
      </c>
      <c r="I1613" t="str">
        <f>"42"</f>
        <v>42</v>
      </c>
      <c r="J1613" t="s">
        <v>367</v>
      </c>
      <c r="K1613" t="s">
        <v>25</v>
      </c>
      <c r="L1613" t="s">
        <v>26</v>
      </c>
      <c r="M1613" t="s">
        <v>27</v>
      </c>
      <c r="N1613" s="1">
        <v>18629</v>
      </c>
      <c r="O1613">
        <v>0</v>
      </c>
      <c r="P1613">
        <v>0</v>
      </c>
      <c r="Q1613" t="s">
        <v>28</v>
      </c>
      <c r="R1613" t="s">
        <v>599</v>
      </c>
      <c r="S1613" t="s">
        <v>3959</v>
      </c>
      <c r="T1613" t="s">
        <v>3960</v>
      </c>
    </row>
    <row r="1614" spans="1:20" x14ac:dyDescent="0.25">
      <c r="A1614" t="s">
        <v>4543</v>
      </c>
      <c r="B1614" t="str">
        <f>"5628"</f>
        <v>5628</v>
      </c>
      <c r="C1614" t="str">
        <f>"276425628"</f>
        <v>276425628</v>
      </c>
      <c r="D1614" t="s">
        <v>4544</v>
      </c>
      <c r="E1614" t="s">
        <v>304</v>
      </c>
      <c r="F1614" t="s">
        <v>93</v>
      </c>
      <c r="G1614" s="1">
        <v>18415</v>
      </c>
      <c r="H1614" s="1">
        <v>41085</v>
      </c>
      <c r="I1614" t="str">
        <f>"01"</f>
        <v>01</v>
      </c>
      <c r="J1614" t="s">
        <v>116</v>
      </c>
      <c r="K1614" t="s">
        <v>98</v>
      </c>
      <c r="L1614" t="s">
        <v>37</v>
      </c>
      <c r="M1614" t="s">
        <v>257</v>
      </c>
      <c r="N1614" s="1">
        <v>41617</v>
      </c>
      <c r="O1614">
        <v>10753.08</v>
      </c>
      <c r="P1614">
        <v>2688.4</v>
      </c>
      <c r="Q1614" t="s">
        <v>28</v>
      </c>
      <c r="R1614" t="s">
        <v>29</v>
      </c>
      <c r="S1614" t="s">
        <v>1649</v>
      </c>
      <c r="T1614" t="s">
        <v>1650</v>
      </c>
    </row>
    <row r="1615" spans="1:20" x14ac:dyDescent="0.25">
      <c r="A1615" t="s">
        <v>4545</v>
      </c>
      <c r="B1615" t="str">
        <f>"0445"</f>
        <v>0445</v>
      </c>
      <c r="C1615" t="str">
        <f>"211380445"</f>
        <v>211380445</v>
      </c>
      <c r="D1615" t="s">
        <v>4546</v>
      </c>
      <c r="E1615" t="s">
        <v>233</v>
      </c>
      <c r="F1615" t="s">
        <v>93</v>
      </c>
      <c r="G1615" s="1">
        <v>18367</v>
      </c>
      <c r="H1615" s="1">
        <v>41078</v>
      </c>
      <c r="I1615" t="str">
        <f>"51"</f>
        <v>51</v>
      </c>
      <c r="J1615" t="s">
        <v>471</v>
      </c>
      <c r="K1615" t="s">
        <v>25</v>
      </c>
      <c r="L1615" t="s">
        <v>26</v>
      </c>
      <c r="M1615" t="s">
        <v>27</v>
      </c>
      <c r="N1615" s="1">
        <v>18629</v>
      </c>
      <c r="O1615">
        <v>0</v>
      </c>
      <c r="P1615">
        <v>0</v>
      </c>
      <c r="Q1615" t="s">
        <v>28</v>
      </c>
      <c r="R1615" t="s">
        <v>51</v>
      </c>
      <c r="S1615" s="2" t="s">
        <v>4118</v>
      </c>
      <c r="T1615" t="s">
        <v>4119</v>
      </c>
    </row>
    <row r="1616" spans="1:20" x14ac:dyDescent="0.25">
      <c r="A1616" t="s">
        <v>4547</v>
      </c>
      <c r="B1616" t="str">
        <f>"5337"</f>
        <v>5337</v>
      </c>
      <c r="C1616" t="str">
        <f>"299405337"</f>
        <v>299405337</v>
      </c>
      <c r="D1616" t="s">
        <v>4548</v>
      </c>
      <c r="E1616" t="s">
        <v>463</v>
      </c>
      <c r="F1616" t="s">
        <v>97</v>
      </c>
      <c r="G1616" s="1">
        <v>16964</v>
      </c>
      <c r="H1616" s="1">
        <v>41071</v>
      </c>
      <c r="I1616" t="str">
        <f>"52"</f>
        <v>52</v>
      </c>
      <c r="J1616" t="s">
        <v>330</v>
      </c>
      <c r="K1616" t="s">
        <v>25</v>
      </c>
      <c r="L1616" t="s">
        <v>26</v>
      </c>
      <c r="M1616" t="s">
        <v>27</v>
      </c>
      <c r="N1616" s="1">
        <v>18629</v>
      </c>
      <c r="O1616">
        <v>0</v>
      </c>
      <c r="P1616">
        <v>0</v>
      </c>
      <c r="Q1616" t="s">
        <v>28</v>
      </c>
      <c r="R1616" t="s">
        <v>29</v>
      </c>
      <c r="S1616" t="s">
        <v>4000</v>
      </c>
      <c r="T1616" t="s">
        <v>4001</v>
      </c>
    </row>
    <row r="1617" spans="1:20" x14ac:dyDescent="0.25">
      <c r="A1617" t="s">
        <v>4549</v>
      </c>
      <c r="B1617" t="str">
        <f>"1175"</f>
        <v>1175</v>
      </c>
      <c r="C1617" t="str">
        <f>"281681175"</f>
        <v>281681175</v>
      </c>
      <c r="D1617" t="s">
        <v>4550</v>
      </c>
      <c r="E1617" t="s">
        <v>202</v>
      </c>
      <c r="G1617" s="1">
        <v>26089</v>
      </c>
      <c r="H1617" s="1">
        <v>41071</v>
      </c>
      <c r="I1617" t="str">
        <f>"01"</f>
        <v>01</v>
      </c>
      <c r="J1617" t="s">
        <v>116</v>
      </c>
      <c r="K1617" t="s">
        <v>98</v>
      </c>
      <c r="L1617" t="s">
        <v>37</v>
      </c>
      <c r="M1617" t="s">
        <v>99</v>
      </c>
      <c r="N1617" s="1">
        <v>41617</v>
      </c>
      <c r="O1617">
        <v>14801.8</v>
      </c>
      <c r="P1617">
        <v>3700.32</v>
      </c>
      <c r="Q1617" t="s">
        <v>37</v>
      </c>
      <c r="R1617" t="s">
        <v>110</v>
      </c>
      <c r="S1617" t="s">
        <v>1346</v>
      </c>
      <c r="T1617" t="s">
        <v>1347</v>
      </c>
    </row>
    <row r="1618" spans="1:20" x14ac:dyDescent="0.25">
      <c r="A1618" t="s">
        <v>4551</v>
      </c>
      <c r="B1618" t="str">
        <f>"3916"</f>
        <v>3916</v>
      </c>
      <c r="C1618" t="str">
        <f>"289483916"</f>
        <v>289483916</v>
      </c>
      <c r="D1618" t="s">
        <v>4552</v>
      </c>
      <c r="E1618" t="s">
        <v>4553</v>
      </c>
      <c r="F1618" t="s">
        <v>329</v>
      </c>
      <c r="G1618" s="1">
        <v>19962</v>
      </c>
      <c r="H1618" s="1">
        <v>41071</v>
      </c>
      <c r="I1618" t="str">
        <f>"50"</f>
        <v>50</v>
      </c>
      <c r="J1618" t="s">
        <v>208</v>
      </c>
      <c r="K1618" t="s">
        <v>25</v>
      </c>
      <c r="L1618" t="s">
        <v>26</v>
      </c>
      <c r="M1618" t="s">
        <v>27</v>
      </c>
      <c r="N1618" s="1">
        <v>18629</v>
      </c>
      <c r="O1618">
        <v>0</v>
      </c>
      <c r="P1618">
        <v>0</v>
      </c>
      <c r="Q1618" t="s">
        <v>28</v>
      </c>
      <c r="R1618" t="s">
        <v>258</v>
      </c>
      <c r="S1618" t="s">
        <v>472</v>
      </c>
      <c r="T1618" t="s">
        <v>473</v>
      </c>
    </row>
    <row r="1619" spans="1:20" x14ac:dyDescent="0.25">
      <c r="A1619" t="s">
        <v>4554</v>
      </c>
      <c r="B1619" t="str">
        <f>"2822"</f>
        <v>2822</v>
      </c>
      <c r="C1619" t="str">
        <f>"295882822"</f>
        <v>295882822</v>
      </c>
      <c r="D1619" t="s">
        <v>4555</v>
      </c>
      <c r="E1619" t="s">
        <v>4556</v>
      </c>
      <c r="F1619" t="s">
        <v>97</v>
      </c>
      <c r="G1619" s="1">
        <v>32297</v>
      </c>
      <c r="H1619" s="1">
        <v>41071</v>
      </c>
      <c r="I1619" t="str">
        <f>"41"</f>
        <v>41</v>
      </c>
      <c r="J1619" t="s">
        <v>24</v>
      </c>
      <c r="K1619" t="s">
        <v>25</v>
      </c>
      <c r="L1619" t="s">
        <v>26</v>
      </c>
      <c r="M1619" t="s">
        <v>27</v>
      </c>
      <c r="N1619" s="1">
        <v>18629</v>
      </c>
      <c r="O1619">
        <v>0</v>
      </c>
      <c r="P1619">
        <v>0</v>
      </c>
      <c r="Q1619" t="s">
        <v>37</v>
      </c>
      <c r="R1619" t="s">
        <v>29</v>
      </c>
      <c r="S1619" t="s">
        <v>3368</v>
      </c>
      <c r="T1619" t="s">
        <v>3369</v>
      </c>
    </row>
    <row r="1620" spans="1:20" x14ac:dyDescent="0.25">
      <c r="A1620" t="s">
        <v>4557</v>
      </c>
      <c r="B1620" t="str">
        <f>"9438"</f>
        <v>9438</v>
      </c>
      <c r="C1620" t="str">
        <f>"297349438"</f>
        <v>297349438</v>
      </c>
      <c r="D1620" t="s">
        <v>452</v>
      </c>
      <c r="E1620" t="s">
        <v>2950</v>
      </c>
      <c r="F1620" t="s">
        <v>329</v>
      </c>
      <c r="G1620" s="1">
        <v>14895</v>
      </c>
      <c r="H1620" s="1">
        <v>41071</v>
      </c>
      <c r="I1620" t="str">
        <f>"52"</f>
        <v>52</v>
      </c>
      <c r="J1620" t="s">
        <v>330</v>
      </c>
      <c r="K1620" t="s">
        <v>25</v>
      </c>
      <c r="L1620" t="s">
        <v>26</v>
      </c>
      <c r="M1620" t="s">
        <v>27</v>
      </c>
      <c r="N1620" s="1">
        <v>18629</v>
      </c>
      <c r="O1620">
        <v>0</v>
      </c>
      <c r="P1620">
        <v>0</v>
      </c>
      <c r="Q1620" t="s">
        <v>37</v>
      </c>
      <c r="R1620" t="s">
        <v>51</v>
      </c>
      <c r="S1620" s="2" t="s">
        <v>362</v>
      </c>
      <c r="T1620" t="s">
        <v>363</v>
      </c>
    </row>
    <row r="1621" spans="1:20" x14ac:dyDescent="0.25">
      <c r="A1621" t="s">
        <v>4558</v>
      </c>
      <c r="B1621" t="str">
        <f>"0713"</f>
        <v>0713</v>
      </c>
      <c r="C1621" t="str">
        <f>"295900713"</f>
        <v>295900713</v>
      </c>
      <c r="D1621" t="s">
        <v>2396</v>
      </c>
      <c r="E1621" t="s">
        <v>4559</v>
      </c>
      <c r="F1621" t="s">
        <v>1026</v>
      </c>
      <c r="G1621" s="1">
        <v>31811</v>
      </c>
      <c r="H1621" s="1">
        <v>41070</v>
      </c>
      <c r="I1621" t="str">
        <f>"50"</f>
        <v>50</v>
      </c>
      <c r="J1621" t="s">
        <v>208</v>
      </c>
      <c r="K1621" t="s">
        <v>25</v>
      </c>
      <c r="L1621" t="s">
        <v>26</v>
      </c>
      <c r="M1621" t="s">
        <v>27</v>
      </c>
      <c r="N1621" s="1">
        <v>18629</v>
      </c>
      <c r="O1621">
        <v>0</v>
      </c>
      <c r="P1621">
        <v>0</v>
      </c>
      <c r="Q1621" t="s">
        <v>37</v>
      </c>
      <c r="R1621" t="s">
        <v>51</v>
      </c>
      <c r="S1621" s="2" t="s">
        <v>198</v>
      </c>
      <c r="T1621" t="s">
        <v>199</v>
      </c>
    </row>
    <row r="1622" spans="1:20" x14ac:dyDescent="0.25">
      <c r="A1622" t="s">
        <v>4560</v>
      </c>
      <c r="B1622" t="str">
        <f>"4295"</f>
        <v>4295</v>
      </c>
      <c r="C1622" t="str">
        <f>"272544295"</f>
        <v>272544295</v>
      </c>
      <c r="D1622" t="s">
        <v>4561</v>
      </c>
      <c r="E1622" t="s">
        <v>1372</v>
      </c>
      <c r="F1622" t="s">
        <v>44</v>
      </c>
      <c r="G1622" s="1">
        <v>21952</v>
      </c>
      <c r="H1622" s="1">
        <v>41064</v>
      </c>
      <c r="I1622" t="str">
        <f>"41"</f>
        <v>41</v>
      </c>
      <c r="J1622" t="s">
        <v>24</v>
      </c>
      <c r="K1622" t="s">
        <v>25</v>
      </c>
      <c r="L1622" t="s">
        <v>26</v>
      </c>
      <c r="M1622" t="s">
        <v>27</v>
      </c>
      <c r="N1622" s="1">
        <v>18629</v>
      </c>
      <c r="O1622">
        <v>0</v>
      </c>
      <c r="P1622">
        <v>0</v>
      </c>
      <c r="Q1622" t="s">
        <v>37</v>
      </c>
      <c r="R1622" t="s">
        <v>51</v>
      </c>
      <c r="S1622" s="2" t="s">
        <v>1972</v>
      </c>
      <c r="T1622" t="s">
        <v>1973</v>
      </c>
    </row>
    <row r="1623" spans="1:20" x14ac:dyDescent="0.25">
      <c r="A1623" t="s">
        <v>4562</v>
      </c>
      <c r="B1623" t="str">
        <f>"9806"</f>
        <v>9806</v>
      </c>
      <c r="C1623" t="str">
        <f>"288589806"</f>
        <v>288589806</v>
      </c>
      <c r="D1623" t="s">
        <v>4563</v>
      </c>
      <c r="E1623" t="s">
        <v>35</v>
      </c>
      <c r="F1623" t="s">
        <v>97</v>
      </c>
      <c r="G1623" s="1">
        <v>20580</v>
      </c>
      <c r="H1623" s="1">
        <v>41064</v>
      </c>
      <c r="I1623" t="str">
        <f>"33"</f>
        <v>33</v>
      </c>
      <c r="J1623" t="s">
        <v>45</v>
      </c>
      <c r="K1623" t="s">
        <v>25</v>
      </c>
      <c r="L1623" t="s">
        <v>26</v>
      </c>
      <c r="M1623" t="s">
        <v>27</v>
      </c>
      <c r="N1623" s="1">
        <v>18629</v>
      </c>
      <c r="O1623">
        <v>0</v>
      </c>
      <c r="P1623">
        <v>0</v>
      </c>
      <c r="Q1623" t="s">
        <v>28</v>
      </c>
      <c r="R1623" t="s">
        <v>51</v>
      </c>
      <c r="S1623" t="s">
        <v>795</v>
      </c>
      <c r="T1623" t="s">
        <v>796</v>
      </c>
    </row>
    <row r="1624" spans="1:20" x14ac:dyDescent="0.25">
      <c r="A1624" t="s">
        <v>4564</v>
      </c>
      <c r="B1624" t="str">
        <f>"6951"</f>
        <v>6951</v>
      </c>
      <c r="C1624" t="str">
        <f>"299546951"</f>
        <v>299546951</v>
      </c>
      <c r="D1624" t="s">
        <v>4565</v>
      </c>
      <c r="E1624" t="s">
        <v>4566</v>
      </c>
      <c r="G1624" s="1">
        <v>21135</v>
      </c>
      <c r="H1624" s="1">
        <v>41064</v>
      </c>
      <c r="I1624" t="str">
        <f>"52"</f>
        <v>52</v>
      </c>
      <c r="J1624" t="s">
        <v>330</v>
      </c>
      <c r="K1624" t="s">
        <v>25</v>
      </c>
      <c r="L1624" t="s">
        <v>26</v>
      </c>
      <c r="M1624" t="s">
        <v>27</v>
      </c>
      <c r="N1624" s="1">
        <v>18629</v>
      </c>
      <c r="O1624">
        <v>0</v>
      </c>
      <c r="P1624">
        <v>0</v>
      </c>
      <c r="Q1624" t="s">
        <v>37</v>
      </c>
      <c r="R1624" t="s">
        <v>29</v>
      </c>
      <c r="S1624" t="s">
        <v>3368</v>
      </c>
      <c r="T1624" t="s">
        <v>3369</v>
      </c>
    </row>
    <row r="1625" spans="1:20" x14ac:dyDescent="0.25">
      <c r="A1625" t="s">
        <v>4567</v>
      </c>
      <c r="B1625" t="str">
        <f>"1429"</f>
        <v>1429</v>
      </c>
      <c r="C1625" t="str">
        <f>"295461429"</f>
        <v>295461429</v>
      </c>
      <c r="D1625" t="s">
        <v>4568</v>
      </c>
      <c r="E1625" t="s">
        <v>1032</v>
      </c>
      <c r="F1625" t="s">
        <v>28</v>
      </c>
      <c r="G1625" s="1">
        <v>17949</v>
      </c>
      <c r="H1625" s="1">
        <v>41064</v>
      </c>
      <c r="I1625" t="str">
        <f>"52"</f>
        <v>52</v>
      </c>
      <c r="J1625" t="s">
        <v>330</v>
      </c>
      <c r="K1625" t="s">
        <v>25</v>
      </c>
      <c r="L1625" t="s">
        <v>26</v>
      </c>
      <c r="M1625" t="s">
        <v>27</v>
      </c>
      <c r="N1625" s="1">
        <v>18629</v>
      </c>
      <c r="O1625">
        <v>0</v>
      </c>
      <c r="P1625">
        <v>0</v>
      </c>
      <c r="Q1625" t="s">
        <v>28</v>
      </c>
      <c r="R1625" t="s">
        <v>258</v>
      </c>
      <c r="S1625" t="s">
        <v>557</v>
      </c>
      <c r="T1625" t="s">
        <v>558</v>
      </c>
    </row>
    <row r="1626" spans="1:20" x14ac:dyDescent="0.25">
      <c r="A1626" t="s">
        <v>4569</v>
      </c>
      <c r="B1626" t="str">
        <f>"0861"</f>
        <v>0861</v>
      </c>
      <c r="C1626" t="str">
        <f>"287740861"</f>
        <v>287740861</v>
      </c>
      <c r="D1626" t="s">
        <v>4553</v>
      </c>
      <c r="E1626" t="s">
        <v>4570</v>
      </c>
      <c r="G1626" s="1">
        <v>19553</v>
      </c>
      <c r="H1626" s="1">
        <v>41064</v>
      </c>
      <c r="I1626" t="str">
        <f>"33"</f>
        <v>33</v>
      </c>
      <c r="J1626" t="s">
        <v>45</v>
      </c>
      <c r="K1626" t="s">
        <v>25</v>
      </c>
      <c r="L1626" t="s">
        <v>26</v>
      </c>
      <c r="M1626" t="s">
        <v>27</v>
      </c>
      <c r="N1626" s="1">
        <v>18629</v>
      </c>
      <c r="O1626">
        <v>0</v>
      </c>
      <c r="P1626">
        <v>0</v>
      </c>
      <c r="Q1626" t="s">
        <v>37</v>
      </c>
      <c r="R1626" t="s">
        <v>51</v>
      </c>
      <c r="S1626" t="s">
        <v>795</v>
      </c>
      <c r="T1626" t="s">
        <v>796</v>
      </c>
    </row>
    <row r="1627" spans="1:20" x14ac:dyDescent="0.25">
      <c r="A1627" t="s">
        <v>4571</v>
      </c>
      <c r="B1627" t="str">
        <f>"6791"</f>
        <v>6791</v>
      </c>
      <c r="C1627" t="str">
        <f>"301726791"</f>
        <v>301726791</v>
      </c>
      <c r="D1627" t="s">
        <v>4572</v>
      </c>
      <c r="E1627" t="s">
        <v>35</v>
      </c>
      <c r="F1627" t="s">
        <v>69</v>
      </c>
      <c r="G1627" s="1">
        <v>28412</v>
      </c>
      <c r="H1627" s="1">
        <v>41064</v>
      </c>
      <c r="I1627" t="str">
        <f>"33"</f>
        <v>33</v>
      </c>
      <c r="J1627" t="s">
        <v>45</v>
      </c>
      <c r="K1627" t="s">
        <v>25</v>
      </c>
      <c r="L1627" t="s">
        <v>26</v>
      </c>
      <c r="M1627" t="s">
        <v>27</v>
      </c>
      <c r="N1627" s="1">
        <v>18629</v>
      </c>
      <c r="O1627">
        <v>0</v>
      </c>
      <c r="P1627">
        <v>0</v>
      </c>
      <c r="Q1627" t="s">
        <v>28</v>
      </c>
      <c r="R1627" t="s">
        <v>100</v>
      </c>
      <c r="S1627" t="s">
        <v>757</v>
      </c>
      <c r="T1627" t="s">
        <v>758</v>
      </c>
    </row>
    <row r="1628" spans="1:20" x14ac:dyDescent="0.25">
      <c r="A1628" t="s">
        <v>4573</v>
      </c>
      <c r="B1628" t="str">
        <f>"7065"</f>
        <v>7065</v>
      </c>
      <c r="C1628" t="str">
        <f>"287787065"</f>
        <v>287787065</v>
      </c>
      <c r="D1628" t="s">
        <v>4574</v>
      </c>
      <c r="E1628" t="s">
        <v>3747</v>
      </c>
      <c r="F1628" t="s">
        <v>97</v>
      </c>
      <c r="G1628" s="1">
        <v>29909</v>
      </c>
      <c r="H1628" s="1">
        <v>41062</v>
      </c>
      <c r="I1628" t="str">
        <f>"30"</f>
        <v>30</v>
      </c>
      <c r="J1628" t="s">
        <v>50</v>
      </c>
      <c r="K1628" t="s">
        <v>25</v>
      </c>
      <c r="L1628" t="s">
        <v>26</v>
      </c>
      <c r="M1628" t="s">
        <v>27</v>
      </c>
      <c r="N1628" s="1">
        <v>18629</v>
      </c>
      <c r="O1628">
        <v>0</v>
      </c>
      <c r="P1628">
        <v>0</v>
      </c>
      <c r="Q1628" t="s">
        <v>28</v>
      </c>
      <c r="R1628" t="s">
        <v>71</v>
      </c>
      <c r="S1628" t="s">
        <v>3003</v>
      </c>
      <c r="T1628" t="s">
        <v>3004</v>
      </c>
    </row>
    <row r="1629" spans="1:20" x14ac:dyDescent="0.25">
      <c r="A1629" t="s">
        <v>4575</v>
      </c>
      <c r="B1629" t="str">
        <f>"2520"</f>
        <v>2520</v>
      </c>
      <c r="C1629" t="str">
        <f>"269822520"</f>
        <v>269822520</v>
      </c>
      <c r="D1629" t="s">
        <v>4576</v>
      </c>
      <c r="E1629" t="s">
        <v>344</v>
      </c>
      <c r="G1629" s="1">
        <v>30452</v>
      </c>
      <c r="H1629" s="1">
        <v>41059</v>
      </c>
      <c r="I1629" t="str">
        <f>"51"</f>
        <v>51</v>
      </c>
      <c r="J1629" t="s">
        <v>471</v>
      </c>
      <c r="K1629" t="s">
        <v>25</v>
      </c>
      <c r="L1629" t="s">
        <v>26</v>
      </c>
      <c r="M1629" t="s">
        <v>27</v>
      </c>
      <c r="N1629" s="1">
        <v>18629</v>
      </c>
      <c r="O1629">
        <v>0</v>
      </c>
      <c r="P1629">
        <v>0</v>
      </c>
      <c r="Q1629" t="s">
        <v>37</v>
      </c>
      <c r="R1629" t="s">
        <v>29</v>
      </c>
      <c r="S1629" t="s">
        <v>3258</v>
      </c>
      <c r="T1629" t="s">
        <v>3259</v>
      </c>
    </row>
    <row r="1630" spans="1:20" x14ac:dyDescent="0.25">
      <c r="A1630" t="s">
        <v>4577</v>
      </c>
      <c r="B1630" t="str">
        <f>"0839"</f>
        <v>0839</v>
      </c>
      <c r="C1630" t="str">
        <f>"275800839"</f>
        <v>275800839</v>
      </c>
      <c r="D1630" t="s">
        <v>4578</v>
      </c>
      <c r="E1630" t="s">
        <v>4579</v>
      </c>
      <c r="F1630" t="s">
        <v>93</v>
      </c>
      <c r="G1630" s="1">
        <v>24539</v>
      </c>
      <c r="H1630" s="1">
        <v>41058</v>
      </c>
      <c r="I1630" t="str">
        <f>"01"</f>
        <v>01</v>
      </c>
      <c r="J1630" t="s">
        <v>116</v>
      </c>
      <c r="K1630" t="s">
        <v>98</v>
      </c>
      <c r="L1630" t="s">
        <v>37</v>
      </c>
      <c r="M1630" t="s">
        <v>257</v>
      </c>
      <c r="N1630" s="1">
        <v>41617</v>
      </c>
      <c r="O1630">
        <v>10753.08</v>
      </c>
      <c r="P1630">
        <v>2688.4</v>
      </c>
      <c r="Q1630" t="s">
        <v>37</v>
      </c>
      <c r="R1630" t="s">
        <v>29</v>
      </c>
      <c r="S1630" t="s">
        <v>973</v>
      </c>
      <c r="T1630" t="s">
        <v>974</v>
      </c>
    </row>
    <row r="1631" spans="1:20" x14ac:dyDescent="0.25">
      <c r="A1631" t="s">
        <v>4580</v>
      </c>
      <c r="B1631" t="str">
        <f>"5459"</f>
        <v>5459</v>
      </c>
      <c r="C1631" t="str">
        <f>"406065459"</f>
        <v>406065459</v>
      </c>
      <c r="D1631" t="s">
        <v>3427</v>
      </c>
      <c r="E1631" t="s">
        <v>1589</v>
      </c>
      <c r="F1631" t="s">
        <v>44</v>
      </c>
      <c r="G1631" s="1">
        <v>22510</v>
      </c>
      <c r="H1631" s="1">
        <v>41058</v>
      </c>
      <c r="I1631" t="str">
        <f>"50"</f>
        <v>50</v>
      </c>
      <c r="J1631" t="s">
        <v>208</v>
      </c>
      <c r="K1631" t="s">
        <v>25</v>
      </c>
      <c r="L1631" t="s">
        <v>26</v>
      </c>
      <c r="M1631" t="s">
        <v>27</v>
      </c>
      <c r="N1631" s="1">
        <v>18629</v>
      </c>
      <c r="O1631">
        <v>0</v>
      </c>
      <c r="P1631">
        <v>0</v>
      </c>
      <c r="Q1631" t="s">
        <v>37</v>
      </c>
      <c r="R1631" t="s">
        <v>100</v>
      </c>
      <c r="S1631" t="s">
        <v>2206</v>
      </c>
      <c r="T1631" t="s">
        <v>2207</v>
      </c>
    </row>
    <row r="1632" spans="1:20" x14ac:dyDescent="0.25">
      <c r="A1632" t="s">
        <v>4581</v>
      </c>
      <c r="B1632" t="str">
        <f>"9141"</f>
        <v>9141</v>
      </c>
      <c r="C1632" t="str">
        <f>"269669141"</f>
        <v>269669141</v>
      </c>
      <c r="D1632" t="s">
        <v>4582</v>
      </c>
      <c r="E1632" t="s">
        <v>35</v>
      </c>
      <c r="F1632" t="s">
        <v>97</v>
      </c>
      <c r="G1632" s="1">
        <v>25301</v>
      </c>
      <c r="H1632" s="1">
        <v>41058</v>
      </c>
      <c r="I1632" t="str">
        <f>"01"</f>
        <v>01</v>
      </c>
      <c r="J1632" t="s">
        <v>116</v>
      </c>
      <c r="K1632" t="s">
        <v>98</v>
      </c>
      <c r="L1632" t="s">
        <v>37</v>
      </c>
      <c r="M1632" t="s">
        <v>99</v>
      </c>
      <c r="N1632" s="1">
        <v>41617</v>
      </c>
      <c r="O1632">
        <v>14801.8</v>
      </c>
      <c r="P1632">
        <v>3700.32</v>
      </c>
      <c r="Q1632" t="s">
        <v>28</v>
      </c>
      <c r="R1632" t="s">
        <v>71</v>
      </c>
      <c r="S1632" t="s">
        <v>373</v>
      </c>
      <c r="T1632" t="s">
        <v>374</v>
      </c>
    </row>
    <row r="1633" spans="1:20" x14ac:dyDescent="0.25">
      <c r="A1633" t="s">
        <v>4583</v>
      </c>
      <c r="B1633" t="str">
        <f>"7710"</f>
        <v>7710</v>
      </c>
      <c r="C1633" t="str">
        <f>"275787710"</f>
        <v>275787710</v>
      </c>
      <c r="D1633" t="s">
        <v>1412</v>
      </c>
      <c r="E1633" t="s">
        <v>609</v>
      </c>
      <c r="F1633" t="s">
        <v>44</v>
      </c>
      <c r="G1633" s="1">
        <v>29763</v>
      </c>
      <c r="H1633" s="1">
        <v>41058</v>
      </c>
      <c r="I1633" t="str">
        <f>"41"</f>
        <v>41</v>
      </c>
      <c r="J1633" t="s">
        <v>24</v>
      </c>
      <c r="K1633" t="s">
        <v>25</v>
      </c>
      <c r="L1633" t="s">
        <v>26</v>
      </c>
      <c r="M1633" t="s">
        <v>27</v>
      </c>
      <c r="N1633" s="1">
        <v>18629</v>
      </c>
      <c r="O1633">
        <v>0</v>
      </c>
      <c r="P1633">
        <v>0</v>
      </c>
      <c r="Q1633" t="s">
        <v>28</v>
      </c>
      <c r="R1633" t="s">
        <v>258</v>
      </c>
      <c r="S1633" t="s">
        <v>605</v>
      </c>
      <c r="T1633" t="s">
        <v>606</v>
      </c>
    </row>
    <row r="1634" spans="1:20" x14ac:dyDescent="0.25">
      <c r="A1634" t="s">
        <v>4584</v>
      </c>
      <c r="B1634" t="str">
        <f>"1571"</f>
        <v>1571</v>
      </c>
      <c r="C1634" t="str">
        <f>"299461571"</f>
        <v>299461571</v>
      </c>
      <c r="D1634" t="s">
        <v>4585</v>
      </c>
      <c r="E1634" t="s">
        <v>1074</v>
      </c>
      <c r="F1634" t="s">
        <v>556</v>
      </c>
      <c r="G1634" s="1">
        <v>18827</v>
      </c>
      <c r="H1634" s="1">
        <v>41058</v>
      </c>
      <c r="I1634" t="str">
        <f>"51"</f>
        <v>51</v>
      </c>
      <c r="J1634" t="s">
        <v>471</v>
      </c>
      <c r="K1634" t="s">
        <v>25</v>
      </c>
      <c r="L1634" t="s">
        <v>26</v>
      </c>
      <c r="M1634" t="s">
        <v>27</v>
      </c>
      <c r="N1634" s="1">
        <v>18629</v>
      </c>
      <c r="O1634">
        <v>0</v>
      </c>
      <c r="P1634">
        <v>0</v>
      </c>
      <c r="Q1634" t="s">
        <v>37</v>
      </c>
      <c r="R1634" t="s">
        <v>29</v>
      </c>
      <c r="S1634" t="s">
        <v>801</v>
      </c>
      <c r="T1634" t="s">
        <v>802</v>
      </c>
    </row>
    <row r="1635" spans="1:20" x14ac:dyDescent="0.25">
      <c r="A1635" t="s">
        <v>4586</v>
      </c>
      <c r="B1635" t="str">
        <f>"4474"</f>
        <v>4474</v>
      </c>
      <c r="C1635" t="str">
        <f>"282744474"</f>
        <v>282744474</v>
      </c>
      <c r="D1635" t="s">
        <v>4587</v>
      </c>
      <c r="E1635" t="s">
        <v>682</v>
      </c>
      <c r="F1635" t="s">
        <v>219</v>
      </c>
      <c r="G1635" s="1">
        <v>23085</v>
      </c>
      <c r="H1635" s="1">
        <v>41058</v>
      </c>
      <c r="I1635" t="str">
        <f>"51"</f>
        <v>51</v>
      </c>
      <c r="J1635" t="s">
        <v>471</v>
      </c>
      <c r="K1635" t="s">
        <v>25</v>
      </c>
      <c r="L1635" t="s">
        <v>26</v>
      </c>
      <c r="M1635" t="s">
        <v>27</v>
      </c>
      <c r="N1635" s="1">
        <v>18629</v>
      </c>
      <c r="O1635">
        <v>0</v>
      </c>
      <c r="P1635">
        <v>0</v>
      </c>
      <c r="Q1635" t="s">
        <v>37</v>
      </c>
      <c r="R1635" t="s">
        <v>51</v>
      </c>
      <c r="S1635" s="2" t="s">
        <v>64</v>
      </c>
      <c r="T1635" t="s">
        <v>65</v>
      </c>
    </row>
    <row r="1636" spans="1:20" x14ac:dyDescent="0.25">
      <c r="A1636" t="s">
        <v>4588</v>
      </c>
      <c r="B1636" t="str">
        <f>"9553"</f>
        <v>9553</v>
      </c>
      <c r="C1636" t="str">
        <f>"285589553"</f>
        <v>285589553</v>
      </c>
      <c r="D1636" t="s">
        <v>4589</v>
      </c>
      <c r="E1636" t="s">
        <v>544</v>
      </c>
      <c r="F1636" t="s">
        <v>556</v>
      </c>
      <c r="G1636" s="1">
        <v>25411</v>
      </c>
      <c r="H1636" s="1">
        <v>41058</v>
      </c>
      <c r="I1636" t="str">
        <f>"51"</f>
        <v>51</v>
      </c>
      <c r="J1636" t="s">
        <v>471</v>
      </c>
      <c r="K1636" t="s">
        <v>25</v>
      </c>
      <c r="L1636" t="s">
        <v>26</v>
      </c>
      <c r="M1636" t="s">
        <v>27</v>
      </c>
      <c r="N1636" s="1">
        <v>18629</v>
      </c>
      <c r="O1636">
        <v>0</v>
      </c>
      <c r="P1636">
        <v>0</v>
      </c>
      <c r="Q1636" t="s">
        <v>37</v>
      </c>
      <c r="R1636" t="s">
        <v>71</v>
      </c>
      <c r="S1636" t="s">
        <v>2406</v>
      </c>
      <c r="T1636" t="s">
        <v>2407</v>
      </c>
    </row>
    <row r="1637" spans="1:20" x14ac:dyDescent="0.25">
      <c r="A1637" t="s">
        <v>4590</v>
      </c>
      <c r="B1637" t="str">
        <f>"2223"</f>
        <v>2223</v>
      </c>
      <c r="C1637" t="str">
        <f>"464832223"</f>
        <v>464832223</v>
      </c>
      <c r="D1637" t="s">
        <v>1037</v>
      </c>
      <c r="E1637" t="s">
        <v>1172</v>
      </c>
      <c r="F1637" t="s">
        <v>69</v>
      </c>
      <c r="G1637" s="1">
        <v>27295</v>
      </c>
      <c r="H1637" s="1">
        <v>41058</v>
      </c>
      <c r="I1637" t="str">
        <f>"51"</f>
        <v>51</v>
      </c>
      <c r="J1637" t="s">
        <v>471</v>
      </c>
      <c r="K1637" t="s">
        <v>25</v>
      </c>
      <c r="L1637" t="s">
        <v>26</v>
      </c>
      <c r="M1637" t="s">
        <v>27</v>
      </c>
      <c r="N1637" s="1">
        <v>18629</v>
      </c>
      <c r="O1637">
        <v>0</v>
      </c>
      <c r="P1637">
        <v>0</v>
      </c>
      <c r="Q1637" t="s">
        <v>28</v>
      </c>
      <c r="R1637" t="s">
        <v>71</v>
      </c>
      <c r="S1637" t="s">
        <v>157</v>
      </c>
      <c r="T1637" t="s">
        <v>158</v>
      </c>
    </row>
    <row r="1638" spans="1:20" x14ac:dyDescent="0.25">
      <c r="A1638" t="s">
        <v>4591</v>
      </c>
      <c r="B1638" t="str">
        <f>"2425"</f>
        <v>2425</v>
      </c>
      <c r="C1638" t="str">
        <f>"285862425"</f>
        <v>285862425</v>
      </c>
      <c r="D1638" t="s">
        <v>1279</v>
      </c>
      <c r="E1638" t="s">
        <v>4592</v>
      </c>
      <c r="F1638" t="s">
        <v>264</v>
      </c>
      <c r="G1638" s="1">
        <v>30355</v>
      </c>
      <c r="H1638" s="1">
        <v>41058</v>
      </c>
      <c r="I1638" t="str">
        <f>"15"</f>
        <v>15</v>
      </c>
      <c r="J1638" t="s">
        <v>36</v>
      </c>
      <c r="K1638" t="s">
        <v>175</v>
      </c>
      <c r="L1638" t="s">
        <v>37</v>
      </c>
      <c r="M1638" t="s">
        <v>117</v>
      </c>
      <c r="N1638" s="1">
        <v>41617</v>
      </c>
      <c r="O1638">
        <v>5288.66</v>
      </c>
      <c r="P1638">
        <v>1322.1</v>
      </c>
      <c r="Q1638" t="s">
        <v>37</v>
      </c>
      <c r="R1638" t="s">
        <v>51</v>
      </c>
      <c r="S1638" s="2" t="s">
        <v>1922</v>
      </c>
      <c r="T1638" t="s">
        <v>1923</v>
      </c>
    </row>
    <row r="1639" spans="1:20" x14ac:dyDescent="0.25">
      <c r="A1639" t="s">
        <v>4593</v>
      </c>
      <c r="B1639" t="str">
        <f>"3572"</f>
        <v>3572</v>
      </c>
      <c r="C1639" t="str">
        <f>"294723572"</f>
        <v>294723572</v>
      </c>
      <c r="D1639" t="s">
        <v>4594</v>
      </c>
      <c r="E1639" t="s">
        <v>4595</v>
      </c>
      <c r="F1639" t="s">
        <v>28</v>
      </c>
      <c r="G1639" s="1">
        <v>23525</v>
      </c>
      <c r="H1639" s="1">
        <v>41058</v>
      </c>
      <c r="I1639" t="str">
        <f t="shared" ref="I1639:I1644" si="32">"51"</f>
        <v>51</v>
      </c>
      <c r="J1639" t="s">
        <v>471</v>
      </c>
      <c r="K1639" t="s">
        <v>25</v>
      </c>
      <c r="L1639" t="s">
        <v>26</v>
      </c>
      <c r="M1639" t="s">
        <v>27</v>
      </c>
      <c r="N1639" s="1">
        <v>18629</v>
      </c>
      <c r="O1639">
        <v>0</v>
      </c>
      <c r="P1639">
        <v>0</v>
      </c>
      <c r="Q1639" t="s">
        <v>37</v>
      </c>
      <c r="R1639" t="s">
        <v>29</v>
      </c>
      <c r="S1639" t="s">
        <v>1454</v>
      </c>
      <c r="T1639" t="s">
        <v>1455</v>
      </c>
    </row>
    <row r="1640" spans="1:20" x14ac:dyDescent="0.25">
      <c r="A1640" t="s">
        <v>4596</v>
      </c>
      <c r="B1640" t="str">
        <f>"8723"</f>
        <v>8723</v>
      </c>
      <c r="C1640" t="str">
        <f>"284828723"</f>
        <v>284828723</v>
      </c>
      <c r="D1640" t="s">
        <v>4597</v>
      </c>
      <c r="E1640" t="s">
        <v>654</v>
      </c>
      <c r="F1640" t="s">
        <v>28</v>
      </c>
      <c r="G1640" s="1">
        <v>30730</v>
      </c>
      <c r="H1640" s="1">
        <v>41058</v>
      </c>
      <c r="I1640" t="str">
        <f t="shared" si="32"/>
        <v>51</v>
      </c>
      <c r="J1640" t="s">
        <v>471</v>
      </c>
      <c r="K1640" t="s">
        <v>25</v>
      </c>
      <c r="L1640" t="s">
        <v>26</v>
      </c>
      <c r="M1640" t="s">
        <v>27</v>
      </c>
      <c r="N1640" s="1">
        <v>18629</v>
      </c>
      <c r="O1640">
        <v>0</v>
      </c>
      <c r="P1640">
        <v>0</v>
      </c>
      <c r="Q1640" t="s">
        <v>37</v>
      </c>
      <c r="R1640" t="s">
        <v>29</v>
      </c>
      <c r="S1640" t="s">
        <v>1454</v>
      </c>
      <c r="T1640" t="s">
        <v>1455</v>
      </c>
    </row>
    <row r="1641" spans="1:20" x14ac:dyDescent="0.25">
      <c r="A1641" t="s">
        <v>4598</v>
      </c>
      <c r="B1641" t="str">
        <f>"4513"</f>
        <v>4513</v>
      </c>
      <c r="C1641" t="str">
        <f>"288424513"</f>
        <v>288424513</v>
      </c>
      <c r="D1641" t="s">
        <v>4599</v>
      </c>
      <c r="E1641" t="s">
        <v>4600</v>
      </c>
      <c r="F1641" t="s">
        <v>93</v>
      </c>
      <c r="G1641" s="1">
        <v>17033</v>
      </c>
      <c r="H1641" s="1">
        <v>41058</v>
      </c>
      <c r="I1641" t="str">
        <f t="shared" si="32"/>
        <v>51</v>
      </c>
      <c r="J1641" t="s">
        <v>471</v>
      </c>
      <c r="K1641" t="s">
        <v>25</v>
      </c>
      <c r="L1641" t="s">
        <v>26</v>
      </c>
      <c r="M1641" t="s">
        <v>27</v>
      </c>
      <c r="N1641" s="1">
        <v>18629</v>
      </c>
      <c r="O1641">
        <v>0</v>
      </c>
      <c r="P1641">
        <v>0</v>
      </c>
      <c r="Q1641" t="s">
        <v>28</v>
      </c>
      <c r="R1641" t="s">
        <v>258</v>
      </c>
      <c r="S1641" t="s">
        <v>533</v>
      </c>
      <c r="T1641" t="s">
        <v>534</v>
      </c>
    </row>
    <row r="1642" spans="1:20" x14ac:dyDescent="0.25">
      <c r="A1642" t="s">
        <v>4601</v>
      </c>
      <c r="B1642" t="str">
        <f>"2990"</f>
        <v>2990</v>
      </c>
      <c r="C1642" t="str">
        <f>"295502990"</f>
        <v>295502990</v>
      </c>
      <c r="D1642" t="s">
        <v>4602</v>
      </c>
      <c r="E1642" t="s">
        <v>56</v>
      </c>
      <c r="F1642" t="s">
        <v>26</v>
      </c>
      <c r="G1642" s="1">
        <v>18506</v>
      </c>
      <c r="H1642" s="1">
        <v>41058</v>
      </c>
      <c r="I1642" t="str">
        <f t="shared" si="32"/>
        <v>51</v>
      </c>
      <c r="J1642" t="s">
        <v>471</v>
      </c>
      <c r="K1642" t="s">
        <v>25</v>
      </c>
      <c r="L1642" t="s">
        <v>26</v>
      </c>
      <c r="M1642" t="s">
        <v>27</v>
      </c>
      <c r="N1642" s="1">
        <v>18629</v>
      </c>
      <c r="O1642">
        <v>0</v>
      </c>
      <c r="P1642">
        <v>0</v>
      </c>
      <c r="Q1642" t="s">
        <v>28</v>
      </c>
      <c r="R1642" t="s">
        <v>71</v>
      </c>
      <c r="S1642" t="s">
        <v>3191</v>
      </c>
      <c r="T1642" t="s">
        <v>3192</v>
      </c>
    </row>
    <row r="1643" spans="1:20" x14ac:dyDescent="0.25">
      <c r="A1643" t="s">
        <v>4603</v>
      </c>
      <c r="B1643" t="str">
        <f>"6070"</f>
        <v>6070</v>
      </c>
      <c r="C1643" t="str">
        <f>"295506070"</f>
        <v>295506070</v>
      </c>
      <c r="D1643" t="s">
        <v>1883</v>
      </c>
      <c r="E1643" t="s">
        <v>4604</v>
      </c>
      <c r="G1643" s="1">
        <v>19001</v>
      </c>
      <c r="H1643" s="1">
        <v>41058</v>
      </c>
      <c r="I1643" t="str">
        <f t="shared" si="32"/>
        <v>51</v>
      </c>
      <c r="J1643" t="s">
        <v>471</v>
      </c>
      <c r="K1643" t="s">
        <v>25</v>
      </c>
      <c r="L1643" t="s">
        <v>26</v>
      </c>
      <c r="M1643" t="s">
        <v>27</v>
      </c>
      <c r="N1643" s="1">
        <v>18629</v>
      </c>
      <c r="O1643">
        <v>0</v>
      </c>
      <c r="P1643">
        <v>0</v>
      </c>
      <c r="Q1643" t="s">
        <v>28</v>
      </c>
      <c r="R1643" t="s">
        <v>29</v>
      </c>
      <c r="S1643" t="s">
        <v>1542</v>
      </c>
      <c r="T1643" t="s">
        <v>1543</v>
      </c>
    </row>
    <row r="1644" spans="1:20" x14ac:dyDescent="0.25">
      <c r="A1644" t="s">
        <v>4605</v>
      </c>
      <c r="B1644" t="str">
        <f>"8942"</f>
        <v>8942</v>
      </c>
      <c r="C1644" t="str">
        <f>"271508942"</f>
        <v>271508942</v>
      </c>
      <c r="D1644" t="s">
        <v>4606</v>
      </c>
      <c r="E1644" t="s">
        <v>197</v>
      </c>
      <c r="G1644" s="1">
        <v>18478</v>
      </c>
      <c r="H1644" s="1">
        <v>41058</v>
      </c>
      <c r="I1644" t="str">
        <f t="shared" si="32"/>
        <v>51</v>
      </c>
      <c r="J1644" t="s">
        <v>471</v>
      </c>
      <c r="K1644" t="s">
        <v>25</v>
      </c>
      <c r="L1644" t="s">
        <v>26</v>
      </c>
      <c r="M1644" t="s">
        <v>27</v>
      </c>
      <c r="N1644" s="1">
        <v>18629</v>
      </c>
      <c r="O1644">
        <v>0</v>
      </c>
      <c r="P1644">
        <v>0</v>
      </c>
      <c r="Q1644" t="s">
        <v>28</v>
      </c>
      <c r="R1644" t="s">
        <v>100</v>
      </c>
      <c r="S1644" t="s">
        <v>728</v>
      </c>
      <c r="T1644" t="s">
        <v>729</v>
      </c>
    </row>
    <row r="1645" spans="1:20" x14ac:dyDescent="0.25">
      <c r="A1645" t="s">
        <v>4607</v>
      </c>
      <c r="B1645" t="str">
        <f>"8264"</f>
        <v>8264</v>
      </c>
      <c r="C1645" t="str">
        <f>"289888264"</f>
        <v>289888264</v>
      </c>
      <c r="D1645" t="s">
        <v>4608</v>
      </c>
      <c r="E1645" t="s">
        <v>4609</v>
      </c>
      <c r="F1645" t="s">
        <v>44</v>
      </c>
      <c r="G1645" s="1">
        <v>31560</v>
      </c>
      <c r="H1645" s="1">
        <v>41057</v>
      </c>
      <c r="I1645" t="str">
        <f>"15"</f>
        <v>15</v>
      </c>
      <c r="J1645" t="s">
        <v>36</v>
      </c>
      <c r="L1645" t="s">
        <v>37</v>
      </c>
      <c r="M1645" t="s">
        <v>143</v>
      </c>
      <c r="N1645" s="1">
        <v>41827</v>
      </c>
      <c r="O1645">
        <v>185.9</v>
      </c>
      <c r="P1645">
        <v>-185.9</v>
      </c>
      <c r="Q1645" t="s">
        <v>37</v>
      </c>
      <c r="R1645" t="s">
        <v>29</v>
      </c>
      <c r="S1645" t="s">
        <v>630</v>
      </c>
      <c r="T1645" t="s">
        <v>631</v>
      </c>
    </row>
    <row r="1646" spans="1:20" x14ac:dyDescent="0.25">
      <c r="A1646" t="s">
        <v>4610</v>
      </c>
      <c r="B1646" t="str">
        <f>"2070"</f>
        <v>2070</v>
      </c>
      <c r="C1646" t="str">
        <f>"146662070"</f>
        <v>146662070</v>
      </c>
      <c r="D1646" t="s">
        <v>4611</v>
      </c>
      <c r="E1646" t="s">
        <v>4612</v>
      </c>
      <c r="G1646" s="1">
        <v>25741</v>
      </c>
      <c r="H1646" s="1">
        <v>41057</v>
      </c>
      <c r="I1646" t="str">
        <f>"12"</f>
        <v>12</v>
      </c>
      <c r="J1646" t="s">
        <v>245</v>
      </c>
      <c r="K1646" t="s">
        <v>175</v>
      </c>
      <c r="L1646" t="s">
        <v>37</v>
      </c>
      <c r="M1646" t="s">
        <v>117</v>
      </c>
      <c r="N1646" s="1">
        <v>41617</v>
      </c>
      <c r="O1646">
        <v>5288.66</v>
      </c>
      <c r="P1646">
        <v>1322.1</v>
      </c>
      <c r="Q1646" t="s">
        <v>37</v>
      </c>
      <c r="R1646" t="s">
        <v>29</v>
      </c>
      <c r="S1646" t="s">
        <v>1095</v>
      </c>
      <c r="T1646" t="s">
        <v>1096</v>
      </c>
    </row>
    <row r="1647" spans="1:20" x14ac:dyDescent="0.25">
      <c r="A1647" t="s">
        <v>4613</v>
      </c>
      <c r="B1647" t="str">
        <f>"4256"</f>
        <v>4256</v>
      </c>
      <c r="C1647" t="str">
        <f>"171564256"</f>
        <v>171564256</v>
      </c>
      <c r="D1647" t="s">
        <v>4614</v>
      </c>
      <c r="E1647" t="s">
        <v>1442</v>
      </c>
      <c r="G1647" s="1">
        <v>22864</v>
      </c>
      <c r="H1647" s="1">
        <v>41057</v>
      </c>
      <c r="I1647" t="str">
        <f>"33"</f>
        <v>33</v>
      </c>
      <c r="J1647" t="s">
        <v>45</v>
      </c>
      <c r="K1647" t="s">
        <v>25</v>
      </c>
      <c r="L1647" t="s">
        <v>26</v>
      </c>
      <c r="M1647" t="s">
        <v>27</v>
      </c>
      <c r="N1647" s="1">
        <v>18629</v>
      </c>
      <c r="O1647">
        <v>0</v>
      </c>
      <c r="P1647">
        <v>0</v>
      </c>
      <c r="Q1647" t="s">
        <v>37</v>
      </c>
      <c r="R1647" t="s">
        <v>100</v>
      </c>
      <c r="S1647" t="s">
        <v>757</v>
      </c>
      <c r="T1647" t="s">
        <v>758</v>
      </c>
    </row>
    <row r="1648" spans="1:20" x14ac:dyDescent="0.25">
      <c r="A1648" t="s">
        <v>4615</v>
      </c>
      <c r="B1648" t="str">
        <f>"1460"</f>
        <v>1460</v>
      </c>
      <c r="C1648" t="str">
        <f>"299861460"</f>
        <v>299861460</v>
      </c>
      <c r="D1648" t="s">
        <v>4616</v>
      </c>
      <c r="E1648" t="s">
        <v>4617</v>
      </c>
      <c r="F1648" t="s">
        <v>28</v>
      </c>
      <c r="G1648" s="1">
        <v>32016</v>
      </c>
      <c r="H1648" s="1">
        <v>41054</v>
      </c>
      <c r="I1648" t="str">
        <f>"41"</f>
        <v>41</v>
      </c>
      <c r="J1648" t="s">
        <v>24</v>
      </c>
      <c r="K1648" t="s">
        <v>25</v>
      </c>
      <c r="L1648" t="s">
        <v>26</v>
      </c>
      <c r="M1648" t="s">
        <v>27</v>
      </c>
      <c r="N1648" s="1">
        <v>18629</v>
      </c>
      <c r="O1648">
        <v>0</v>
      </c>
      <c r="P1648">
        <v>0</v>
      </c>
      <c r="Q1648" t="s">
        <v>37</v>
      </c>
      <c r="R1648" t="s">
        <v>51</v>
      </c>
      <c r="S1648" s="2" t="s">
        <v>2496</v>
      </c>
      <c r="T1648" t="s">
        <v>2497</v>
      </c>
    </row>
    <row r="1649" spans="1:20" x14ac:dyDescent="0.25">
      <c r="A1649" t="s">
        <v>4618</v>
      </c>
      <c r="B1649" t="str">
        <f>"9099"</f>
        <v>9099</v>
      </c>
      <c r="C1649" t="str">
        <f>"289849099"</f>
        <v>289849099</v>
      </c>
      <c r="D1649" t="s">
        <v>4619</v>
      </c>
      <c r="E1649" t="s">
        <v>704</v>
      </c>
      <c r="F1649" t="s">
        <v>69</v>
      </c>
      <c r="G1649" s="1">
        <v>26039</v>
      </c>
      <c r="H1649" s="1">
        <v>41054</v>
      </c>
      <c r="I1649" t="str">
        <f>"41"</f>
        <v>41</v>
      </c>
      <c r="J1649" t="s">
        <v>24</v>
      </c>
      <c r="K1649" t="s">
        <v>25</v>
      </c>
      <c r="L1649" t="s">
        <v>26</v>
      </c>
      <c r="M1649" t="s">
        <v>27</v>
      </c>
      <c r="N1649" s="1">
        <v>18629</v>
      </c>
      <c r="O1649">
        <v>0</v>
      </c>
      <c r="P1649">
        <v>0</v>
      </c>
      <c r="Q1649" t="s">
        <v>28</v>
      </c>
      <c r="R1649" t="s">
        <v>51</v>
      </c>
      <c r="S1649" s="2" t="s">
        <v>2496</v>
      </c>
      <c r="T1649" t="s">
        <v>2497</v>
      </c>
    </row>
    <row r="1650" spans="1:20" x14ac:dyDescent="0.25">
      <c r="A1650" t="s">
        <v>4620</v>
      </c>
      <c r="B1650" t="str">
        <f>"6538"</f>
        <v>6538</v>
      </c>
      <c r="C1650" t="str">
        <f>"360666538"</f>
        <v>360666538</v>
      </c>
      <c r="D1650" t="s">
        <v>4621</v>
      </c>
      <c r="E1650" t="s">
        <v>1767</v>
      </c>
      <c r="F1650" t="s">
        <v>69</v>
      </c>
      <c r="G1650" s="1">
        <v>23420</v>
      </c>
      <c r="H1650" s="1">
        <v>41050</v>
      </c>
      <c r="I1650" t="str">
        <f>"03"</f>
        <v>03</v>
      </c>
      <c r="J1650" t="s">
        <v>70</v>
      </c>
      <c r="K1650" t="s">
        <v>98</v>
      </c>
      <c r="L1650" t="s">
        <v>37</v>
      </c>
      <c r="M1650" t="s">
        <v>99</v>
      </c>
      <c r="N1650" s="1">
        <v>41617</v>
      </c>
      <c r="O1650">
        <v>14801.8</v>
      </c>
      <c r="P1650">
        <v>3700.32</v>
      </c>
      <c r="Q1650" t="s">
        <v>37</v>
      </c>
      <c r="R1650" t="s">
        <v>71</v>
      </c>
      <c r="S1650" t="s">
        <v>1774</v>
      </c>
      <c r="T1650" t="s">
        <v>1775</v>
      </c>
    </row>
    <row r="1651" spans="1:20" x14ac:dyDescent="0.25">
      <c r="A1651" t="s">
        <v>4622</v>
      </c>
      <c r="B1651" t="str">
        <f>"9002"</f>
        <v>9002</v>
      </c>
      <c r="C1651" t="str">
        <f>"302629002"</f>
        <v>302629002</v>
      </c>
      <c r="D1651" t="s">
        <v>1483</v>
      </c>
      <c r="E1651" t="s">
        <v>877</v>
      </c>
      <c r="F1651" t="s">
        <v>44</v>
      </c>
      <c r="G1651" s="1">
        <v>26475</v>
      </c>
      <c r="H1651" s="1">
        <v>41043</v>
      </c>
      <c r="I1651" t="str">
        <f>"01"</f>
        <v>01</v>
      </c>
      <c r="J1651" t="s">
        <v>116</v>
      </c>
      <c r="K1651" t="s">
        <v>175</v>
      </c>
      <c r="L1651" t="s">
        <v>37</v>
      </c>
      <c r="M1651" t="s">
        <v>117</v>
      </c>
      <c r="N1651" s="1">
        <v>41617</v>
      </c>
      <c r="O1651">
        <v>5288.66</v>
      </c>
      <c r="P1651">
        <v>1322.1</v>
      </c>
      <c r="Q1651" t="s">
        <v>37</v>
      </c>
      <c r="R1651" t="s">
        <v>312</v>
      </c>
      <c r="S1651" t="s">
        <v>918</v>
      </c>
      <c r="T1651" t="s">
        <v>919</v>
      </c>
    </row>
    <row r="1652" spans="1:20" x14ac:dyDescent="0.25">
      <c r="A1652" t="s">
        <v>4623</v>
      </c>
      <c r="B1652" t="str">
        <f>"3493"</f>
        <v>3493</v>
      </c>
      <c r="C1652" t="str">
        <f>"279023493"</f>
        <v>279023493</v>
      </c>
      <c r="D1652" t="s">
        <v>4624</v>
      </c>
      <c r="E1652" t="s">
        <v>4625</v>
      </c>
      <c r="F1652" t="s">
        <v>345</v>
      </c>
      <c r="G1652" s="1">
        <v>29295</v>
      </c>
      <c r="H1652" s="1">
        <v>41043</v>
      </c>
      <c r="I1652" t="str">
        <f>"05"</f>
        <v>05</v>
      </c>
      <c r="J1652" t="s">
        <v>58</v>
      </c>
      <c r="K1652" t="s">
        <v>98</v>
      </c>
      <c r="L1652" t="s">
        <v>37</v>
      </c>
      <c r="M1652" t="s">
        <v>117</v>
      </c>
      <c r="N1652" s="1">
        <v>41617</v>
      </c>
      <c r="O1652">
        <v>4951.96</v>
      </c>
      <c r="P1652">
        <v>1237.8599999999999</v>
      </c>
      <c r="Q1652" t="s">
        <v>28</v>
      </c>
      <c r="R1652" t="s">
        <v>346</v>
      </c>
      <c r="S1652" t="s">
        <v>1173</v>
      </c>
      <c r="T1652" t="s">
        <v>1174</v>
      </c>
    </row>
    <row r="1653" spans="1:20" x14ac:dyDescent="0.25">
      <c r="A1653" t="s">
        <v>4626</v>
      </c>
      <c r="B1653" t="str">
        <f>"4085"</f>
        <v>4085</v>
      </c>
      <c r="C1653" t="str">
        <f>"293764085"</f>
        <v>293764085</v>
      </c>
      <c r="D1653" t="s">
        <v>4627</v>
      </c>
      <c r="E1653" t="s">
        <v>35</v>
      </c>
      <c r="F1653" t="s">
        <v>97</v>
      </c>
      <c r="G1653" s="1">
        <v>23819</v>
      </c>
      <c r="H1653" s="1">
        <v>41043</v>
      </c>
      <c r="I1653" t="str">
        <f>"52"</f>
        <v>52</v>
      </c>
      <c r="J1653" t="s">
        <v>330</v>
      </c>
      <c r="K1653" t="s">
        <v>25</v>
      </c>
      <c r="L1653" t="s">
        <v>26</v>
      </c>
      <c r="M1653" t="s">
        <v>27</v>
      </c>
      <c r="N1653" s="1">
        <v>18629</v>
      </c>
      <c r="O1653">
        <v>0</v>
      </c>
      <c r="P1653">
        <v>0</v>
      </c>
      <c r="Q1653" t="s">
        <v>28</v>
      </c>
      <c r="R1653" t="s">
        <v>29</v>
      </c>
      <c r="S1653" t="s">
        <v>331</v>
      </c>
      <c r="T1653" t="s">
        <v>332</v>
      </c>
    </row>
    <row r="1654" spans="1:20" x14ac:dyDescent="0.25">
      <c r="A1654" t="s">
        <v>4628</v>
      </c>
      <c r="B1654" t="str">
        <f>"8657"</f>
        <v>8657</v>
      </c>
      <c r="C1654" t="str">
        <f>"286608657"</f>
        <v>286608657</v>
      </c>
      <c r="D1654" t="s">
        <v>4629</v>
      </c>
      <c r="E1654" t="s">
        <v>609</v>
      </c>
      <c r="F1654" t="s">
        <v>97</v>
      </c>
      <c r="G1654" s="1">
        <v>24117</v>
      </c>
      <c r="H1654" s="1">
        <v>41043</v>
      </c>
      <c r="I1654" t="str">
        <f>"07"</f>
        <v>07</v>
      </c>
      <c r="J1654" t="s">
        <v>1018</v>
      </c>
      <c r="K1654" t="s">
        <v>98</v>
      </c>
      <c r="L1654" t="s">
        <v>37</v>
      </c>
      <c r="M1654" t="s">
        <v>99</v>
      </c>
      <c r="N1654" s="1">
        <v>41617</v>
      </c>
      <c r="O1654">
        <v>14801.8</v>
      </c>
      <c r="P1654">
        <v>3700.32</v>
      </c>
      <c r="Q1654" t="s">
        <v>28</v>
      </c>
      <c r="R1654" t="s">
        <v>51</v>
      </c>
      <c r="S1654" t="s">
        <v>650</v>
      </c>
      <c r="T1654" t="s">
        <v>651</v>
      </c>
    </row>
    <row r="1655" spans="1:20" x14ac:dyDescent="0.25">
      <c r="A1655" t="s">
        <v>4630</v>
      </c>
      <c r="B1655" t="str">
        <f>"5333"</f>
        <v>5333</v>
      </c>
      <c r="C1655" t="str">
        <f>"281745333"</f>
        <v>281745333</v>
      </c>
      <c r="D1655" t="s">
        <v>4631</v>
      </c>
      <c r="E1655" t="s">
        <v>619</v>
      </c>
      <c r="F1655" t="s">
        <v>165</v>
      </c>
      <c r="G1655" s="1">
        <v>28355</v>
      </c>
      <c r="H1655" s="1">
        <v>41043</v>
      </c>
      <c r="I1655" t="str">
        <f>"01"</f>
        <v>01</v>
      </c>
      <c r="J1655" t="s">
        <v>116</v>
      </c>
      <c r="K1655" t="s">
        <v>98</v>
      </c>
      <c r="L1655" t="s">
        <v>37</v>
      </c>
      <c r="M1655" t="s">
        <v>117</v>
      </c>
      <c r="N1655" s="1">
        <v>41617</v>
      </c>
      <c r="O1655">
        <v>4951.96</v>
      </c>
      <c r="P1655">
        <v>1237.8599999999999</v>
      </c>
      <c r="Q1655" t="s">
        <v>37</v>
      </c>
      <c r="R1655" t="s">
        <v>38</v>
      </c>
      <c r="S1655" t="s">
        <v>39</v>
      </c>
      <c r="T1655" t="s">
        <v>40</v>
      </c>
    </row>
    <row r="1656" spans="1:20" x14ac:dyDescent="0.25">
      <c r="A1656" t="s">
        <v>4632</v>
      </c>
      <c r="B1656" t="str">
        <f>"0355"</f>
        <v>0355</v>
      </c>
      <c r="C1656" t="str">
        <f>"272080355"</f>
        <v>272080355</v>
      </c>
      <c r="D1656" t="s">
        <v>4633</v>
      </c>
      <c r="E1656" t="s">
        <v>4634</v>
      </c>
      <c r="F1656" t="s">
        <v>93</v>
      </c>
      <c r="G1656" s="1">
        <v>31246</v>
      </c>
      <c r="H1656" s="1">
        <v>41043</v>
      </c>
      <c r="I1656" t="str">
        <f>"03"</f>
        <v>03</v>
      </c>
      <c r="J1656" t="s">
        <v>70</v>
      </c>
      <c r="K1656" t="s">
        <v>98</v>
      </c>
      <c r="L1656" t="s">
        <v>37</v>
      </c>
      <c r="M1656" t="s">
        <v>117</v>
      </c>
      <c r="N1656" s="1">
        <v>41617</v>
      </c>
      <c r="O1656">
        <v>4951.96</v>
      </c>
      <c r="P1656">
        <v>1237.8599999999999</v>
      </c>
      <c r="Q1656" t="s">
        <v>37</v>
      </c>
      <c r="R1656" t="s">
        <v>29</v>
      </c>
      <c r="S1656" t="s">
        <v>4635</v>
      </c>
      <c r="T1656" t="s">
        <v>4636</v>
      </c>
    </row>
    <row r="1657" spans="1:20" x14ac:dyDescent="0.25">
      <c r="A1657" t="s">
        <v>4637</v>
      </c>
      <c r="B1657" t="str">
        <f>"2997"</f>
        <v>2997</v>
      </c>
      <c r="C1657" t="str">
        <f>"286562997"</f>
        <v>286562997</v>
      </c>
      <c r="D1657" t="s">
        <v>2069</v>
      </c>
      <c r="E1657" t="s">
        <v>194</v>
      </c>
      <c r="F1657" t="s">
        <v>165</v>
      </c>
      <c r="G1657" s="1">
        <v>25849</v>
      </c>
      <c r="H1657" s="1">
        <v>41043</v>
      </c>
      <c r="I1657" t="str">
        <f>"51"</f>
        <v>51</v>
      </c>
      <c r="J1657" t="s">
        <v>471</v>
      </c>
      <c r="K1657" t="s">
        <v>25</v>
      </c>
      <c r="L1657" t="s">
        <v>26</v>
      </c>
      <c r="M1657" t="s">
        <v>27</v>
      </c>
      <c r="N1657" s="1">
        <v>18629</v>
      </c>
      <c r="O1657">
        <v>0</v>
      </c>
      <c r="P1657">
        <v>0</v>
      </c>
      <c r="Q1657" t="s">
        <v>37</v>
      </c>
      <c r="R1657" t="s">
        <v>71</v>
      </c>
      <c r="S1657" t="s">
        <v>790</v>
      </c>
      <c r="T1657" t="s">
        <v>791</v>
      </c>
    </row>
    <row r="1658" spans="1:20" x14ac:dyDescent="0.25">
      <c r="A1658" t="s">
        <v>4638</v>
      </c>
      <c r="B1658" t="str">
        <f>"3601"</f>
        <v>3601</v>
      </c>
      <c r="C1658" t="str">
        <f>"281663601"</f>
        <v>281663601</v>
      </c>
      <c r="D1658" t="s">
        <v>3929</v>
      </c>
      <c r="E1658" t="s">
        <v>466</v>
      </c>
      <c r="G1658" s="1">
        <v>22163</v>
      </c>
      <c r="H1658" s="1">
        <v>41038</v>
      </c>
      <c r="I1658" t="str">
        <f>"15"</f>
        <v>15</v>
      </c>
      <c r="J1658" t="s">
        <v>36</v>
      </c>
      <c r="K1658" t="s">
        <v>98</v>
      </c>
      <c r="L1658" t="s">
        <v>37</v>
      </c>
      <c r="M1658" t="s">
        <v>117</v>
      </c>
      <c r="N1658" s="1">
        <v>41617</v>
      </c>
      <c r="O1658">
        <v>4951.96</v>
      </c>
      <c r="P1658">
        <v>1237.8599999999999</v>
      </c>
      <c r="Q1658" t="s">
        <v>28</v>
      </c>
      <c r="R1658" t="s">
        <v>258</v>
      </c>
      <c r="S1658" t="s">
        <v>1898</v>
      </c>
      <c r="T1658" t="s">
        <v>1899</v>
      </c>
    </row>
    <row r="1659" spans="1:20" x14ac:dyDescent="0.25">
      <c r="A1659" t="s">
        <v>4639</v>
      </c>
      <c r="B1659" t="str">
        <f>"5836"</f>
        <v>5836</v>
      </c>
      <c r="C1659" t="str">
        <f>"301445836"</f>
        <v>301445836</v>
      </c>
      <c r="D1659" t="s">
        <v>4640</v>
      </c>
      <c r="E1659" t="s">
        <v>4641</v>
      </c>
      <c r="F1659" t="s">
        <v>165</v>
      </c>
      <c r="G1659" s="1">
        <v>18924</v>
      </c>
      <c r="H1659" s="1">
        <v>41038</v>
      </c>
      <c r="I1659" t="str">
        <f>"52"</f>
        <v>52</v>
      </c>
      <c r="J1659" t="s">
        <v>330</v>
      </c>
      <c r="K1659" t="s">
        <v>25</v>
      </c>
      <c r="L1659" t="s">
        <v>26</v>
      </c>
      <c r="M1659" t="s">
        <v>27</v>
      </c>
      <c r="N1659" s="1">
        <v>18629</v>
      </c>
      <c r="O1659">
        <v>0</v>
      </c>
      <c r="P1659">
        <v>0</v>
      </c>
      <c r="Q1659" t="s">
        <v>28</v>
      </c>
      <c r="R1659" t="s">
        <v>51</v>
      </c>
      <c r="S1659" s="2" t="s">
        <v>1148</v>
      </c>
      <c r="T1659" t="s">
        <v>1149</v>
      </c>
    </row>
    <row r="1660" spans="1:20" x14ac:dyDescent="0.25">
      <c r="A1660" t="s">
        <v>4642</v>
      </c>
      <c r="B1660" t="str">
        <f>"7127"</f>
        <v>7127</v>
      </c>
      <c r="C1660" t="str">
        <f>"292787127"</f>
        <v>292787127</v>
      </c>
      <c r="D1660" t="s">
        <v>4643</v>
      </c>
      <c r="E1660" t="s">
        <v>822</v>
      </c>
      <c r="F1660" t="s">
        <v>358</v>
      </c>
      <c r="G1660" s="1">
        <v>29963</v>
      </c>
      <c r="H1660" s="1">
        <v>41036</v>
      </c>
      <c r="I1660" t="str">
        <f>"12"</f>
        <v>12</v>
      </c>
      <c r="J1660" t="s">
        <v>245</v>
      </c>
      <c r="K1660" t="s">
        <v>98</v>
      </c>
      <c r="L1660" t="s">
        <v>37</v>
      </c>
      <c r="M1660" t="s">
        <v>99</v>
      </c>
      <c r="N1660" s="1">
        <v>41617</v>
      </c>
      <c r="O1660">
        <v>14801.8</v>
      </c>
      <c r="P1660">
        <v>3700.32</v>
      </c>
      <c r="Q1660" t="s">
        <v>37</v>
      </c>
      <c r="R1660" t="s">
        <v>51</v>
      </c>
      <c r="S1660" s="2" t="s">
        <v>52</v>
      </c>
      <c r="T1660" t="s">
        <v>53</v>
      </c>
    </row>
    <row r="1661" spans="1:20" x14ac:dyDescent="0.25">
      <c r="A1661" t="s">
        <v>4644</v>
      </c>
      <c r="B1661" t="str">
        <f>"1434"</f>
        <v>1434</v>
      </c>
      <c r="C1661" t="str">
        <f>"291641434"</f>
        <v>291641434</v>
      </c>
      <c r="D1661" t="s">
        <v>4645</v>
      </c>
      <c r="E1661" t="s">
        <v>35</v>
      </c>
      <c r="F1661" t="s">
        <v>93</v>
      </c>
      <c r="G1661" s="1">
        <v>26190</v>
      </c>
      <c r="H1661" s="1">
        <v>41036</v>
      </c>
      <c r="I1661" t="str">
        <f>"52"</f>
        <v>52</v>
      </c>
      <c r="J1661" t="s">
        <v>330</v>
      </c>
      <c r="K1661" t="s">
        <v>25</v>
      </c>
      <c r="L1661" t="s">
        <v>26</v>
      </c>
      <c r="M1661" t="s">
        <v>27</v>
      </c>
      <c r="N1661" s="1">
        <v>18629</v>
      </c>
      <c r="O1661">
        <v>0</v>
      </c>
      <c r="P1661">
        <v>0</v>
      </c>
      <c r="Q1661" t="s">
        <v>28</v>
      </c>
      <c r="R1661" t="s">
        <v>29</v>
      </c>
      <c r="S1661" t="s">
        <v>1315</v>
      </c>
      <c r="T1661" t="s">
        <v>1316</v>
      </c>
    </row>
    <row r="1662" spans="1:20" x14ac:dyDescent="0.25">
      <c r="A1662" t="s">
        <v>4646</v>
      </c>
      <c r="B1662" t="str">
        <f>"5521"</f>
        <v>5521</v>
      </c>
      <c r="C1662" t="str">
        <f>"283605521"</f>
        <v>283605521</v>
      </c>
      <c r="D1662" t="s">
        <v>3012</v>
      </c>
      <c r="E1662" t="s">
        <v>609</v>
      </c>
      <c r="F1662" t="s">
        <v>93</v>
      </c>
      <c r="G1662" s="1">
        <v>21345</v>
      </c>
      <c r="H1662" s="1">
        <v>41030</v>
      </c>
      <c r="I1662" t="str">
        <f>"52"</f>
        <v>52</v>
      </c>
      <c r="J1662" t="s">
        <v>330</v>
      </c>
      <c r="K1662" t="s">
        <v>25</v>
      </c>
      <c r="L1662" t="s">
        <v>26</v>
      </c>
      <c r="M1662" t="s">
        <v>27</v>
      </c>
      <c r="N1662" s="1">
        <v>18629</v>
      </c>
      <c r="O1662">
        <v>0</v>
      </c>
      <c r="P1662">
        <v>0</v>
      </c>
      <c r="Q1662" t="s">
        <v>28</v>
      </c>
      <c r="R1662" t="s">
        <v>258</v>
      </c>
      <c r="S1662" t="s">
        <v>1235</v>
      </c>
      <c r="T1662" t="s">
        <v>1236</v>
      </c>
    </row>
    <row r="1663" spans="1:20" x14ac:dyDescent="0.25">
      <c r="A1663" t="s">
        <v>4647</v>
      </c>
      <c r="B1663" t="str">
        <f>"1824"</f>
        <v>1824</v>
      </c>
      <c r="C1663" t="str">
        <f>"437491824"</f>
        <v>437491824</v>
      </c>
      <c r="D1663" t="s">
        <v>1810</v>
      </c>
      <c r="E1663" t="s">
        <v>351</v>
      </c>
      <c r="F1663" t="s">
        <v>93</v>
      </c>
      <c r="G1663" s="1">
        <v>29546</v>
      </c>
      <c r="H1663" s="1">
        <v>41029</v>
      </c>
      <c r="I1663" t="str">
        <f>"08"</f>
        <v>08</v>
      </c>
      <c r="J1663" t="s">
        <v>265</v>
      </c>
      <c r="K1663" t="s">
        <v>98</v>
      </c>
      <c r="L1663" t="s">
        <v>37</v>
      </c>
      <c r="M1663" t="s">
        <v>117</v>
      </c>
      <c r="N1663" s="1">
        <v>41617</v>
      </c>
      <c r="O1663">
        <v>4951.96</v>
      </c>
      <c r="P1663">
        <v>1237.8599999999999</v>
      </c>
      <c r="Q1663" t="s">
        <v>28</v>
      </c>
      <c r="R1663" t="s">
        <v>29</v>
      </c>
      <c r="S1663" t="s">
        <v>266</v>
      </c>
      <c r="T1663" t="s">
        <v>267</v>
      </c>
    </row>
    <row r="1664" spans="1:20" x14ac:dyDescent="0.25">
      <c r="A1664" t="s">
        <v>4648</v>
      </c>
      <c r="B1664" t="str">
        <f>"1869"</f>
        <v>1869</v>
      </c>
      <c r="C1664" t="str">
        <f>"273941869"</f>
        <v>273941869</v>
      </c>
      <c r="D1664" t="s">
        <v>4649</v>
      </c>
      <c r="E1664" t="s">
        <v>4650</v>
      </c>
      <c r="G1664" s="1">
        <v>30308</v>
      </c>
      <c r="H1664" s="1">
        <v>41029</v>
      </c>
      <c r="I1664" t="str">
        <f>"33"</f>
        <v>33</v>
      </c>
      <c r="J1664" t="s">
        <v>45</v>
      </c>
      <c r="K1664" t="s">
        <v>25</v>
      </c>
      <c r="L1664" t="s">
        <v>26</v>
      </c>
      <c r="M1664" t="s">
        <v>27</v>
      </c>
      <c r="N1664" s="1">
        <v>18629</v>
      </c>
      <c r="O1664">
        <v>0</v>
      </c>
      <c r="P1664">
        <v>0</v>
      </c>
      <c r="Q1664" t="s">
        <v>37</v>
      </c>
      <c r="R1664" t="s">
        <v>29</v>
      </c>
      <c r="S1664" t="s">
        <v>594</v>
      </c>
      <c r="T1664" t="s">
        <v>595</v>
      </c>
    </row>
    <row r="1665" spans="1:20" x14ac:dyDescent="0.25">
      <c r="A1665" t="s">
        <v>4651</v>
      </c>
      <c r="B1665" t="str">
        <f>"9737"</f>
        <v>9737</v>
      </c>
      <c r="C1665" t="str">
        <f>"295689737"</f>
        <v>295689737</v>
      </c>
      <c r="D1665" t="s">
        <v>4652</v>
      </c>
      <c r="E1665" t="s">
        <v>3468</v>
      </c>
      <c r="F1665" t="s">
        <v>28</v>
      </c>
      <c r="G1665" s="1">
        <v>25062</v>
      </c>
      <c r="H1665" s="1">
        <v>41029</v>
      </c>
      <c r="I1665" t="str">
        <f>"01"</f>
        <v>01</v>
      </c>
      <c r="J1665" t="s">
        <v>116</v>
      </c>
      <c r="K1665" t="s">
        <v>98</v>
      </c>
      <c r="L1665" t="s">
        <v>37</v>
      </c>
      <c r="M1665" t="s">
        <v>257</v>
      </c>
      <c r="N1665" s="1">
        <v>41617</v>
      </c>
      <c r="O1665">
        <v>10753.08</v>
      </c>
      <c r="P1665">
        <v>2688.4</v>
      </c>
      <c r="Q1665" t="s">
        <v>37</v>
      </c>
      <c r="R1665" t="s">
        <v>29</v>
      </c>
      <c r="S1665" t="s">
        <v>240</v>
      </c>
      <c r="T1665" t="s">
        <v>241</v>
      </c>
    </row>
    <row r="1666" spans="1:20" x14ac:dyDescent="0.25">
      <c r="A1666" t="s">
        <v>4653</v>
      </c>
      <c r="B1666" t="str">
        <f>"6987"</f>
        <v>6987</v>
      </c>
      <c r="C1666" t="str">
        <f>"276446987"</f>
        <v>276446987</v>
      </c>
      <c r="D1666" t="s">
        <v>2001</v>
      </c>
      <c r="E1666" t="s">
        <v>106</v>
      </c>
      <c r="G1666" s="1">
        <v>17009</v>
      </c>
      <c r="H1666" s="1">
        <v>41029</v>
      </c>
      <c r="I1666" t="str">
        <f>"01"</f>
        <v>01</v>
      </c>
      <c r="J1666" t="s">
        <v>116</v>
      </c>
      <c r="K1666" t="s">
        <v>98</v>
      </c>
      <c r="L1666" t="s">
        <v>37</v>
      </c>
      <c r="M1666" t="s">
        <v>257</v>
      </c>
      <c r="N1666" s="1">
        <v>41617</v>
      </c>
      <c r="O1666">
        <v>10753.08</v>
      </c>
      <c r="P1666">
        <v>2688.4</v>
      </c>
      <c r="Q1666" t="s">
        <v>28</v>
      </c>
      <c r="R1666" t="s">
        <v>258</v>
      </c>
      <c r="S1666" t="s">
        <v>557</v>
      </c>
      <c r="T1666" t="s">
        <v>558</v>
      </c>
    </row>
    <row r="1667" spans="1:20" x14ac:dyDescent="0.25">
      <c r="A1667" t="s">
        <v>4654</v>
      </c>
      <c r="B1667" t="str">
        <f>"5891"</f>
        <v>5891</v>
      </c>
      <c r="C1667" t="str">
        <f>"288585891"</f>
        <v>288585891</v>
      </c>
      <c r="D1667" t="s">
        <v>4655</v>
      </c>
      <c r="E1667" t="s">
        <v>1071</v>
      </c>
      <c r="F1667" t="s">
        <v>276</v>
      </c>
      <c r="G1667" s="1">
        <v>20082</v>
      </c>
      <c r="H1667" s="1">
        <v>41029</v>
      </c>
      <c r="I1667" t="str">
        <f>"30"</f>
        <v>30</v>
      </c>
      <c r="J1667" t="s">
        <v>50</v>
      </c>
      <c r="K1667" t="s">
        <v>25</v>
      </c>
      <c r="L1667" t="s">
        <v>26</v>
      </c>
      <c r="M1667" t="s">
        <v>27</v>
      </c>
      <c r="N1667" s="1">
        <v>18629</v>
      </c>
      <c r="O1667">
        <v>0</v>
      </c>
      <c r="P1667">
        <v>0</v>
      </c>
      <c r="Q1667" t="s">
        <v>37</v>
      </c>
      <c r="R1667" t="s">
        <v>346</v>
      </c>
      <c r="S1667" t="s">
        <v>101</v>
      </c>
      <c r="T1667" t="s">
        <v>102</v>
      </c>
    </row>
    <row r="1668" spans="1:20" x14ac:dyDescent="0.25">
      <c r="A1668" t="s">
        <v>4656</v>
      </c>
      <c r="B1668" t="str">
        <f>"4936"</f>
        <v>4936</v>
      </c>
      <c r="C1668" t="str">
        <f>"269864936"</f>
        <v>269864936</v>
      </c>
      <c r="D1668" t="s">
        <v>4657</v>
      </c>
      <c r="E1668" t="s">
        <v>588</v>
      </c>
      <c r="F1668" t="s">
        <v>165</v>
      </c>
      <c r="G1668" s="1">
        <v>31662</v>
      </c>
      <c r="H1668" s="1">
        <v>41029</v>
      </c>
      <c r="I1668" t="str">
        <f>"08"</f>
        <v>08</v>
      </c>
      <c r="J1668" t="s">
        <v>265</v>
      </c>
      <c r="K1668" t="s">
        <v>98</v>
      </c>
      <c r="L1668" t="s">
        <v>37</v>
      </c>
      <c r="M1668" t="s">
        <v>117</v>
      </c>
      <c r="N1668" s="1">
        <v>41617</v>
      </c>
      <c r="O1668">
        <v>4951.96</v>
      </c>
      <c r="P1668">
        <v>1237.8599999999999</v>
      </c>
      <c r="Q1668" t="s">
        <v>28</v>
      </c>
      <c r="R1668" t="s">
        <v>71</v>
      </c>
      <c r="S1668" t="s">
        <v>570</v>
      </c>
      <c r="T1668" t="s">
        <v>571</v>
      </c>
    </row>
    <row r="1669" spans="1:20" x14ac:dyDescent="0.25">
      <c r="A1669" t="s">
        <v>4658</v>
      </c>
      <c r="B1669" t="str">
        <f>"3743"</f>
        <v>3743</v>
      </c>
      <c r="C1669" t="str">
        <f>"270883743"</f>
        <v>270883743</v>
      </c>
      <c r="D1669" t="s">
        <v>4659</v>
      </c>
      <c r="E1669" t="s">
        <v>1007</v>
      </c>
      <c r="F1669" t="s">
        <v>219</v>
      </c>
      <c r="G1669" s="1">
        <v>31630</v>
      </c>
      <c r="H1669" s="1">
        <v>41029</v>
      </c>
      <c r="I1669" t="str">
        <f>"31"</f>
        <v>31</v>
      </c>
      <c r="J1669" t="s">
        <v>3321</v>
      </c>
      <c r="K1669" t="s">
        <v>25</v>
      </c>
      <c r="L1669" t="s">
        <v>26</v>
      </c>
      <c r="M1669" t="s">
        <v>27</v>
      </c>
      <c r="N1669" s="1">
        <v>18629</v>
      </c>
      <c r="O1669">
        <v>0</v>
      </c>
      <c r="P1669">
        <v>0</v>
      </c>
      <c r="Q1669" t="s">
        <v>37</v>
      </c>
      <c r="R1669" t="s">
        <v>29</v>
      </c>
      <c r="S1669" t="s">
        <v>3322</v>
      </c>
      <c r="T1669" t="s">
        <v>3323</v>
      </c>
    </row>
    <row r="1670" spans="1:20" x14ac:dyDescent="0.25">
      <c r="A1670" t="s">
        <v>4660</v>
      </c>
      <c r="B1670" t="str">
        <f>"0834"</f>
        <v>0834</v>
      </c>
      <c r="C1670" t="str">
        <f>"271680834"</f>
        <v>271680834</v>
      </c>
      <c r="D1670" t="s">
        <v>3089</v>
      </c>
      <c r="E1670" t="s">
        <v>4661</v>
      </c>
      <c r="F1670" t="s">
        <v>414</v>
      </c>
      <c r="G1670" s="1">
        <v>24560</v>
      </c>
      <c r="H1670" s="1">
        <v>41024</v>
      </c>
      <c r="I1670" t="str">
        <f>"52"</f>
        <v>52</v>
      </c>
      <c r="J1670" t="s">
        <v>330</v>
      </c>
      <c r="K1670" t="s">
        <v>25</v>
      </c>
      <c r="L1670" t="s">
        <v>26</v>
      </c>
      <c r="M1670" t="s">
        <v>27</v>
      </c>
      <c r="N1670" s="1">
        <v>18629</v>
      </c>
      <c r="O1670">
        <v>0</v>
      </c>
      <c r="P1670">
        <v>0</v>
      </c>
      <c r="Q1670" t="s">
        <v>37</v>
      </c>
      <c r="R1670" t="s">
        <v>258</v>
      </c>
      <c r="S1670" t="s">
        <v>678</v>
      </c>
      <c r="T1670" t="s">
        <v>679</v>
      </c>
    </row>
    <row r="1671" spans="1:20" x14ac:dyDescent="0.25">
      <c r="A1671" t="s">
        <v>4662</v>
      </c>
      <c r="B1671" t="str">
        <f>"3976"</f>
        <v>3976</v>
      </c>
      <c r="C1671" t="str">
        <f>"298483976"</f>
        <v>298483976</v>
      </c>
      <c r="D1671" t="s">
        <v>4663</v>
      </c>
      <c r="E1671" t="s">
        <v>1854</v>
      </c>
      <c r="F1671" t="s">
        <v>165</v>
      </c>
      <c r="G1671" s="1">
        <v>18559</v>
      </c>
      <c r="H1671" s="1">
        <v>41024</v>
      </c>
      <c r="I1671" t="str">
        <f>"20"</f>
        <v>20</v>
      </c>
      <c r="J1671" t="s">
        <v>123</v>
      </c>
      <c r="K1671" t="s">
        <v>98</v>
      </c>
      <c r="L1671" t="s">
        <v>37</v>
      </c>
      <c r="M1671" t="s">
        <v>99</v>
      </c>
      <c r="N1671" s="1">
        <v>41631</v>
      </c>
      <c r="O1671">
        <v>14801.82</v>
      </c>
      <c r="P1671">
        <v>3700.4</v>
      </c>
      <c r="Q1671" t="s">
        <v>28</v>
      </c>
      <c r="R1671" t="s">
        <v>51</v>
      </c>
      <c r="S1671" s="2" t="s">
        <v>4664</v>
      </c>
      <c r="T1671" t="s">
        <v>4665</v>
      </c>
    </row>
    <row r="1672" spans="1:20" x14ac:dyDescent="0.25">
      <c r="A1672" t="s">
        <v>4666</v>
      </c>
      <c r="B1672" t="str">
        <f>"6903"</f>
        <v>6903</v>
      </c>
      <c r="C1672" t="str">
        <f>"271826903"</f>
        <v>271826903</v>
      </c>
      <c r="D1672" t="s">
        <v>4050</v>
      </c>
      <c r="E1672" t="s">
        <v>2500</v>
      </c>
      <c r="F1672" t="s">
        <v>190</v>
      </c>
      <c r="G1672" s="1">
        <v>25412</v>
      </c>
      <c r="H1672" s="1">
        <v>41023</v>
      </c>
      <c r="I1672" t="str">
        <f>"52"</f>
        <v>52</v>
      </c>
      <c r="J1672" t="s">
        <v>330</v>
      </c>
      <c r="K1672" t="s">
        <v>25</v>
      </c>
      <c r="L1672" t="s">
        <v>26</v>
      </c>
      <c r="M1672" t="s">
        <v>27</v>
      </c>
      <c r="N1672" s="1">
        <v>18629</v>
      </c>
      <c r="O1672">
        <v>0</v>
      </c>
      <c r="P1672">
        <v>0</v>
      </c>
      <c r="Q1672" t="s">
        <v>37</v>
      </c>
      <c r="R1672" t="s">
        <v>258</v>
      </c>
      <c r="S1672" t="s">
        <v>331</v>
      </c>
      <c r="T1672" t="s">
        <v>332</v>
      </c>
    </row>
    <row r="1673" spans="1:20" x14ac:dyDescent="0.25">
      <c r="A1673" t="s">
        <v>4667</v>
      </c>
      <c r="B1673" t="str">
        <f>"2209"</f>
        <v>2209</v>
      </c>
      <c r="C1673" t="str">
        <f>"273462209"</f>
        <v>273462209</v>
      </c>
      <c r="D1673" t="s">
        <v>2844</v>
      </c>
      <c r="E1673" t="s">
        <v>609</v>
      </c>
      <c r="F1673" t="s">
        <v>28</v>
      </c>
      <c r="G1673" s="1">
        <v>18968</v>
      </c>
      <c r="H1673" s="1">
        <v>41022</v>
      </c>
      <c r="I1673" t="str">
        <f>"52"</f>
        <v>52</v>
      </c>
      <c r="J1673" t="s">
        <v>330</v>
      </c>
      <c r="K1673" t="s">
        <v>25</v>
      </c>
      <c r="L1673" t="s">
        <v>26</v>
      </c>
      <c r="M1673" t="s">
        <v>27</v>
      </c>
      <c r="N1673" s="1">
        <v>18629</v>
      </c>
      <c r="O1673">
        <v>0</v>
      </c>
      <c r="P1673">
        <v>0</v>
      </c>
      <c r="Q1673" t="s">
        <v>28</v>
      </c>
      <c r="R1673" t="s">
        <v>258</v>
      </c>
      <c r="S1673" t="s">
        <v>1315</v>
      </c>
      <c r="T1673" t="s">
        <v>1316</v>
      </c>
    </row>
    <row r="1674" spans="1:20" x14ac:dyDescent="0.25">
      <c r="A1674" t="s">
        <v>4668</v>
      </c>
      <c r="B1674" t="str">
        <f>"2024"</f>
        <v>2024</v>
      </c>
      <c r="C1674" t="str">
        <f>"301702024"</f>
        <v>301702024</v>
      </c>
      <c r="D1674" t="s">
        <v>445</v>
      </c>
      <c r="E1674" t="s">
        <v>1026</v>
      </c>
      <c r="F1674" t="s">
        <v>97</v>
      </c>
      <c r="G1674" s="1">
        <v>27465</v>
      </c>
      <c r="H1674" s="1">
        <v>41022</v>
      </c>
      <c r="I1674" t="str">
        <f>"12"</f>
        <v>12</v>
      </c>
      <c r="J1674" t="s">
        <v>245</v>
      </c>
      <c r="K1674" t="s">
        <v>98</v>
      </c>
      <c r="L1674" t="s">
        <v>37</v>
      </c>
      <c r="M1674" t="s">
        <v>99</v>
      </c>
      <c r="N1674" s="1">
        <v>41617</v>
      </c>
      <c r="O1674">
        <v>14801.8</v>
      </c>
      <c r="P1674">
        <v>3700.32</v>
      </c>
      <c r="Q1674" t="s">
        <v>37</v>
      </c>
      <c r="R1674" t="s">
        <v>110</v>
      </c>
      <c r="S1674" t="s">
        <v>3195</v>
      </c>
      <c r="T1674" t="s">
        <v>3196</v>
      </c>
    </row>
    <row r="1675" spans="1:20" x14ac:dyDescent="0.25">
      <c r="A1675" t="s">
        <v>4669</v>
      </c>
      <c r="B1675" t="str">
        <f>"3404"</f>
        <v>3404</v>
      </c>
      <c r="C1675" t="str">
        <f>"287403404"</f>
        <v>287403404</v>
      </c>
      <c r="D1675" t="s">
        <v>4670</v>
      </c>
      <c r="E1675" t="s">
        <v>127</v>
      </c>
      <c r="F1675" t="s">
        <v>556</v>
      </c>
      <c r="G1675" s="1">
        <v>16830</v>
      </c>
      <c r="H1675" s="1">
        <v>41017</v>
      </c>
      <c r="I1675" t="str">
        <f>"52"</f>
        <v>52</v>
      </c>
      <c r="J1675" t="s">
        <v>330</v>
      </c>
      <c r="K1675" t="s">
        <v>25</v>
      </c>
      <c r="L1675" t="s">
        <v>26</v>
      </c>
      <c r="M1675" t="s">
        <v>27</v>
      </c>
      <c r="N1675" s="1">
        <v>18629</v>
      </c>
      <c r="O1675">
        <v>0</v>
      </c>
      <c r="P1675">
        <v>0</v>
      </c>
      <c r="Q1675" t="s">
        <v>28</v>
      </c>
      <c r="R1675" t="s">
        <v>71</v>
      </c>
      <c r="S1675" s="2" t="s">
        <v>362</v>
      </c>
      <c r="T1675" t="s">
        <v>363</v>
      </c>
    </row>
    <row r="1676" spans="1:20" x14ac:dyDescent="0.25">
      <c r="A1676" t="s">
        <v>4671</v>
      </c>
      <c r="B1676" t="str">
        <f>"6630"</f>
        <v>6630</v>
      </c>
      <c r="C1676" t="str">
        <f>"289846630"</f>
        <v>289846630</v>
      </c>
      <c r="D1676" t="s">
        <v>4672</v>
      </c>
      <c r="E1676" t="s">
        <v>4673</v>
      </c>
      <c r="F1676" t="s">
        <v>282</v>
      </c>
      <c r="G1676" s="1">
        <v>31554</v>
      </c>
      <c r="H1676" s="1">
        <v>41015</v>
      </c>
      <c r="I1676" t="str">
        <f>"01"</f>
        <v>01</v>
      </c>
      <c r="J1676" t="s">
        <v>116</v>
      </c>
      <c r="K1676" t="s">
        <v>98</v>
      </c>
      <c r="L1676" t="s">
        <v>37</v>
      </c>
      <c r="M1676" t="s">
        <v>99</v>
      </c>
      <c r="N1676" s="1">
        <v>41617</v>
      </c>
      <c r="O1676">
        <v>14801.8</v>
      </c>
      <c r="P1676">
        <v>3700.32</v>
      </c>
      <c r="Q1676" t="s">
        <v>28</v>
      </c>
      <c r="R1676" t="s">
        <v>110</v>
      </c>
      <c r="S1676" t="s">
        <v>929</v>
      </c>
      <c r="T1676" t="s">
        <v>930</v>
      </c>
    </row>
    <row r="1677" spans="1:20" x14ac:dyDescent="0.25">
      <c r="A1677" t="s">
        <v>4674</v>
      </c>
      <c r="B1677" t="str">
        <f>"5264"</f>
        <v>5264</v>
      </c>
      <c r="C1677" t="str">
        <f>"281605264"</f>
        <v>281605264</v>
      </c>
      <c r="D1677" t="s">
        <v>4675</v>
      </c>
      <c r="E1677" t="s">
        <v>1970</v>
      </c>
      <c r="F1677" t="s">
        <v>28</v>
      </c>
      <c r="G1677" s="1">
        <v>22754</v>
      </c>
      <c r="H1677" s="1">
        <v>41015</v>
      </c>
      <c r="I1677" t="str">
        <f>"05"</f>
        <v>05</v>
      </c>
      <c r="J1677" t="s">
        <v>58</v>
      </c>
      <c r="K1677" t="s">
        <v>98</v>
      </c>
      <c r="L1677" t="s">
        <v>37</v>
      </c>
      <c r="M1677" t="s">
        <v>257</v>
      </c>
      <c r="N1677" s="1">
        <v>41617</v>
      </c>
      <c r="O1677">
        <v>10753.08</v>
      </c>
      <c r="P1677">
        <v>2688.4</v>
      </c>
      <c r="Q1677" t="s">
        <v>37</v>
      </c>
      <c r="R1677" t="s">
        <v>71</v>
      </c>
      <c r="S1677" t="s">
        <v>1702</v>
      </c>
      <c r="T1677" t="s">
        <v>1703</v>
      </c>
    </row>
    <row r="1678" spans="1:20" x14ac:dyDescent="0.25">
      <c r="A1678" t="s">
        <v>4676</v>
      </c>
      <c r="B1678" t="str">
        <f>"3468"</f>
        <v>3468</v>
      </c>
      <c r="C1678" t="str">
        <f>"594383468"</f>
        <v>594383468</v>
      </c>
      <c r="D1678" t="s">
        <v>1885</v>
      </c>
      <c r="E1678" t="s">
        <v>1907</v>
      </c>
      <c r="F1678" t="s">
        <v>264</v>
      </c>
      <c r="G1678" s="1">
        <v>26703</v>
      </c>
      <c r="H1678" s="1">
        <v>41015</v>
      </c>
      <c r="I1678" t="str">
        <f>"05"</f>
        <v>05</v>
      </c>
      <c r="J1678" t="s">
        <v>58</v>
      </c>
      <c r="K1678" t="s">
        <v>98</v>
      </c>
      <c r="L1678" t="s">
        <v>37</v>
      </c>
      <c r="M1678" t="s">
        <v>257</v>
      </c>
      <c r="N1678" s="1">
        <v>41617</v>
      </c>
      <c r="O1678">
        <v>10753.08</v>
      </c>
      <c r="P1678">
        <v>2688.4</v>
      </c>
      <c r="Q1678" t="s">
        <v>28</v>
      </c>
      <c r="R1678" t="s">
        <v>71</v>
      </c>
      <c r="S1678" t="s">
        <v>3003</v>
      </c>
      <c r="T1678" t="s">
        <v>3004</v>
      </c>
    </row>
    <row r="1679" spans="1:20" x14ac:dyDescent="0.25">
      <c r="A1679" t="s">
        <v>4677</v>
      </c>
      <c r="B1679" t="str">
        <f>"5804"</f>
        <v>5804</v>
      </c>
      <c r="C1679" t="str">
        <f>"301705804"</f>
        <v>301705804</v>
      </c>
      <c r="D1679" t="s">
        <v>1644</v>
      </c>
      <c r="E1679" t="s">
        <v>870</v>
      </c>
      <c r="F1679" t="s">
        <v>93</v>
      </c>
      <c r="G1679" s="1">
        <v>26310</v>
      </c>
      <c r="H1679" s="1">
        <v>41015</v>
      </c>
      <c r="I1679" t="str">
        <f>"51"</f>
        <v>51</v>
      </c>
      <c r="J1679" t="s">
        <v>471</v>
      </c>
      <c r="K1679" t="s">
        <v>25</v>
      </c>
      <c r="L1679" t="s">
        <v>26</v>
      </c>
      <c r="M1679" t="s">
        <v>27</v>
      </c>
      <c r="N1679" s="1">
        <v>18629</v>
      </c>
      <c r="O1679">
        <v>0</v>
      </c>
      <c r="P1679">
        <v>0</v>
      </c>
      <c r="Q1679" t="s">
        <v>37</v>
      </c>
      <c r="R1679" t="s">
        <v>71</v>
      </c>
      <c r="S1679" t="s">
        <v>277</v>
      </c>
      <c r="T1679" t="s">
        <v>278</v>
      </c>
    </row>
    <row r="1680" spans="1:20" x14ac:dyDescent="0.25">
      <c r="A1680" t="s">
        <v>4678</v>
      </c>
      <c r="B1680" t="str">
        <f>"1740"</f>
        <v>1740</v>
      </c>
      <c r="C1680" t="str">
        <f>"282801740"</f>
        <v>282801740</v>
      </c>
      <c r="D1680" t="s">
        <v>1798</v>
      </c>
      <c r="E1680" t="s">
        <v>4679</v>
      </c>
      <c r="F1680" t="s">
        <v>69</v>
      </c>
      <c r="G1680" s="1">
        <v>28633</v>
      </c>
      <c r="H1680" s="1">
        <v>41008</v>
      </c>
      <c r="I1680" t="str">
        <f>"41"</f>
        <v>41</v>
      </c>
      <c r="J1680" t="s">
        <v>24</v>
      </c>
      <c r="K1680" t="s">
        <v>25</v>
      </c>
      <c r="L1680" t="s">
        <v>26</v>
      </c>
      <c r="M1680" t="s">
        <v>27</v>
      </c>
      <c r="N1680" s="1">
        <v>18629</v>
      </c>
      <c r="O1680">
        <v>0</v>
      </c>
      <c r="P1680">
        <v>0</v>
      </c>
      <c r="Q1680" t="s">
        <v>28</v>
      </c>
      <c r="R1680" t="s">
        <v>29</v>
      </c>
      <c r="S1680" t="s">
        <v>1761</v>
      </c>
      <c r="T1680" t="s">
        <v>1762</v>
      </c>
    </row>
    <row r="1681" spans="1:20" x14ac:dyDescent="0.25">
      <c r="A1681" t="s">
        <v>4680</v>
      </c>
      <c r="B1681" t="str">
        <f>"6100"</f>
        <v>6100</v>
      </c>
      <c r="C1681" t="str">
        <f>"273806100"</f>
        <v>273806100</v>
      </c>
      <c r="D1681" t="s">
        <v>2537</v>
      </c>
      <c r="E1681" t="s">
        <v>1172</v>
      </c>
      <c r="G1681" s="1">
        <v>24563</v>
      </c>
      <c r="H1681" s="1">
        <v>41008</v>
      </c>
      <c r="I1681" t="str">
        <f>"50"</f>
        <v>50</v>
      </c>
      <c r="J1681" t="s">
        <v>208</v>
      </c>
      <c r="K1681" t="s">
        <v>25</v>
      </c>
      <c r="L1681" t="s">
        <v>26</v>
      </c>
      <c r="M1681" t="s">
        <v>27</v>
      </c>
      <c r="N1681" s="1">
        <v>18629</v>
      </c>
      <c r="O1681">
        <v>0</v>
      </c>
      <c r="P1681">
        <v>0</v>
      </c>
      <c r="Q1681" t="s">
        <v>28</v>
      </c>
      <c r="R1681" t="s">
        <v>258</v>
      </c>
      <c r="S1681" t="s">
        <v>1315</v>
      </c>
      <c r="T1681" t="s">
        <v>1316</v>
      </c>
    </row>
    <row r="1682" spans="1:20" x14ac:dyDescent="0.25">
      <c r="A1682" t="s">
        <v>4681</v>
      </c>
      <c r="B1682" t="str">
        <f>"3819"</f>
        <v>3819</v>
      </c>
      <c r="C1682" t="str">
        <f>"299823819"</f>
        <v>299823819</v>
      </c>
      <c r="D1682" t="s">
        <v>4682</v>
      </c>
      <c r="E1682" t="s">
        <v>4683</v>
      </c>
      <c r="F1682" t="s">
        <v>93</v>
      </c>
      <c r="G1682" s="1">
        <v>25662</v>
      </c>
      <c r="H1682" s="1">
        <v>41008</v>
      </c>
      <c r="I1682" t="str">
        <f>"33"</f>
        <v>33</v>
      </c>
      <c r="J1682" t="s">
        <v>45</v>
      </c>
      <c r="K1682" t="s">
        <v>25</v>
      </c>
      <c r="L1682" t="s">
        <v>26</v>
      </c>
      <c r="M1682" t="s">
        <v>27</v>
      </c>
      <c r="N1682" s="1">
        <v>18629</v>
      </c>
      <c r="O1682">
        <v>0</v>
      </c>
      <c r="P1682">
        <v>0</v>
      </c>
      <c r="Q1682" t="s">
        <v>37</v>
      </c>
      <c r="R1682" t="s">
        <v>100</v>
      </c>
      <c r="S1682" t="s">
        <v>757</v>
      </c>
      <c r="T1682" t="s">
        <v>758</v>
      </c>
    </row>
    <row r="1683" spans="1:20" x14ac:dyDescent="0.25">
      <c r="A1683" t="s">
        <v>4684</v>
      </c>
      <c r="B1683" t="str">
        <f>"8239"</f>
        <v>8239</v>
      </c>
      <c r="C1683" t="str">
        <f>"269728239"</f>
        <v>269728239</v>
      </c>
      <c r="D1683" t="s">
        <v>4685</v>
      </c>
      <c r="E1683" t="s">
        <v>4686</v>
      </c>
      <c r="G1683" s="1">
        <v>24255</v>
      </c>
      <c r="H1683" s="1">
        <v>41001</v>
      </c>
      <c r="I1683" t="str">
        <f>"08"</f>
        <v>08</v>
      </c>
      <c r="J1683" t="s">
        <v>265</v>
      </c>
      <c r="K1683" t="s">
        <v>98</v>
      </c>
      <c r="L1683" t="s">
        <v>37</v>
      </c>
      <c r="M1683" t="s">
        <v>117</v>
      </c>
      <c r="N1683" s="1">
        <v>41617</v>
      </c>
      <c r="O1683">
        <v>4951.96</v>
      </c>
      <c r="P1683">
        <v>1237.8599999999999</v>
      </c>
      <c r="Q1683" t="s">
        <v>28</v>
      </c>
      <c r="R1683" t="s">
        <v>51</v>
      </c>
      <c r="S1683" t="s">
        <v>3994</v>
      </c>
      <c r="T1683" t="s">
        <v>3995</v>
      </c>
    </row>
    <row r="1684" spans="1:20" x14ac:dyDescent="0.25">
      <c r="A1684" t="s">
        <v>4687</v>
      </c>
      <c r="B1684" t="str">
        <f>"8272"</f>
        <v>8272</v>
      </c>
      <c r="C1684" t="str">
        <f>"295688272"</f>
        <v>295688272</v>
      </c>
      <c r="D1684" t="s">
        <v>4688</v>
      </c>
      <c r="E1684" t="s">
        <v>944</v>
      </c>
      <c r="F1684" t="s">
        <v>97</v>
      </c>
      <c r="G1684" s="1">
        <v>26830</v>
      </c>
      <c r="H1684" s="1">
        <v>41001</v>
      </c>
      <c r="I1684" t="str">
        <f>"30"</f>
        <v>30</v>
      </c>
      <c r="J1684" t="s">
        <v>50</v>
      </c>
      <c r="K1684" t="s">
        <v>25</v>
      </c>
      <c r="L1684" t="s">
        <v>26</v>
      </c>
      <c r="M1684" t="s">
        <v>27</v>
      </c>
      <c r="N1684" s="1">
        <v>18629</v>
      </c>
      <c r="O1684">
        <v>0</v>
      </c>
      <c r="P1684">
        <v>0</v>
      </c>
      <c r="Q1684" t="s">
        <v>28</v>
      </c>
      <c r="R1684" t="s">
        <v>599</v>
      </c>
      <c r="S1684" t="s">
        <v>600</v>
      </c>
      <c r="T1684" t="s">
        <v>601</v>
      </c>
    </row>
    <row r="1685" spans="1:20" x14ac:dyDescent="0.25">
      <c r="A1685" t="s">
        <v>4689</v>
      </c>
      <c r="B1685" t="str">
        <f>"2956"</f>
        <v>2956</v>
      </c>
      <c r="C1685" t="str">
        <f>"302742956"</f>
        <v>302742956</v>
      </c>
      <c r="D1685" t="s">
        <v>4690</v>
      </c>
      <c r="E1685" t="s">
        <v>1666</v>
      </c>
      <c r="F1685" t="s">
        <v>37</v>
      </c>
      <c r="G1685" s="1">
        <v>29117</v>
      </c>
      <c r="H1685" s="1">
        <v>41001</v>
      </c>
      <c r="I1685" t="str">
        <f>"50"</f>
        <v>50</v>
      </c>
      <c r="J1685" t="s">
        <v>208</v>
      </c>
      <c r="K1685" t="s">
        <v>25</v>
      </c>
      <c r="L1685" t="s">
        <v>26</v>
      </c>
      <c r="M1685" t="s">
        <v>27</v>
      </c>
      <c r="N1685" s="1">
        <v>18629</v>
      </c>
      <c r="O1685">
        <v>0</v>
      </c>
      <c r="P1685">
        <v>0</v>
      </c>
      <c r="Q1685" t="s">
        <v>37</v>
      </c>
      <c r="R1685" t="s">
        <v>51</v>
      </c>
      <c r="S1685" s="2" t="s">
        <v>198</v>
      </c>
      <c r="T1685" t="s">
        <v>199</v>
      </c>
    </row>
    <row r="1686" spans="1:20" x14ac:dyDescent="0.25">
      <c r="A1686" t="s">
        <v>4691</v>
      </c>
      <c r="B1686" t="str">
        <f>"9602"</f>
        <v>9602</v>
      </c>
      <c r="C1686" t="str">
        <f>"292849602"</f>
        <v>292849602</v>
      </c>
      <c r="D1686" t="s">
        <v>4692</v>
      </c>
      <c r="E1686" t="s">
        <v>4693</v>
      </c>
      <c r="F1686" t="s">
        <v>93</v>
      </c>
      <c r="G1686" s="1">
        <v>31629</v>
      </c>
      <c r="H1686" s="1">
        <v>41001</v>
      </c>
      <c r="I1686" t="str">
        <f>"15"</f>
        <v>15</v>
      </c>
      <c r="J1686" t="s">
        <v>36</v>
      </c>
      <c r="K1686" t="s">
        <v>175</v>
      </c>
      <c r="L1686" t="s">
        <v>37</v>
      </c>
      <c r="M1686" t="s">
        <v>257</v>
      </c>
      <c r="N1686" s="1">
        <v>41617</v>
      </c>
      <c r="O1686">
        <v>11847.94</v>
      </c>
      <c r="P1686">
        <v>2961.92</v>
      </c>
      <c r="Q1686" t="s">
        <v>37</v>
      </c>
      <c r="R1686" t="s">
        <v>29</v>
      </c>
      <c r="S1686" t="s">
        <v>4694</v>
      </c>
      <c r="T1686" t="s">
        <v>4695</v>
      </c>
    </row>
    <row r="1687" spans="1:20" x14ac:dyDescent="0.25">
      <c r="A1687" t="s">
        <v>4696</v>
      </c>
      <c r="B1687" t="str">
        <f>"4902"</f>
        <v>4902</v>
      </c>
      <c r="C1687" t="str">
        <f>"269324902"</f>
        <v>269324902</v>
      </c>
      <c r="D1687" t="s">
        <v>1434</v>
      </c>
      <c r="E1687" t="s">
        <v>4697</v>
      </c>
      <c r="F1687" t="s">
        <v>97</v>
      </c>
      <c r="G1687" s="1">
        <v>13936</v>
      </c>
      <c r="H1687" s="1">
        <v>41001</v>
      </c>
      <c r="I1687" t="str">
        <f>"52"</f>
        <v>52</v>
      </c>
      <c r="J1687" t="s">
        <v>330</v>
      </c>
      <c r="K1687" t="s">
        <v>25</v>
      </c>
      <c r="L1687" t="s">
        <v>26</v>
      </c>
      <c r="M1687" t="s">
        <v>27</v>
      </c>
      <c r="N1687" s="1">
        <v>18629</v>
      </c>
      <c r="O1687">
        <v>0</v>
      </c>
      <c r="P1687">
        <v>0</v>
      </c>
      <c r="Q1687" t="s">
        <v>28</v>
      </c>
      <c r="R1687" t="s">
        <v>51</v>
      </c>
      <c r="S1687" s="2" t="s">
        <v>362</v>
      </c>
      <c r="T1687" t="s">
        <v>363</v>
      </c>
    </row>
    <row r="1688" spans="1:20" x14ac:dyDescent="0.25">
      <c r="A1688" t="s">
        <v>4698</v>
      </c>
      <c r="B1688" t="str">
        <f>"0505"</f>
        <v>0505</v>
      </c>
      <c r="C1688" t="str">
        <f>"287860505"</f>
        <v>287860505</v>
      </c>
      <c r="D1688" t="s">
        <v>4699</v>
      </c>
      <c r="E1688" t="s">
        <v>4700</v>
      </c>
      <c r="F1688" t="s">
        <v>28</v>
      </c>
      <c r="G1688" s="1">
        <v>28843</v>
      </c>
      <c r="H1688" s="1">
        <v>41001</v>
      </c>
      <c r="I1688" t="str">
        <f>"08"</f>
        <v>08</v>
      </c>
      <c r="J1688" t="s">
        <v>265</v>
      </c>
      <c r="K1688" t="s">
        <v>175</v>
      </c>
      <c r="L1688" t="s">
        <v>37</v>
      </c>
      <c r="M1688" t="s">
        <v>117</v>
      </c>
      <c r="N1688" s="1">
        <v>41617</v>
      </c>
      <c r="O1688">
        <v>5288.66</v>
      </c>
      <c r="P1688">
        <v>1322.1</v>
      </c>
      <c r="Q1688" t="s">
        <v>37</v>
      </c>
      <c r="R1688" t="s">
        <v>29</v>
      </c>
      <c r="S1688" t="s">
        <v>368</v>
      </c>
      <c r="T1688" t="s">
        <v>369</v>
      </c>
    </row>
    <row r="1689" spans="1:20" x14ac:dyDescent="0.25">
      <c r="A1689" t="s">
        <v>4701</v>
      </c>
      <c r="B1689" t="str">
        <f>"9926"</f>
        <v>9926</v>
      </c>
      <c r="C1689" t="str">
        <f>"270709926"</f>
        <v>270709926</v>
      </c>
      <c r="D1689" t="s">
        <v>4702</v>
      </c>
      <c r="E1689" t="s">
        <v>4703</v>
      </c>
      <c r="F1689" t="s">
        <v>44</v>
      </c>
      <c r="G1689" s="1">
        <v>23681</v>
      </c>
      <c r="H1689" s="1">
        <v>41001</v>
      </c>
      <c r="I1689" t="str">
        <f>"03"</f>
        <v>03</v>
      </c>
      <c r="J1689" t="s">
        <v>70</v>
      </c>
      <c r="K1689" t="s">
        <v>98</v>
      </c>
      <c r="L1689" t="s">
        <v>37</v>
      </c>
      <c r="M1689" t="s">
        <v>99</v>
      </c>
      <c r="N1689" s="1">
        <v>41617</v>
      </c>
      <c r="O1689">
        <v>14801.8</v>
      </c>
      <c r="P1689">
        <v>3700.32</v>
      </c>
      <c r="Q1689" t="s">
        <v>37</v>
      </c>
      <c r="R1689" t="s">
        <v>258</v>
      </c>
      <c r="S1689" t="s">
        <v>978</v>
      </c>
      <c r="T1689" t="s">
        <v>979</v>
      </c>
    </row>
    <row r="1690" spans="1:20" x14ac:dyDescent="0.25">
      <c r="A1690" t="s">
        <v>4704</v>
      </c>
      <c r="B1690" t="str">
        <f>"2012"</f>
        <v>2012</v>
      </c>
      <c r="C1690" t="str">
        <f>"281862012"</f>
        <v>281862012</v>
      </c>
      <c r="D1690" t="s">
        <v>4705</v>
      </c>
      <c r="E1690" t="s">
        <v>4706</v>
      </c>
      <c r="F1690" t="s">
        <v>28</v>
      </c>
      <c r="G1690" s="1">
        <v>30260</v>
      </c>
      <c r="H1690" s="1">
        <v>41001</v>
      </c>
      <c r="I1690" t="str">
        <f>"12"</f>
        <v>12</v>
      </c>
      <c r="J1690" t="s">
        <v>245</v>
      </c>
      <c r="K1690" t="s">
        <v>98</v>
      </c>
      <c r="L1690" t="s">
        <v>37</v>
      </c>
      <c r="M1690" t="s">
        <v>99</v>
      </c>
      <c r="N1690" s="1">
        <v>41617</v>
      </c>
      <c r="O1690">
        <v>14801.8</v>
      </c>
      <c r="P1690">
        <v>3700.32</v>
      </c>
      <c r="Q1690" t="s">
        <v>37</v>
      </c>
      <c r="R1690" t="s">
        <v>110</v>
      </c>
      <c r="S1690" t="s">
        <v>4707</v>
      </c>
      <c r="T1690" t="s">
        <v>4708</v>
      </c>
    </row>
    <row r="1691" spans="1:20" x14ac:dyDescent="0.25">
      <c r="A1691" t="s">
        <v>4709</v>
      </c>
      <c r="B1691" t="str">
        <f>"0508"</f>
        <v>0508</v>
      </c>
      <c r="C1691" t="str">
        <f>"296840508"</f>
        <v>296840508</v>
      </c>
      <c r="D1691" t="s">
        <v>4075</v>
      </c>
      <c r="E1691" t="s">
        <v>619</v>
      </c>
      <c r="G1691" s="1">
        <v>28358</v>
      </c>
      <c r="H1691" s="1">
        <v>41001</v>
      </c>
      <c r="I1691" t="str">
        <f>"52"</f>
        <v>52</v>
      </c>
      <c r="J1691" t="s">
        <v>330</v>
      </c>
      <c r="K1691" t="s">
        <v>25</v>
      </c>
      <c r="L1691" t="s">
        <v>26</v>
      </c>
      <c r="M1691" t="s">
        <v>27</v>
      </c>
      <c r="N1691" s="1">
        <v>18629</v>
      </c>
      <c r="O1691">
        <v>0</v>
      </c>
      <c r="P1691">
        <v>0</v>
      </c>
      <c r="Q1691" t="s">
        <v>37</v>
      </c>
      <c r="R1691" t="s">
        <v>51</v>
      </c>
      <c r="S1691" s="2" t="s">
        <v>362</v>
      </c>
      <c r="T1691" t="s">
        <v>363</v>
      </c>
    </row>
    <row r="1692" spans="1:20" x14ac:dyDescent="0.25">
      <c r="A1692" t="s">
        <v>4710</v>
      </c>
      <c r="B1692" t="str">
        <f>"2042"</f>
        <v>2042</v>
      </c>
      <c r="C1692" t="str">
        <f>"283742042"</f>
        <v>283742042</v>
      </c>
      <c r="D1692" t="s">
        <v>4711</v>
      </c>
      <c r="E1692" t="s">
        <v>470</v>
      </c>
      <c r="F1692" t="s">
        <v>28</v>
      </c>
      <c r="G1692" s="1">
        <v>28761</v>
      </c>
      <c r="H1692" s="1">
        <v>40997</v>
      </c>
      <c r="I1692" t="str">
        <f>"51"</f>
        <v>51</v>
      </c>
      <c r="J1692" t="s">
        <v>471</v>
      </c>
      <c r="K1692" t="s">
        <v>25</v>
      </c>
      <c r="L1692" t="s">
        <v>26</v>
      </c>
      <c r="M1692" t="s">
        <v>27</v>
      </c>
      <c r="N1692" s="1">
        <v>18629</v>
      </c>
      <c r="O1692">
        <v>0</v>
      </c>
      <c r="P1692">
        <v>0</v>
      </c>
      <c r="Q1692" t="s">
        <v>28</v>
      </c>
      <c r="R1692" t="s">
        <v>258</v>
      </c>
      <c r="S1692" t="s">
        <v>472</v>
      </c>
      <c r="T1692" t="s">
        <v>473</v>
      </c>
    </row>
    <row r="1693" spans="1:20" x14ac:dyDescent="0.25">
      <c r="A1693" t="s">
        <v>4712</v>
      </c>
      <c r="B1693" t="str">
        <f>"3860"</f>
        <v>3860</v>
      </c>
      <c r="C1693" t="str">
        <f>"262863860"</f>
        <v>262863860</v>
      </c>
      <c r="D1693" t="s">
        <v>4713</v>
      </c>
      <c r="E1693" t="s">
        <v>4714</v>
      </c>
      <c r="F1693" t="s">
        <v>239</v>
      </c>
      <c r="G1693" s="1">
        <v>17179</v>
      </c>
      <c r="H1693" s="1">
        <v>40994</v>
      </c>
      <c r="I1693" t="str">
        <f>"41"</f>
        <v>41</v>
      </c>
      <c r="J1693" t="s">
        <v>24</v>
      </c>
      <c r="K1693" t="s">
        <v>25</v>
      </c>
      <c r="L1693" t="s">
        <v>26</v>
      </c>
      <c r="M1693" t="s">
        <v>27</v>
      </c>
      <c r="N1693" s="1">
        <v>18629</v>
      </c>
      <c r="O1693">
        <v>0</v>
      </c>
      <c r="P1693">
        <v>0</v>
      </c>
      <c r="Q1693" t="s">
        <v>37</v>
      </c>
      <c r="R1693" t="s">
        <v>29</v>
      </c>
      <c r="S1693" t="s">
        <v>4468</v>
      </c>
      <c r="T1693" t="s">
        <v>4469</v>
      </c>
    </row>
    <row r="1694" spans="1:20" x14ac:dyDescent="0.25">
      <c r="A1694" t="s">
        <v>4715</v>
      </c>
      <c r="B1694" t="str">
        <f>"8662"</f>
        <v>8662</v>
      </c>
      <c r="C1694" t="str">
        <f>"297788662"</f>
        <v>297788662</v>
      </c>
      <c r="D1694" t="s">
        <v>3067</v>
      </c>
      <c r="E1694" t="s">
        <v>604</v>
      </c>
      <c r="F1694" t="s">
        <v>264</v>
      </c>
      <c r="G1694" s="1">
        <v>30139</v>
      </c>
      <c r="H1694" s="1">
        <v>40992</v>
      </c>
      <c r="I1694" t="str">
        <f>"30"</f>
        <v>30</v>
      </c>
      <c r="J1694" t="s">
        <v>50</v>
      </c>
      <c r="K1694" t="s">
        <v>25</v>
      </c>
      <c r="L1694" t="s">
        <v>26</v>
      </c>
      <c r="M1694" t="s">
        <v>27</v>
      </c>
      <c r="N1694" s="1">
        <v>18629</v>
      </c>
      <c r="O1694">
        <v>0</v>
      </c>
      <c r="P1694">
        <v>0</v>
      </c>
      <c r="Q1694" t="s">
        <v>37</v>
      </c>
      <c r="R1694" t="s">
        <v>51</v>
      </c>
      <c r="S1694" s="2" t="s">
        <v>198</v>
      </c>
      <c r="T1694" t="s">
        <v>199</v>
      </c>
    </row>
    <row r="1695" spans="1:20" x14ac:dyDescent="0.25">
      <c r="A1695" t="s">
        <v>4716</v>
      </c>
      <c r="B1695" t="str">
        <f>"5272"</f>
        <v>5272</v>
      </c>
      <c r="C1695" t="str">
        <f>"287925272"</f>
        <v>287925272</v>
      </c>
      <c r="D1695" t="s">
        <v>4717</v>
      </c>
      <c r="E1695" t="s">
        <v>3412</v>
      </c>
      <c r="F1695" t="s">
        <v>414</v>
      </c>
      <c r="G1695" s="1">
        <v>33172</v>
      </c>
      <c r="H1695" s="1">
        <v>40990</v>
      </c>
      <c r="I1695" t="str">
        <f>"41"</f>
        <v>41</v>
      </c>
      <c r="J1695" t="s">
        <v>24</v>
      </c>
      <c r="K1695" t="s">
        <v>25</v>
      </c>
      <c r="L1695" t="s">
        <v>26</v>
      </c>
      <c r="M1695" t="s">
        <v>27</v>
      </c>
      <c r="N1695" s="1">
        <v>18629</v>
      </c>
      <c r="O1695">
        <v>0</v>
      </c>
      <c r="P1695">
        <v>0</v>
      </c>
      <c r="Q1695" t="s">
        <v>28</v>
      </c>
      <c r="R1695" t="s">
        <v>258</v>
      </c>
      <c r="S1695" t="s">
        <v>1649</v>
      </c>
      <c r="T1695" t="s">
        <v>1650</v>
      </c>
    </row>
    <row r="1696" spans="1:20" x14ac:dyDescent="0.25">
      <c r="A1696" t="s">
        <v>4718</v>
      </c>
      <c r="B1696" t="str">
        <f>"9328"</f>
        <v>9328</v>
      </c>
      <c r="C1696" t="str">
        <f>"291789328"</f>
        <v>291789328</v>
      </c>
      <c r="D1696" t="s">
        <v>4719</v>
      </c>
      <c r="E1696" t="s">
        <v>4720</v>
      </c>
      <c r="G1696" s="1">
        <v>25522</v>
      </c>
      <c r="H1696" s="1">
        <v>40987</v>
      </c>
      <c r="I1696" t="str">
        <f>"03"</f>
        <v>03</v>
      </c>
      <c r="J1696" t="s">
        <v>70</v>
      </c>
      <c r="K1696" t="s">
        <v>98</v>
      </c>
      <c r="L1696" t="s">
        <v>37</v>
      </c>
      <c r="M1696" t="s">
        <v>257</v>
      </c>
      <c r="N1696" s="1">
        <v>41617</v>
      </c>
      <c r="O1696">
        <v>10753.08</v>
      </c>
      <c r="P1696">
        <v>2688.4</v>
      </c>
      <c r="Q1696" t="s">
        <v>28</v>
      </c>
      <c r="R1696" t="s">
        <v>38</v>
      </c>
      <c r="S1696" t="s">
        <v>2678</v>
      </c>
      <c r="T1696" t="s">
        <v>2679</v>
      </c>
    </row>
    <row r="1697" spans="1:20" x14ac:dyDescent="0.25">
      <c r="A1697" t="s">
        <v>4721</v>
      </c>
      <c r="B1697" t="str">
        <f>"8946"</f>
        <v>8946</v>
      </c>
      <c r="C1697" t="str">
        <f>"299948946"</f>
        <v>299948946</v>
      </c>
      <c r="D1697" t="s">
        <v>4722</v>
      </c>
      <c r="E1697" t="s">
        <v>308</v>
      </c>
      <c r="G1697" s="1">
        <v>22194</v>
      </c>
      <c r="H1697" s="1">
        <v>40987</v>
      </c>
      <c r="I1697" t="str">
        <f>"33"</f>
        <v>33</v>
      </c>
      <c r="J1697" t="s">
        <v>45</v>
      </c>
      <c r="K1697" t="s">
        <v>25</v>
      </c>
      <c r="L1697" t="s">
        <v>26</v>
      </c>
      <c r="M1697" t="s">
        <v>27</v>
      </c>
      <c r="N1697" s="1">
        <v>18629</v>
      </c>
      <c r="O1697">
        <v>0</v>
      </c>
      <c r="P1697">
        <v>0</v>
      </c>
      <c r="Q1697" t="s">
        <v>37</v>
      </c>
      <c r="R1697" t="s">
        <v>51</v>
      </c>
      <c r="S1697" t="s">
        <v>795</v>
      </c>
      <c r="T1697" t="s">
        <v>796</v>
      </c>
    </row>
    <row r="1698" spans="1:20" x14ac:dyDescent="0.25">
      <c r="A1698" t="s">
        <v>4723</v>
      </c>
      <c r="B1698" t="str">
        <f>"1330"</f>
        <v>1330</v>
      </c>
      <c r="C1698" t="str">
        <f>"296921330"</f>
        <v>296921330</v>
      </c>
      <c r="D1698" t="s">
        <v>1213</v>
      </c>
      <c r="E1698" t="s">
        <v>966</v>
      </c>
      <c r="F1698" t="s">
        <v>97</v>
      </c>
      <c r="G1698" s="1">
        <v>32617</v>
      </c>
      <c r="H1698" s="1">
        <v>40987</v>
      </c>
      <c r="I1698" t="str">
        <f>"15"</f>
        <v>15</v>
      </c>
      <c r="J1698" t="s">
        <v>36</v>
      </c>
      <c r="K1698" t="s">
        <v>98</v>
      </c>
      <c r="L1698" t="s">
        <v>37</v>
      </c>
      <c r="M1698" t="s">
        <v>117</v>
      </c>
      <c r="N1698" s="1">
        <v>41617</v>
      </c>
      <c r="O1698">
        <v>4951.96</v>
      </c>
      <c r="P1698">
        <v>1237.8599999999999</v>
      </c>
      <c r="Q1698" t="s">
        <v>28</v>
      </c>
      <c r="R1698" t="s">
        <v>258</v>
      </c>
      <c r="S1698" t="s">
        <v>978</v>
      </c>
      <c r="T1698" t="s">
        <v>979</v>
      </c>
    </row>
    <row r="1699" spans="1:20" x14ac:dyDescent="0.25">
      <c r="A1699" t="s">
        <v>4724</v>
      </c>
      <c r="B1699" t="str">
        <f>"1245"</f>
        <v>1245</v>
      </c>
      <c r="C1699" t="str">
        <f>"284701245"</f>
        <v>284701245</v>
      </c>
      <c r="D1699" t="s">
        <v>4725</v>
      </c>
      <c r="E1699" t="s">
        <v>756</v>
      </c>
      <c r="G1699" s="1">
        <v>24169</v>
      </c>
      <c r="H1699" s="1">
        <v>40987</v>
      </c>
      <c r="I1699" t="str">
        <f>"03"</f>
        <v>03</v>
      </c>
      <c r="J1699" t="s">
        <v>70</v>
      </c>
      <c r="K1699" t="s">
        <v>98</v>
      </c>
      <c r="L1699" t="s">
        <v>37</v>
      </c>
      <c r="M1699" t="s">
        <v>117</v>
      </c>
      <c r="N1699" s="1">
        <v>41617</v>
      </c>
      <c r="O1699">
        <v>4951.96</v>
      </c>
      <c r="P1699">
        <v>1237.8599999999999</v>
      </c>
      <c r="Q1699" t="s">
        <v>37</v>
      </c>
      <c r="R1699" t="s">
        <v>29</v>
      </c>
      <c r="S1699" t="s">
        <v>1696</v>
      </c>
      <c r="T1699" t="s">
        <v>1697</v>
      </c>
    </row>
    <row r="1700" spans="1:20" x14ac:dyDescent="0.25">
      <c r="A1700" t="s">
        <v>4726</v>
      </c>
      <c r="B1700" t="str">
        <f>"8103"</f>
        <v>8103</v>
      </c>
      <c r="C1700" t="str">
        <f>"566418103"</f>
        <v>566418103</v>
      </c>
      <c r="D1700" t="s">
        <v>4727</v>
      </c>
      <c r="E1700" t="s">
        <v>609</v>
      </c>
      <c r="F1700" t="s">
        <v>93</v>
      </c>
      <c r="G1700" s="1">
        <v>27893</v>
      </c>
      <c r="H1700" s="1">
        <v>40987</v>
      </c>
      <c r="I1700" t="str">
        <f>"03"</f>
        <v>03</v>
      </c>
      <c r="J1700" t="s">
        <v>70</v>
      </c>
      <c r="K1700" t="s">
        <v>98</v>
      </c>
      <c r="L1700" t="s">
        <v>37</v>
      </c>
      <c r="M1700" t="s">
        <v>257</v>
      </c>
      <c r="N1700" s="1">
        <v>41617</v>
      </c>
      <c r="O1700">
        <v>10753.08</v>
      </c>
      <c r="P1700">
        <v>2688.4</v>
      </c>
      <c r="Q1700" t="s">
        <v>28</v>
      </c>
      <c r="R1700" t="s">
        <v>38</v>
      </c>
      <c r="S1700" t="s">
        <v>2678</v>
      </c>
      <c r="T1700" t="s">
        <v>2679</v>
      </c>
    </row>
    <row r="1701" spans="1:20" x14ac:dyDescent="0.25">
      <c r="A1701" t="s">
        <v>4728</v>
      </c>
      <c r="B1701" t="str">
        <f>"0510"</f>
        <v>0510</v>
      </c>
      <c r="C1701" t="str">
        <f>"449840510"</f>
        <v>449840510</v>
      </c>
      <c r="D1701" t="s">
        <v>4729</v>
      </c>
      <c r="E1701" t="s">
        <v>769</v>
      </c>
      <c r="F1701" t="s">
        <v>264</v>
      </c>
      <c r="G1701" s="1">
        <v>21990</v>
      </c>
      <c r="H1701" s="1">
        <v>40987</v>
      </c>
      <c r="I1701" t="str">
        <f>"30"</f>
        <v>30</v>
      </c>
      <c r="J1701" t="s">
        <v>50</v>
      </c>
      <c r="K1701" t="s">
        <v>25</v>
      </c>
      <c r="L1701" t="s">
        <v>26</v>
      </c>
      <c r="M1701" t="s">
        <v>27</v>
      </c>
      <c r="N1701" s="1">
        <v>18629</v>
      </c>
      <c r="O1701">
        <v>0</v>
      </c>
      <c r="P1701">
        <v>0</v>
      </c>
      <c r="Q1701" t="s">
        <v>37</v>
      </c>
      <c r="R1701" t="s">
        <v>71</v>
      </c>
      <c r="S1701" t="s">
        <v>277</v>
      </c>
      <c r="T1701" t="s">
        <v>278</v>
      </c>
    </row>
    <row r="1702" spans="1:20" x14ac:dyDescent="0.25">
      <c r="A1702" t="s">
        <v>4730</v>
      </c>
      <c r="B1702" t="str">
        <f>"6131"</f>
        <v>6131</v>
      </c>
      <c r="C1702" t="str">
        <f>"289826131"</f>
        <v>289826131</v>
      </c>
      <c r="D1702" t="s">
        <v>666</v>
      </c>
      <c r="E1702" t="s">
        <v>3534</v>
      </c>
      <c r="F1702" t="s">
        <v>28</v>
      </c>
      <c r="G1702" s="1">
        <v>30965</v>
      </c>
      <c r="H1702" s="1">
        <v>40987</v>
      </c>
      <c r="I1702" t="str">
        <f>"15"</f>
        <v>15</v>
      </c>
      <c r="J1702" t="s">
        <v>36</v>
      </c>
      <c r="K1702" t="s">
        <v>98</v>
      </c>
      <c r="L1702" t="s">
        <v>37</v>
      </c>
      <c r="M1702" t="s">
        <v>257</v>
      </c>
      <c r="N1702" s="1">
        <v>41617</v>
      </c>
      <c r="O1702">
        <v>10753.08</v>
      </c>
      <c r="P1702">
        <v>2688.4</v>
      </c>
      <c r="Q1702" t="s">
        <v>37</v>
      </c>
      <c r="R1702" t="s">
        <v>51</v>
      </c>
      <c r="S1702" s="2" t="s">
        <v>1272</v>
      </c>
      <c r="T1702" t="s">
        <v>1273</v>
      </c>
    </row>
    <row r="1703" spans="1:20" x14ac:dyDescent="0.25">
      <c r="A1703" t="s">
        <v>4731</v>
      </c>
      <c r="B1703" t="str">
        <f>"2424"</f>
        <v>2424</v>
      </c>
      <c r="C1703" t="str">
        <f>"291882424"</f>
        <v>291882424</v>
      </c>
      <c r="D1703" t="s">
        <v>4732</v>
      </c>
      <c r="E1703" t="s">
        <v>57</v>
      </c>
      <c r="F1703" t="s">
        <v>165</v>
      </c>
      <c r="G1703" s="1">
        <v>32227</v>
      </c>
      <c r="H1703" s="1">
        <v>40987</v>
      </c>
      <c r="I1703" t="str">
        <f>"41"</f>
        <v>41</v>
      </c>
      <c r="J1703" t="s">
        <v>24</v>
      </c>
      <c r="K1703" t="s">
        <v>25</v>
      </c>
      <c r="L1703" t="s">
        <v>26</v>
      </c>
      <c r="M1703" t="s">
        <v>27</v>
      </c>
      <c r="N1703" s="1">
        <v>18629</v>
      </c>
      <c r="O1703">
        <v>0</v>
      </c>
      <c r="P1703">
        <v>0</v>
      </c>
      <c r="Q1703" t="s">
        <v>28</v>
      </c>
      <c r="R1703" t="s">
        <v>258</v>
      </c>
      <c r="S1703" t="s">
        <v>533</v>
      </c>
      <c r="T1703" t="s">
        <v>534</v>
      </c>
    </row>
    <row r="1704" spans="1:20" x14ac:dyDescent="0.25">
      <c r="A1704" t="s">
        <v>4733</v>
      </c>
      <c r="B1704" t="str">
        <f>"3922"</f>
        <v>3922</v>
      </c>
      <c r="C1704" t="str">
        <f>"301723922"</f>
        <v>301723922</v>
      </c>
      <c r="D1704" t="s">
        <v>3106</v>
      </c>
      <c r="E1704" t="s">
        <v>82</v>
      </c>
      <c r="F1704" t="s">
        <v>44</v>
      </c>
      <c r="G1704" s="1">
        <v>23447</v>
      </c>
      <c r="H1704" s="1">
        <v>40987</v>
      </c>
      <c r="I1704" t="str">
        <f>"50"</f>
        <v>50</v>
      </c>
      <c r="J1704" t="s">
        <v>208</v>
      </c>
      <c r="K1704" t="s">
        <v>25</v>
      </c>
      <c r="L1704" t="s">
        <v>26</v>
      </c>
      <c r="M1704" t="s">
        <v>27</v>
      </c>
      <c r="N1704" s="1">
        <v>18629</v>
      </c>
      <c r="O1704">
        <v>0</v>
      </c>
      <c r="P1704">
        <v>0</v>
      </c>
      <c r="Q1704" t="s">
        <v>37</v>
      </c>
      <c r="R1704" t="s">
        <v>71</v>
      </c>
      <c r="S1704" t="s">
        <v>209</v>
      </c>
      <c r="T1704" t="s">
        <v>210</v>
      </c>
    </row>
    <row r="1705" spans="1:20" x14ac:dyDescent="0.25">
      <c r="A1705" t="s">
        <v>4734</v>
      </c>
      <c r="B1705" t="str">
        <f>"1109"</f>
        <v>1109</v>
      </c>
      <c r="C1705" t="str">
        <f>"290501109"</f>
        <v>290501109</v>
      </c>
      <c r="D1705" t="s">
        <v>4735</v>
      </c>
      <c r="E1705" t="s">
        <v>1952</v>
      </c>
      <c r="F1705" t="s">
        <v>190</v>
      </c>
      <c r="G1705" s="1">
        <v>18655</v>
      </c>
      <c r="H1705" s="1">
        <v>40987</v>
      </c>
      <c r="I1705" t="str">
        <f>"41"</f>
        <v>41</v>
      </c>
      <c r="J1705" t="s">
        <v>24</v>
      </c>
      <c r="K1705" t="s">
        <v>25</v>
      </c>
      <c r="L1705" t="s">
        <v>26</v>
      </c>
      <c r="M1705" t="s">
        <v>27</v>
      </c>
      <c r="N1705" s="1">
        <v>18629</v>
      </c>
      <c r="O1705">
        <v>0</v>
      </c>
      <c r="P1705">
        <v>0</v>
      </c>
      <c r="Q1705" t="s">
        <v>37</v>
      </c>
      <c r="R1705" t="s">
        <v>29</v>
      </c>
      <c r="S1705" t="s">
        <v>527</v>
      </c>
      <c r="T1705" t="s">
        <v>528</v>
      </c>
    </row>
    <row r="1706" spans="1:20" x14ac:dyDescent="0.25">
      <c r="A1706" t="s">
        <v>4736</v>
      </c>
      <c r="B1706" t="str">
        <f>"2094"</f>
        <v>2094</v>
      </c>
      <c r="C1706" t="str">
        <f>"300902094"</f>
        <v>300902094</v>
      </c>
      <c r="D1706" t="s">
        <v>860</v>
      </c>
      <c r="E1706" t="s">
        <v>1942</v>
      </c>
      <c r="F1706" t="s">
        <v>4737</v>
      </c>
      <c r="G1706" s="1">
        <v>30942</v>
      </c>
      <c r="H1706" s="1">
        <v>40987</v>
      </c>
      <c r="I1706" t="str">
        <f>"15"</f>
        <v>15</v>
      </c>
      <c r="J1706" t="s">
        <v>36</v>
      </c>
      <c r="K1706" t="s">
        <v>98</v>
      </c>
      <c r="L1706" t="s">
        <v>37</v>
      </c>
      <c r="M1706" t="s">
        <v>257</v>
      </c>
      <c r="N1706" s="1">
        <v>41617</v>
      </c>
      <c r="O1706">
        <v>10753.08</v>
      </c>
      <c r="P1706">
        <v>2688.4</v>
      </c>
      <c r="Q1706" t="s">
        <v>37</v>
      </c>
      <c r="R1706" t="s">
        <v>29</v>
      </c>
      <c r="S1706" t="s">
        <v>1182</v>
      </c>
      <c r="T1706" t="s">
        <v>1183</v>
      </c>
    </row>
    <row r="1707" spans="1:20" x14ac:dyDescent="0.25">
      <c r="A1707" t="s">
        <v>4738</v>
      </c>
      <c r="B1707" t="str">
        <f>"6886"</f>
        <v>6886</v>
      </c>
      <c r="C1707" t="str">
        <f>"283446886"</f>
        <v>283446886</v>
      </c>
      <c r="D1707" t="s">
        <v>2292</v>
      </c>
      <c r="E1707" t="s">
        <v>899</v>
      </c>
      <c r="F1707" t="s">
        <v>28</v>
      </c>
      <c r="G1707" s="1">
        <v>17677</v>
      </c>
      <c r="H1707" s="1">
        <v>40980</v>
      </c>
      <c r="I1707" t="str">
        <f>"41"</f>
        <v>41</v>
      </c>
      <c r="J1707" t="s">
        <v>24</v>
      </c>
      <c r="K1707" t="s">
        <v>25</v>
      </c>
      <c r="L1707" t="s">
        <v>26</v>
      </c>
      <c r="M1707" t="s">
        <v>27</v>
      </c>
      <c r="N1707" s="1">
        <v>18629</v>
      </c>
      <c r="O1707">
        <v>0</v>
      </c>
      <c r="P1707">
        <v>0</v>
      </c>
      <c r="Q1707" t="s">
        <v>37</v>
      </c>
      <c r="R1707" t="s">
        <v>38</v>
      </c>
      <c r="S1707" t="s">
        <v>240</v>
      </c>
      <c r="T1707" t="s">
        <v>241</v>
      </c>
    </row>
    <row r="1708" spans="1:20" x14ac:dyDescent="0.25">
      <c r="A1708" t="s">
        <v>4739</v>
      </c>
      <c r="B1708" t="str">
        <f>"5600"</f>
        <v>5600</v>
      </c>
      <c r="C1708" t="str">
        <f>"293645600"</f>
        <v>293645600</v>
      </c>
      <c r="D1708" t="s">
        <v>4740</v>
      </c>
      <c r="E1708" t="s">
        <v>4202</v>
      </c>
      <c r="F1708" t="s">
        <v>414</v>
      </c>
      <c r="G1708" s="1">
        <v>26680</v>
      </c>
      <c r="H1708" s="1">
        <v>40980</v>
      </c>
      <c r="I1708" t="str">
        <f>"41"</f>
        <v>41</v>
      </c>
      <c r="J1708" t="s">
        <v>24</v>
      </c>
      <c r="K1708" t="s">
        <v>25</v>
      </c>
      <c r="L1708" t="s">
        <v>26</v>
      </c>
      <c r="M1708" t="s">
        <v>27</v>
      </c>
      <c r="N1708" s="1">
        <v>18629</v>
      </c>
      <c r="O1708">
        <v>0</v>
      </c>
      <c r="P1708">
        <v>0</v>
      </c>
      <c r="Q1708" t="s">
        <v>37</v>
      </c>
      <c r="R1708" t="s">
        <v>29</v>
      </c>
      <c r="S1708" t="s">
        <v>527</v>
      </c>
      <c r="T1708" t="s">
        <v>528</v>
      </c>
    </row>
    <row r="1709" spans="1:20" x14ac:dyDescent="0.25">
      <c r="A1709" t="s">
        <v>4741</v>
      </c>
      <c r="B1709" t="str">
        <f>"2307"</f>
        <v>2307</v>
      </c>
      <c r="C1709" t="str">
        <f>"292862307"</f>
        <v>292862307</v>
      </c>
      <c r="D1709" t="s">
        <v>4742</v>
      </c>
      <c r="E1709" t="s">
        <v>782</v>
      </c>
      <c r="F1709" t="s">
        <v>93</v>
      </c>
      <c r="G1709" s="1">
        <v>31703</v>
      </c>
      <c r="H1709" s="1">
        <v>40973</v>
      </c>
      <c r="I1709" t="str">
        <f>"41"</f>
        <v>41</v>
      </c>
      <c r="J1709" t="s">
        <v>24</v>
      </c>
      <c r="K1709" t="s">
        <v>25</v>
      </c>
      <c r="L1709" t="s">
        <v>26</v>
      </c>
      <c r="M1709" t="s">
        <v>27</v>
      </c>
      <c r="N1709" s="1">
        <v>18629</v>
      </c>
      <c r="O1709">
        <v>0</v>
      </c>
      <c r="P1709">
        <v>0</v>
      </c>
      <c r="Q1709" t="s">
        <v>37</v>
      </c>
      <c r="R1709" t="s">
        <v>71</v>
      </c>
      <c r="S1709" t="s">
        <v>4743</v>
      </c>
      <c r="T1709" t="s">
        <v>4744</v>
      </c>
    </row>
    <row r="1710" spans="1:20" x14ac:dyDescent="0.25">
      <c r="A1710" t="s">
        <v>4745</v>
      </c>
      <c r="B1710" t="str">
        <f>"9727"</f>
        <v>9727</v>
      </c>
      <c r="C1710" t="str">
        <f>"298789727"</f>
        <v>298789727</v>
      </c>
      <c r="D1710" t="s">
        <v>4746</v>
      </c>
      <c r="E1710" t="s">
        <v>941</v>
      </c>
      <c r="F1710" t="s">
        <v>97</v>
      </c>
      <c r="G1710" s="1">
        <v>30072</v>
      </c>
      <c r="H1710" s="1">
        <v>40973</v>
      </c>
      <c r="I1710" t="str">
        <f>"30"</f>
        <v>30</v>
      </c>
      <c r="J1710" t="s">
        <v>50</v>
      </c>
      <c r="K1710" t="s">
        <v>25</v>
      </c>
      <c r="L1710" t="s">
        <v>26</v>
      </c>
      <c r="M1710" t="s">
        <v>27</v>
      </c>
      <c r="N1710" s="1">
        <v>18629</v>
      </c>
      <c r="O1710">
        <v>0</v>
      </c>
      <c r="P1710">
        <v>0</v>
      </c>
      <c r="Q1710" t="s">
        <v>28</v>
      </c>
      <c r="R1710" t="s">
        <v>599</v>
      </c>
      <c r="S1710" t="s">
        <v>600</v>
      </c>
      <c r="T1710" t="s">
        <v>601</v>
      </c>
    </row>
    <row r="1711" spans="1:20" x14ac:dyDescent="0.25">
      <c r="A1711" t="s">
        <v>4747</v>
      </c>
      <c r="B1711" t="str">
        <f>"8052"</f>
        <v>8052</v>
      </c>
      <c r="C1711" t="str">
        <f>"275628052"</f>
        <v>275628052</v>
      </c>
      <c r="D1711" t="s">
        <v>4748</v>
      </c>
      <c r="E1711" t="s">
        <v>4749</v>
      </c>
      <c r="F1711" t="s">
        <v>345</v>
      </c>
      <c r="G1711" s="1">
        <v>25905</v>
      </c>
      <c r="H1711" s="1">
        <v>40972</v>
      </c>
      <c r="I1711" t="str">
        <f>"41"</f>
        <v>41</v>
      </c>
      <c r="J1711" t="s">
        <v>24</v>
      </c>
      <c r="K1711" t="s">
        <v>25</v>
      </c>
      <c r="L1711" t="s">
        <v>26</v>
      </c>
      <c r="M1711" t="s">
        <v>27</v>
      </c>
      <c r="N1711" s="1">
        <v>18629</v>
      </c>
      <c r="O1711">
        <v>0</v>
      </c>
      <c r="P1711">
        <v>0</v>
      </c>
      <c r="Q1711" t="s">
        <v>37</v>
      </c>
      <c r="R1711" t="s">
        <v>51</v>
      </c>
      <c r="S1711" s="2" t="s">
        <v>4750</v>
      </c>
      <c r="T1711" t="s">
        <v>4751</v>
      </c>
    </row>
    <row r="1712" spans="1:20" x14ac:dyDescent="0.25">
      <c r="A1712" t="s">
        <v>4752</v>
      </c>
      <c r="B1712" t="str">
        <f>"3258"</f>
        <v>3258</v>
      </c>
      <c r="C1712" t="str">
        <f>"285723258"</f>
        <v>285723258</v>
      </c>
      <c r="D1712" t="s">
        <v>1087</v>
      </c>
      <c r="E1712" t="s">
        <v>2385</v>
      </c>
      <c r="F1712" t="s">
        <v>93</v>
      </c>
      <c r="G1712" s="1">
        <v>22903</v>
      </c>
      <c r="H1712" s="1">
        <v>40969</v>
      </c>
      <c r="I1712" t="str">
        <f>"52"</f>
        <v>52</v>
      </c>
      <c r="J1712" t="s">
        <v>330</v>
      </c>
      <c r="K1712" t="s">
        <v>25</v>
      </c>
      <c r="L1712" t="s">
        <v>26</v>
      </c>
      <c r="M1712" t="s">
        <v>27</v>
      </c>
      <c r="N1712" s="1">
        <v>18629</v>
      </c>
      <c r="O1712">
        <v>0</v>
      </c>
      <c r="P1712">
        <v>0</v>
      </c>
      <c r="Q1712" t="s">
        <v>37</v>
      </c>
      <c r="R1712" t="s">
        <v>258</v>
      </c>
      <c r="S1712" t="s">
        <v>331</v>
      </c>
      <c r="T1712" t="s">
        <v>332</v>
      </c>
    </row>
    <row r="1713" spans="1:20" x14ac:dyDescent="0.25">
      <c r="A1713" t="s">
        <v>4753</v>
      </c>
      <c r="B1713" t="str">
        <f>"9124"</f>
        <v>9124</v>
      </c>
      <c r="C1713" t="str">
        <f>"268809124"</f>
        <v>268809124</v>
      </c>
      <c r="D1713" t="s">
        <v>4754</v>
      </c>
      <c r="E1713" t="s">
        <v>35</v>
      </c>
      <c r="F1713" t="s">
        <v>97</v>
      </c>
      <c r="G1713" s="1">
        <v>26171</v>
      </c>
      <c r="H1713" s="1">
        <v>40969</v>
      </c>
      <c r="I1713" t="str">
        <f>"52"</f>
        <v>52</v>
      </c>
      <c r="J1713" t="s">
        <v>330</v>
      </c>
      <c r="K1713" t="s">
        <v>25</v>
      </c>
      <c r="L1713" t="s">
        <v>26</v>
      </c>
      <c r="M1713" t="s">
        <v>27</v>
      </c>
      <c r="N1713" s="1">
        <v>18629</v>
      </c>
      <c r="O1713">
        <v>0</v>
      </c>
      <c r="P1713">
        <v>0</v>
      </c>
      <c r="Q1713" t="s">
        <v>28</v>
      </c>
      <c r="R1713" t="s">
        <v>258</v>
      </c>
      <c r="S1713" t="s">
        <v>331</v>
      </c>
      <c r="T1713" t="s">
        <v>332</v>
      </c>
    </row>
    <row r="1714" spans="1:20" x14ac:dyDescent="0.25">
      <c r="A1714" t="s">
        <v>4755</v>
      </c>
      <c r="B1714" t="str">
        <f>"9442"</f>
        <v>9442</v>
      </c>
      <c r="C1714" t="str">
        <f>"268869442"</f>
        <v>268869442</v>
      </c>
      <c r="D1714" t="s">
        <v>2005</v>
      </c>
      <c r="E1714" t="s">
        <v>227</v>
      </c>
      <c r="F1714" t="s">
        <v>239</v>
      </c>
      <c r="G1714" s="1">
        <v>30278</v>
      </c>
      <c r="H1714" s="1">
        <v>40969</v>
      </c>
      <c r="I1714" t="str">
        <f>"41"</f>
        <v>41</v>
      </c>
      <c r="J1714" t="s">
        <v>24</v>
      </c>
      <c r="K1714" t="s">
        <v>25</v>
      </c>
      <c r="L1714" t="s">
        <v>26</v>
      </c>
      <c r="M1714" t="s">
        <v>27</v>
      </c>
      <c r="N1714" s="1">
        <v>18629</v>
      </c>
      <c r="O1714">
        <v>0</v>
      </c>
      <c r="P1714">
        <v>0</v>
      </c>
      <c r="Q1714" t="s">
        <v>28</v>
      </c>
      <c r="R1714" t="s">
        <v>71</v>
      </c>
      <c r="S1714" t="s">
        <v>402</v>
      </c>
      <c r="T1714" t="s">
        <v>403</v>
      </c>
    </row>
    <row r="1715" spans="1:20" x14ac:dyDescent="0.25">
      <c r="A1715" t="s">
        <v>4756</v>
      </c>
      <c r="B1715" t="str">
        <f>"1971"</f>
        <v>1971</v>
      </c>
      <c r="C1715" t="str">
        <f>"297681971"</f>
        <v>297681971</v>
      </c>
      <c r="D1715" t="s">
        <v>2064</v>
      </c>
      <c r="E1715" t="s">
        <v>4757</v>
      </c>
      <c r="G1715" s="1">
        <v>27733</v>
      </c>
      <c r="H1715" s="1">
        <v>40969</v>
      </c>
      <c r="I1715" t="str">
        <f>"50"</f>
        <v>50</v>
      </c>
      <c r="J1715" t="s">
        <v>208</v>
      </c>
      <c r="K1715" t="s">
        <v>25</v>
      </c>
      <c r="L1715" t="s">
        <v>26</v>
      </c>
      <c r="M1715" t="s">
        <v>27</v>
      </c>
      <c r="N1715" s="1">
        <v>18629</v>
      </c>
      <c r="O1715">
        <v>0</v>
      </c>
      <c r="P1715">
        <v>0</v>
      </c>
      <c r="Q1715" t="s">
        <v>37</v>
      </c>
      <c r="R1715" t="s">
        <v>51</v>
      </c>
      <c r="S1715" s="2" t="s">
        <v>198</v>
      </c>
      <c r="T1715" t="s">
        <v>199</v>
      </c>
    </row>
    <row r="1716" spans="1:20" x14ac:dyDescent="0.25">
      <c r="A1716" t="s">
        <v>4758</v>
      </c>
      <c r="B1716" t="str">
        <f>"1739"</f>
        <v>1739</v>
      </c>
      <c r="C1716" t="str">
        <f>"273481739"</f>
        <v>273481739</v>
      </c>
      <c r="D1716" t="s">
        <v>2849</v>
      </c>
      <c r="E1716" t="s">
        <v>1353</v>
      </c>
      <c r="F1716" t="s">
        <v>44</v>
      </c>
      <c r="G1716" s="1">
        <v>18172</v>
      </c>
      <c r="H1716" s="1">
        <v>40968</v>
      </c>
      <c r="I1716" t="str">
        <f>"52"</f>
        <v>52</v>
      </c>
      <c r="J1716" t="s">
        <v>330</v>
      </c>
      <c r="K1716" t="s">
        <v>25</v>
      </c>
      <c r="L1716" t="s">
        <v>26</v>
      </c>
      <c r="M1716" t="s">
        <v>27</v>
      </c>
      <c r="N1716" s="1">
        <v>18629</v>
      </c>
      <c r="O1716">
        <v>0</v>
      </c>
      <c r="P1716">
        <v>0</v>
      </c>
      <c r="Q1716" t="s">
        <v>37</v>
      </c>
      <c r="R1716" t="s">
        <v>258</v>
      </c>
      <c r="S1716" t="s">
        <v>331</v>
      </c>
      <c r="T1716" t="s">
        <v>332</v>
      </c>
    </row>
    <row r="1717" spans="1:20" x14ac:dyDescent="0.25">
      <c r="A1717" t="s">
        <v>4759</v>
      </c>
      <c r="B1717" t="str">
        <f>"3589"</f>
        <v>3589</v>
      </c>
      <c r="C1717" t="str">
        <f>"298623589"</f>
        <v>298623589</v>
      </c>
      <c r="D1717" t="s">
        <v>4760</v>
      </c>
      <c r="E1717" t="s">
        <v>122</v>
      </c>
      <c r="F1717" t="s">
        <v>28</v>
      </c>
      <c r="G1717" s="1">
        <v>26459</v>
      </c>
      <c r="H1717" s="1">
        <v>40967</v>
      </c>
      <c r="I1717" t="str">
        <f>"52"</f>
        <v>52</v>
      </c>
      <c r="J1717" t="s">
        <v>330</v>
      </c>
      <c r="K1717" t="s">
        <v>25</v>
      </c>
      <c r="L1717" t="s">
        <v>26</v>
      </c>
      <c r="M1717" t="s">
        <v>27</v>
      </c>
      <c r="N1717" s="1">
        <v>18629</v>
      </c>
      <c r="O1717">
        <v>0</v>
      </c>
      <c r="P1717">
        <v>0</v>
      </c>
      <c r="Q1717" t="s">
        <v>28</v>
      </c>
      <c r="R1717" t="s">
        <v>258</v>
      </c>
      <c r="S1717" t="s">
        <v>960</v>
      </c>
      <c r="T1717" t="s">
        <v>314</v>
      </c>
    </row>
    <row r="1718" spans="1:20" x14ac:dyDescent="0.25">
      <c r="A1718" t="s">
        <v>4761</v>
      </c>
      <c r="B1718" t="str">
        <f>"9824"</f>
        <v>9824</v>
      </c>
      <c r="C1718" t="str">
        <f>"280609824"</f>
        <v>280609824</v>
      </c>
      <c r="D1718" t="s">
        <v>2794</v>
      </c>
      <c r="E1718" t="s">
        <v>335</v>
      </c>
      <c r="F1718" t="s">
        <v>165</v>
      </c>
      <c r="G1718" s="1">
        <v>20365</v>
      </c>
      <c r="H1718" s="1">
        <v>40966</v>
      </c>
      <c r="I1718" t="str">
        <f>"30"</f>
        <v>30</v>
      </c>
      <c r="J1718" t="s">
        <v>50</v>
      </c>
      <c r="K1718" t="s">
        <v>25</v>
      </c>
      <c r="L1718" t="s">
        <v>26</v>
      </c>
      <c r="M1718" t="s">
        <v>27</v>
      </c>
      <c r="N1718" s="1">
        <v>18629</v>
      </c>
      <c r="O1718">
        <v>0</v>
      </c>
      <c r="P1718">
        <v>0</v>
      </c>
      <c r="Q1718" t="s">
        <v>28</v>
      </c>
      <c r="R1718" t="s">
        <v>51</v>
      </c>
      <c r="S1718" s="2" t="s">
        <v>774</v>
      </c>
      <c r="T1718" t="s">
        <v>775</v>
      </c>
    </row>
    <row r="1719" spans="1:20" x14ac:dyDescent="0.25">
      <c r="A1719" t="s">
        <v>4762</v>
      </c>
      <c r="B1719" t="str">
        <f>"0339"</f>
        <v>0339</v>
      </c>
      <c r="C1719" t="str">
        <f>"300820339"</f>
        <v>300820339</v>
      </c>
      <c r="D1719" t="s">
        <v>4763</v>
      </c>
      <c r="E1719" t="s">
        <v>381</v>
      </c>
      <c r="F1719" t="s">
        <v>44</v>
      </c>
      <c r="G1719" s="1">
        <v>26714</v>
      </c>
      <c r="H1719" s="1">
        <v>40959</v>
      </c>
      <c r="I1719" t="str">
        <f>"03"</f>
        <v>03</v>
      </c>
      <c r="J1719" t="s">
        <v>70</v>
      </c>
      <c r="K1719" t="s">
        <v>98</v>
      </c>
      <c r="L1719" t="s">
        <v>37</v>
      </c>
      <c r="M1719" t="s">
        <v>99</v>
      </c>
      <c r="N1719" s="1">
        <v>41617</v>
      </c>
      <c r="O1719">
        <v>14801.8</v>
      </c>
      <c r="P1719">
        <v>3700.32</v>
      </c>
      <c r="Q1719" t="s">
        <v>37</v>
      </c>
      <c r="R1719" t="s">
        <v>38</v>
      </c>
      <c r="S1719" t="s">
        <v>1264</v>
      </c>
      <c r="T1719" t="s">
        <v>1265</v>
      </c>
    </row>
    <row r="1720" spans="1:20" x14ac:dyDescent="0.25">
      <c r="A1720" t="s">
        <v>4764</v>
      </c>
      <c r="B1720" t="str">
        <f>"7790"</f>
        <v>7790</v>
      </c>
      <c r="C1720" t="str">
        <f>"288427790"</f>
        <v>288427790</v>
      </c>
      <c r="D1720" t="s">
        <v>4765</v>
      </c>
      <c r="E1720" t="s">
        <v>4766</v>
      </c>
      <c r="F1720" t="s">
        <v>165</v>
      </c>
      <c r="G1720" s="1">
        <v>21591</v>
      </c>
      <c r="H1720" s="1">
        <v>40959</v>
      </c>
      <c r="I1720" t="str">
        <f>"03"</f>
        <v>03</v>
      </c>
      <c r="J1720" t="s">
        <v>70</v>
      </c>
      <c r="L1720" t="s">
        <v>37</v>
      </c>
      <c r="M1720" t="s">
        <v>143</v>
      </c>
      <c r="N1720" s="1">
        <v>41617</v>
      </c>
      <c r="O1720">
        <v>185.9</v>
      </c>
      <c r="P1720">
        <v>-185.9</v>
      </c>
      <c r="Q1720" t="s">
        <v>28</v>
      </c>
      <c r="R1720" t="s">
        <v>71</v>
      </c>
      <c r="S1720" t="s">
        <v>2634</v>
      </c>
      <c r="T1720" t="s">
        <v>2635</v>
      </c>
    </row>
    <row r="1721" spans="1:20" x14ac:dyDescent="0.25">
      <c r="A1721" t="s">
        <v>4767</v>
      </c>
      <c r="B1721" t="str">
        <f>"8406"</f>
        <v>8406</v>
      </c>
      <c r="C1721" t="str">
        <f>"293608406"</f>
        <v>293608406</v>
      </c>
      <c r="D1721" t="s">
        <v>4768</v>
      </c>
      <c r="E1721" t="s">
        <v>569</v>
      </c>
      <c r="F1721" t="s">
        <v>414</v>
      </c>
      <c r="G1721" s="1">
        <v>28217</v>
      </c>
      <c r="H1721" s="1">
        <v>40959</v>
      </c>
      <c r="I1721" t="str">
        <f>"33"</f>
        <v>33</v>
      </c>
      <c r="J1721" t="s">
        <v>45</v>
      </c>
      <c r="K1721" t="s">
        <v>25</v>
      </c>
      <c r="L1721" t="s">
        <v>26</v>
      </c>
      <c r="M1721" t="s">
        <v>27</v>
      </c>
      <c r="N1721" s="1">
        <v>18629</v>
      </c>
      <c r="O1721">
        <v>0</v>
      </c>
      <c r="P1721">
        <v>0</v>
      </c>
      <c r="Q1721" t="s">
        <v>28</v>
      </c>
      <c r="R1721" t="s">
        <v>100</v>
      </c>
      <c r="S1721" t="s">
        <v>757</v>
      </c>
      <c r="T1721" t="s">
        <v>758</v>
      </c>
    </row>
    <row r="1722" spans="1:20" x14ac:dyDescent="0.25">
      <c r="A1722" t="s">
        <v>4769</v>
      </c>
      <c r="B1722" t="str">
        <f>"4410"</f>
        <v>4410</v>
      </c>
      <c r="C1722" t="str">
        <f>"284804410"</f>
        <v>284804410</v>
      </c>
      <c r="D1722" t="s">
        <v>4770</v>
      </c>
      <c r="E1722" t="s">
        <v>2339</v>
      </c>
      <c r="F1722" t="s">
        <v>28</v>
      </c>
      <c r="G1722" s="1">
        <v>29730</v>
      </c>
      <c r="H1722" s="1">
        <v>40959</v>
      </c>
      <c r="I1722" t="str">
        <f>"03"</f>
        <v>03</v>
      </c>
      <c r="J1722" t="s">
        <v>70</v>
      </c>
      <c r="K1722" t="s">
        <v>98</v>
      </c>
      <c r="L1722" t="s">
        <v>37</v>
      </c>
      <c r="M1722" t="s">
        <v>257</v>
      </c>
      <c r="N1722" s="1">
        <v>41617</v>
      </c>
      <c r="O1722">
        <v>10753.08</v>
      </c>
      <c r="P1722">
        <v>2688.4</v>
      </c>
      <c r="Q1722" t="s">
        <v>37</v>
      </c>
      <c r="R1722" t="s">
        <v>29</v>
      </c>
      <c r="S1722" t="s">
        <v>1422</v>
      </c>
      <c r="T1722" t="s">
        <v>1423</v>
      </c>
    </row>
    <row r="1723" spans="1:20" x14ac:dyDescent="0.25">
      <c r="A1723" t="s">
        <v>4771</v>
      </c>
      <c r="B1723" t="str">
        <f>"0360"</f>
        <v>0360</v>
      </c>
      <c r="C1723" t="str">
        <f>"589080360"</f>
        <v>589080360</v>
      </c>
      <c r="D1723" t="s">
        <v>4772</v>
      </c>
      <c r="E1723" t="s">
        <v>4773</v>
      </c>
      <c r="F1723" t="s">
        <v>264</v>
      </c>
      <c r="G1723" s="1">
        <v>32279</v>
      </c>
      <c r="H1723" s="1">
        <v>40957</v>
      </c>
      <c r="I1723" t="str">
        <f>"52"</f>
        <v>52</v>
      </c>
      <c r="J1723" t="s">
        <v>330</v>
      </c>
      <c r="K1723" t="s">
        <v>25</v>
      </c>
      <c r="L1723" t="s">
        <v>26</v>
      </c>
      <c r="M1723" t="s">
        <v>27</v>
      </c>
      <c r="N1723" s="1">
        <v>18629</v>
      </c>
      <c r="O1723">
        <v>0</v>
      </c>
      <c r="P1723">
        <v>0</v>
      </c>
      <c r="Q1723" t="s">
        <v>28</v>
      </c>
      <c r="R1723" t="s">
        <v>29</v>
      </c>
      <c r="S1723" t="s">
        <v>2312</v>
      </c>
      <c r="T1723" t="s">
        <v>2313</v>
      </c>
    </row>
    <row r="1724" spans="1:20" x14ac:dyDescent="0.25">
      <c r="A1724" t="s">
        <v>4774</v>
      </c>
      <c r="B1724" t="str">
        <f>"3956"</f>
        <v>3956</v>
      </c>
      <c r="C1724" t="str">
        <f>"293463956"</f>
        <v>293463956</v>
      </c>
      <c r="D1724" t="s">
        <v>360</v>
      </c>
      <c r="E1724" t="s">
        <v>3802</v>
      </c>
      <c r="F1724" t="s">
        <v>37</v>
      </c>
      <c r="G1724" s="1">
        <v>18033</v>
      </c>
      <c r="H1724" s="1">
        <v>40955</v>
      </c>
      <c r="I1724" t="str">
        <f>"52"</f>
        <v>52</v>
      </c>
      <c r="J1724" t="s">
        <v>330</v>
      </c>
      <c r="K1724" t="s">
        <v>25</v>
      </c>
      <c r="L1724" t="s">
        <v>26</v>
      </c>
      <c r="M1724" t="s">
        <v>27</v>
      </c>
      <c r="N1724" s="1">
        <v>18629</v>
      </c>
      <c r="O1724">
        <v>0</v>
      </c>
      <c r="P1724">
        <v>0</v>
      </c>
      <c r="Q1724" t="s">
        <v>28</v>
      </c>
      <c r="R1724" t="s">
        <v>51</v>
      </c>
      <c r="S1724" s="2" t="s">
        <v>3548</v>
      </c>
      <c r="T1724" t="s">
        <v>3549</v>
      </c>
    </row>
    <row r="1725" spans="1:20" x14ac:dyDescent="0.25">
      <c r="A1725" t="s">
        <v>4775</v>
      </c>
      <c r="B1725" t="str">
        <f>"5342"</f>
        <v>5342</v>
      </c>
      <c r="C1725" t="str">
        <f>"287525342"</f>
        <v>287525342</v>
      </c>
      <c r="D1725" t="s">
        <v>481</v>
      </c>
      <c r="E1725" t="s">
        <v>1287</v>
      </c>
      <c r="F1725" t="s">
        <v>219</v>
      </c>
      <c r="G1725" s="1">
        <v>19345</v>
      </c>
      <c r="H1725" s="1">
        <v>40954</v>
      </c>
      <c r="I1725" t="str">
        <f>"41"</f>
        <v>41</v>
      </c>
      <c r="J1725" t="s">
        <v>24</v>
      </c>
      <c r="K1725" t="s">
        <v>25</v>
      </c>
      <c r="L1725" t="s">
        <v>26</v>
      </c>
      <c r="M1725" t="s">
        <v>27</v>
      </c>
      <c r="N1725" s="1">
        <v>18629</v>
      </c>
      <c r="O1725">
        <v>0</v>
      </c>
      <c r="P1725">
        <v>0</v>
      </c>
      <c r="Q1725" t="s">
        <v>37</v>
      </c>
      <c r="R1725" t="s">
        <v>51</v>
      </c>
      <c r="S1725" t="s">
        <v>527</v>
      </c>
      <c r="T1725" t="s">
        <v>528</v>
      </c>
    </row>
    <row r="1726" spans="1:20" x14ac:dyDescent="0.25">
      <c r="A1726" t="s">
        <v>4776</v>
      </c>
      <c r="B1726" t="str">
        <f>"4011"</f>
        <v>4011</v>
      </c>
      <c r="C1726" t="str">
        <f>"452794011"</f>
        <v>452794011</v>
      </c>
      <c r="D1726" t="s">
        <v>4777</v>
      </c>
      <c r="E1726" t="s">
        <v>4778</v>
      </c>
      <c r="G1726" s="1">
        <v>29082</v>
      </c>
      <c r="H1726" s="1">
        <v>40954</v>
      </c>
      <c r="I1726" t="str">
        <f>"41"</f>
        <v>41</v>
      </c>
      <c r="J1726" t="s">
        <v>24</v>
      </c>
      <c r="K1726" t="s">
        <v>25</v>
      </c>
      <c r="L1726" t="s">
        <v>26</v>
      </c>
      <c r="M1726" t="s">
        <v>27</v>
      </c>
      <c r="N1726" s="1">
        <v>18629</v>
      </c>
      <c r="O1726">
        <v>0</v>
      </c>
      <c r="P1726">
        <v>0</v>
      </c>
      <c r="Q1726" t="s">
        <v>37</v>
      </c>
      <c r="R1726" t="s">
        <v>71</v>
      </c>
      <c r="S1726" t="s">
        <v>527</v>
      </c>
      <c r="T1726" t="s">
        <v>528</v>
      </c>
    </row>
    <row r="1727" spans="1:20" x14ac:dyDescent="0.25">
      <c r="A1727" t="s">
        <v>4779</v>
      </c>
      <c r="B1727" t="str">
        <f>"1850"</f>
        <v>1850</v>
      </c>
      <c r="C1727" t="str">
        <f>"286641850"</f>
        <v>286641850</v>
      </c>
      <c r="D1727" t="s">
        <v>663</v>
      </c>
      <c r="E1727" t="s">
        <v>4780</v>
      </c>
      <c r="F1727" t="s">
        <v>174</v>
      </c>
      <c r="G1727" s="1">
        <v>26877</v>
      </c>
      <c r="H1727" s="1">
        <v>40954</v>
      </c>
      <c r="I1727" t="str">
        <f>"41"</f>
        <v>41</v>
      </c>
      <c r="J1727" t="s">
        <v>24</v>
      </c>
      <c r="K1727" t="s">
        <v>25</v>
      </c>
      <c r="L1727" t="s">
        <v>26</v>
      </c>
      <c r="M1727" t="s">
        <v>27</v>
      </c>
      <c r="N1727" s="1">
        <v>18629</v>
      </c>
      <c r="O1727">
        <v>0</v>
      </c>
      <c r="P1727">
        <v>0</v>
      </c>
      <c r="Q1727" t="s">
        <v>37</v>
      </c>
      <c r="R1727" t="s">
        <v>51</v>
      </c>
      <c r="S1727" t="s">
        <v>527</v>
      </c>
      <c r="T1727" t="s">
        <v>528</v>
      </c>
    </row>
    <row r="1728" spans="1:20" x14ac:dyDescent="0.25">
      <c r="A1728" t="s">
        <v>4781</v>
      </c>
      <c r="B1728" t="str">
        <f>"7160"</f>
        <v>7160</v>
      </c>
      <c r="C1728" t="str">
        <f>"284887160"</f>
        <v>284887160</v>
      </c>
      <c r="D1728" t="s">
        <v>4782</v>
      </c>
      <c r="E1728" t="s">
        <v>4783</v>
      </c>
      <c r="F1728" t="s">
        <v>28</v>
      </c>
      <c r="G1728" s="1">
        <v>27716</v>
      </c>
      <c r="H1728" s="1">
        <v>40954</v>
      </c>
      <c r="I1728" t="str">
        <f>"41"</f>
        <v>41</v>
      </c>
      <c r="J1728" t="s">
        <v>24</v>
      </c>
      <c r="K1728" t="s">
        <v>25</v>
      </c>
      <c r="L1728" t="s">
        <v>26</v>
      </c>
      <c r="M1728" t="s">
        <v>27</v>
      </c>
      <c r="N1728" s="1">
        <v>18629</v>
      </c>
      <c r="O1728">
        <v>0</v>
      </c>
      <c r="P1728">
        <v>0</v>
      </c>
      <c r="Q1728" t="s">
        <v>37</v>
      </c>
      <c r="R1728" t="s">
        <v>51</v>
      </c>
      <c r="S1728" t="s">
        <v>527</v>
      </c>
      <c r="T1728" t="s">
        <v>528</v>
      </c>
    </row>
    <row r="1729" spans="1:20" x14ac:dyDescent="0.25">
      <c r="A1729" t="s">
        <v>4784</v>
      </c>
      <c r="B1729" t="str">
        <f>"2153"</f>
        <v>2153</v>
      </c>
      <c r="C1729" t="str">
        <f>"280802153"</f>
        <v>280802153</v>
      </c>
      <c r="D1729" t="s">
        <v>1631</v>
      </c>
      <c r="E1729" t="s">
        <v>304</v>
      </c>
      <c r="F1729" t="s">
        <v>28</v>
      </c>
      <c r="G1729" s="1">
        <v>25152</v>
      </c>
      <c r="H1729" s="1">
        <v>40953</v>
      </c>
      <c r="I1729" t="str">
        <f>"51"</f>
        <v>51</v>
      </c>
      <c r="J1729" t="s">
        <v>471</v>
      </c>
      <c r="K1729" t="s">
        <v>25</v>
      </c>
      <c r="L1729" t="s">
        <v>26</v>
      </c>
      <c r="M1729" t="s">
        <v>27</v>
      </c>
      <c r="N1729" s="1">
        <v>18629</v>
      </c>
      <c r="O1729">
        <v>0</v>
      </c>
      <c r="P1729">
        <v>0</v>
      </c>
      <c r="Q1729" t="s">
        <v>28</v>
      </c>
      <c r="R1729" t="s">
        <v>258</v>
      </c>
      <c r="S1729" t="s">
        <v>472</v>
      </c>
      <c r="T1729" t="s">
        <v>473</v>
      </c>
    </row>
    <row r="1730" spans="1:20" x14ac:dyDescent="0.25">
      <c r="A1730" t="s">
        <v>4785</v>
      </c>
      <c r="B1730" t="str">
        <f>"7042"</f>
        <v>7042</v>
      </c>
      <c r="C1730" t="str">
        <f>"283467042"</f>
        <v>283467042</v>
      </c>
      <c r="D1730" t="s">
        <v>782</v>
      </c>
      <c r="E1730" t="s">
        <v>4786</v>
      </c>
      <c r="F1730" t="s">
        <v>44</v>
      </c>
      <c r="G1730" s="1">
        <v>23741</v>
      </c>
      <c r="H1730" s="1">
        <v>40952</v>
      </c>
      <c r="I1730" t="str">
        <f>"12"</f>
        <v>12</v>
      </c>
      <c r="J1730" t="s">
        <v>245</v>
      </c>
      <c r="K1730" t="s">
        <v>98</v>
      </c>
      <c r="L1730" t="s">
        <v>37</v>
      </c>
      <c r="M1730" t="s">
        <v>257</v>
      </c>
      <c r="N1730" s="1">
        <v>41617</v>
      </c>
      <c r="O1730">
        <v>10753.08</v>
      </c>
      <c r="P1730">
        <v>2688.4</v>
      </c>
      <c r="Q1730" t="s">
        <v>37</v>
      </c>
      <c r="R1730" t="s">
        <v>51</v>
      </c>
      <c r="S1730" s="2" t="s">
        <v>220</v>
      </c>
      <c r="T1730" t="s">
        <v>221</v>
      </c>
    </row>
    <row r="1731" spans="1:20" x14ac:dyDescent="0.25">
      <c r="A1731" t="s">
        <v>4787</v>
      </c>
      <c r="B1731" t="str">
        <f>"2483"</f>
        <v>2483</v>
      </c>
      <c r="C1731" t="str">
        <f>"272702483"</f>
        <v>272702483</v>
      </c>
      <c r="D1731" t="s">
        <v>4788</v>
      </c>
      <c r="E1731" t="s">
        <v>3646</v>
      </c>
      <c r="F1731" t="s">
        <v>414</v>
      </c>
      <c r="G1731" s="1">
        <v>23899</v>
      </c>
      <c r="H1731" s="1">
        <v>40952</v>
      </c>
      <c r="I1731" t="str">
        <f>"50"</f>
        <v>50</v>
      </c>
      <c r="J1731" t="s">
        <v>208</v>
      </c>
      <c r="K1731" t="s">
        <v>25</v>
      </c>
      <c r="L1731" t="s">
        <v>26</v>
      </c>
      <c r="M1731" t="s">
        <v>27</v>
      </c>
      <c r="N1731" s="1">
        <v>18629</v>
      </c>
      <c r="O1731">
        <v>0</v>
      </c>
      <c r="P1731">
        <v>0</v>
      </c>
      <c r="Q1731" t="s">
        <v>28</v>
      </c>
      <c r="R1731" t="s">
        <v>312</v>
      </c>
      <c r="S1731" t="s">
        <v>960</v>
      </c>
      <c r="T1731" t="s">
        <v>314</v>
      </c>
    </row>
    <row r="1732" spans="1:20" x14ac:dyDescent="0.25">
      <c r="A1732" t="s">
        <v>4789</v>
      </c>
      <c r="B1732" t="str">
        <f>"3456"</f>
        <v>3456</v>
      </c>
      <c r="C1732" t="str">
        <f>"279823456"</f>
        <v>279823456</v>
      </c>
      <c r="D1732" t="s">
        <v>3069</v>
      </c>
      <c r="E1732" t="s">
        <v>4790</v>
      </c>
      <c r="F1732" t="s">
        <v>4791</v>
      </c>
      <c r="G1732" s="1">
        <v>25462</v>
      </c>
      <c r="H1732" s="1">
        <v>40952</v>
      </c>
      <c r="I1732" t="str">
        <f>"51"</f>
        <v>51</v>
      </c>
      <c r="J1732" t="s">
        <v>471</v>
      </c>
      <c r="K1732" t="s">
        <v>25</v>
      </c>
      <c r="L1732" t="s">
        <v>26</v>
      </c>
      <c r="M1732" t="s">
        <v>27</v>
      </c>
      <c r="N1732" s="1">
        <v>18629</v>
      </c>
      <c r="O1732">
        <v>0</v>
      </c>
      <c r="P1732">
        <v>0</v>
      </c>
      <c r="Q1732" t="s">
        <v>37</v>
      </c>
      <c r="R1732" t="s">
        <v>71</v>
      </c>
      <c r="S1732" t="s">
        <v>4792</v>
      </c>
      <c r="T1732" t="s">
        <v>4793</v>
      </c>
    </row>
    <row r="1733" spans="1:20" x14ac:dyDescent="0.25">
      <c r="A1733" t="s">
        <v>4794</v>
      </c>
      <c r="B1733" t="str">
        <f>"2096"</f>
        <v>2096</v>
      </c>
      <c r="C1733" t="str">
        <f>"280702096"</f>
        <v>280702096</v>
      </c>
      <c r="D1733" t="s">
        <v>4795</v>
      </c>
      <c r="E1733" t="s">
        <v>4585</v>
      </c>
      <c r="F1733" t="s">
        <v>44</v>
      </c>
      <c r="G1733" s="1">
        <v>27483</v>
      </c>
      <c r="H1733" s="1">
        <v>40945</v>
      </c>
      <c r="I1733" t="str">
        <f>"41"</f>
        <v>41</v>
      </c>
      <c r="J1733" t="s">
        <v>24</v>
      </c>
      <c r="K1733" t="s">
        <v>25</v>
      </c>
      <c r="L1733" t="s">
        <v>26</v>
      </c>
      <c r="M1733" t="s">
        <v>27</v>
      </c>
      <c r="N1733" s="1">
        <v>18629</v>
      </c>
      <c r="O1733">
        <v>0</v>
      </c>
      <c r="P1733">
        <v>0</v>
      </c>
      <c r="Q1733" t="s">
        <v>37</v>
      </c>
      <c r="R1733" t="s">
        <v>29</v>
      </c>
      <c r="S1733" t="s">
        <v>1422</v>
      </c>
      <c r="T1733" t="s">
        <v>1423</v>
      </c>
    </row>
    <row r="1734" spans="1:20" x14ac:dyDescent="0.25">
      <c r="A1734" t="s">
        <v>4796</v>
      </c>
      <c r="B1734" t="str">
        <f>"7561"</f>
        <v>7561</v>
      </c>
      <c r="C1734" t="str">
        <f>"270587561"</f>
        <v>270587561</v>
      </c>
      <c r="D1734" t="s">
        <v>4797</v>
      </c>
      <c r="E1734" t="s">
        <v>2455</v>
      </c>
      <c r="G1734" s="1">
        <v>21072</v>
      </c>
      <c r="H1734" s="1">
        <v>40945</v>
      </c>
      <c r="I1734" t="str">
        <f>"08"</f>
        <v>08</v>
      </c>
      <c r="J1734" t="s">
        <v>265</v>
      </c>
      <c r="K1734" t="s">
        <v>98</v>
      </c>
      <c r="L1734" t="s">
        <v>37</v>
      </c>
      <c r="M1734" t="s">
        <v>257</v>
      </c>
      <c r="N1734" s="1">
        <v>41617</v>
      </c>
      <c r="O1734">
        <v>10753.08</v>
      </c>
      <c r="P1734">
        <v>2688.4</v>
      </c>
      <c r="Q1734" t="s">
        <v>37</v>
      </c>
      <c r="R1734" t="s">
        <v>29</v>
      </c>
      <c r="S1734" t="s">
        <v>885</v>
      </c>
      <c r="T1734" t="s">
        <v>886</v>
      </c>
    </row>
    <row r="1735" spans="1:20" x14ac:dyDescent="0.25">
      <c r="A1735" t="s">
        <v>4798</v>
      </c>
      <c r="B1735" t="str">
        <f>"7010"</f>
        <v>7010</v>
      </c>
      <c r="C1735" t="str">
        <f>"389807010"</f>
        <v>389807010</v>
      </c>
      <c r="D1735" t="s">
        <v>4799</v>
      </c>
      <c r="E1735" t="s">
        <v>430</v>
      </c>
      <c r="F1735" t="s">
        <v>629</v>
      </c>
      <c r="G1735" s="1">
        <v>25784</v>
      </c>
      <c r="H1735" s="1">
        <v>40945</v>
      </c>
      <c r="I1735" t="str">
        <f>"05"</f>
        <v>05</v>
      </c>
      <c r="J1735" t="s">
        <v>58</v>
      </c>
      <c r="L1735" t="s">
        <v>37</v>
      </c>
      <c r="M1735" t="s">
        <v>143</v>
      </c>
      <c r="N1735" s="1">
        <v>41617</v>
      </c>
      <c r="O1735">
        <v>185.9</v>
      </c>
      <c r="P1735">
        <v>-185.9</v>
      </c>
      <c r="Q1735" t="s">
        <v>28</v>
      </c>
      <c r="R1735" t="s">
        <v>29</v>
      </c>
      <c r="S1735" t="s">
        <v>1173</v>
      </c>
      <c r="T1735" t="s">
        <v>1174</v>
      </c>
    </row>
    <row r="1736" spans="1:20" x14ac:dyDescent="0.25">
      <c r="A1736" t="s">
        <v>4800</v>
      </c>
      <c r="B1736" t="str">
        <f>"8258"</f>
        <v>8258</v>
      </c>
      <c r="C1736" t="str">
        <f>"286788258"</f>
        <v>286788258</v>
      </c>
      <c r="D1736" t="s">
        <v>4801</v>
      </c>
      <c r="E1736" t="s">
        <v>870</v>
      </c>
      <c r="F1736" t="s">
        <v>438</v>
      </c>
      <c r="G1736" s="1">
        <v>24810</v>
      </c>
      <c r="H1736" s="1">
        <v>40945</v>
      </c>
      <c r="I1736" t="str">
        <f>"03"</f>
        <v>03</v>
      </c>
      <c r="J1736" t="s">
        <v>70</v>
      </c>
      <c r="K1736" t="s">
        <v>98</v>
      </c>
      <c r="L1736" t="s">
        <v>37</v>
      </c>
      <c r="M1736" t="s">
        <v>99</v>
      </c>
      <c r="N1736" s="1">
        <v>41617</v>
      </c>
      <c r="O1736">
        <v>14801.8</v>
      </c>
      <c r="P1736">
        <v>3700.32</v>
      </c>
      <c r="Q1736" t="s">
        <v>37</v>
      </c>
      <c r="R1736" t="s">
        <v>29</v>
      </c>
      <c r="S1736" t="s">
        <v>138</v>
      </c>
      <c r="T1736" t="s">
        <v>139</v>
      </c>
    </row>
    <row r="1737" spans="1:20" x14ac:dyDescent="0.25">
      <c r="A1737" t="s">
        <v>4802</v>
      </c>
      <c r="B1737" t="str">
        <f>"6779"</f>
        <v>6779</v>
      </c>
      <c r="C1737" t="str">
        <f>"298546779"</f>
        <v>298546779</v>
      </c>
      <c r="D1737" t="s">
        <v>4803</v>
      </c>
      <c r="E1737" t="s">
        <v>1589</v>
      </c>
      <c r="F1737" t="s">
        <v>219</v>
      </c>
      <c r="G1737" s="1">
        <v>19870</v>
      </c>
      <c r="H1737" s="1">
        <v>40945</v>
      </c>
      <c r="I1737" t="str">
        <f>"41"</f>
        <v>41</v>
      </c>
      <c r="J1737" t="s">
        <v>24</v>
      </c>
      <c r="K1737" t="s">
        <v>25</v>
      </c>
      <c r="L1737" t="s">
        <v>26</v>
      </c>
      <c r="M1737" t="s">
        <v>27</v>
      </c>
      <c r="N1737" s="1">
        <v>18629</v>
      </c>
      <c r="O1737">
        <v>0</v>
      </c>
      <c r="P1737">
        <v>0</v>
      </c>
      <c r="Q1737" t="s">
        <v>37</v>
      </c>
      <c r="R1737" t="s">
        <v>51</v>
      </c>
      <c r="S1737" t="s">
        <v>2038</v>
      </c>
      <c r="T1737" t="s">
        <v>2039</v>
      </c>
    </row>
    <row r="1738" spans="1:20" x14ac:dyDescent="0.25">
      <c r="A1738" t="s">
        <v>4804</v>
      </c>
      <c r="B1738" t="str">
        <f>"3821"</f>
        <v>3821</v>
      </c>
      <c r="C1738" t="str">
        <f>"270603821"</f>
        <v>270603821</v>
      </c>
      <c r="D1738" t="s">
        <v>4805</v>
      </c>
      <c r="E1738" t="s">
        <v>2832</v>
      </c>
      <c r="G1738" s="1">
        <v>21029</v>
      </c>
      <c r="H1738" s="1">
        <v>40942</v>
      </c>
      <c r="I1738" t="str">
        <f>"52"</f>
        <v>52</v>
      </c>
      <c r="J1738" t="s">
        <v>330</v>
      </c>
      <c r="K1738" t="s">
        <v>25</v>
      </c>
      <c r="L1738" t="s">
        <v>26</v>
      </c>
      <c r="M1738" t="s">
        <v>27</v>
      </c>
      <c r="N1738" s="1">
        <v>18629</v>
      </c>
      <c r="O1738">
        <v>0</v>
      </c>
      <c r="P1738">
        <v>0</v>
      </c>
      <c r="Q1738" t="s">
        <v>28</v>
      </c>
      <c r="R1738" t="s">
        <v>258</v>
      </c>
      <c r="S1738" t="s">
        <v>331</v>
      </c>
      <c r="T1738" t="s">
        <v>332</v>
      </c>
    </row>
    <row r="1739" spans="1:20" x14ac:dyDescent="0.25">
      <c r="A1739" t="s">
        <v>4806</v>
      </c>
      <c r="B1739" t="str">
        <f>"1705"</f>
        <v>1705</v>
      </c>
      <c r="C1739" t="str">
        <f>"301321705"</f>
        <v>301321705</v>
      </c>
      <c r="D1739" t="s">
        <v>2873</v>
      </c>
      <c r="E1739" t="s">
        <v>430</v>
      </c>
      <c r="F1739" t="s">
        <v>28</v>
      </c>
      <c r="G1739" s="1">
        <v>14913</v>
      </c>
      <c r="H1739" s="1">
        <v>40941</v>
      </c>
      <c r="I1739" t="str">
        <f>"52"</f>
        <v>52</v>
      </c>
      <c r="J1739" t="s">
        <v>330</v>
      </c>
      <c r="K1739" t="s">
        <v>25</v>
      </c>
      <c r="L1739" t="s">
        <v>26</v>
      </c>
      <c r="M1739" t="s">
        <v>27</v>
      </c>
      <c r="N1739" s="1">
        <v>18629</v>
      </c>
      <c r="O1739">
        <v>0</v>
      </c>
      <c r="P1739">
        <v>0</v>
      </c>
      <c r="Q1739" t="s">
        <v>28</v>
      </c>
      <c r="R1739" t="s">
        <v>29</v>
      </c>
      <c r="S1739" t="s">
        <v>4000</v>
      </c>
      <c r="T1739" t="s">
        <v>4001</v>
      </c>
    </row>
    <row r="1740" spans="1:20" x14ac:dyDescent="0.25">
      <c r="A1740" t="s">
        <v>4807</v>
      </c>
      <c r="B1740" t="str">
        <f>"5732"</f>
        <v>5732</v>
      </c>
      <c r="C1740" t="str">
        <f>"594745732"</f>
        <v>594745732</v>
      </c>
      <c r="D1740" t="s">
        <v>4808</v>
      </c>
      <c r="E1740" t="s">
        <v>3163</v>
      </c>
      <c r="F1740" t="s">
        <v>28</v>
      </c>
      <c r="G1740" s="1">
        <v>32377</v>
      </c>
      <c r="H1740" s="1">
        <v>40941</v>
      </c>
      <c r="I1740" t="str">
        <f>"52"</f>
        <v>52</v>
      </c>
      <c r="J1740" t="s">
        <v>330</v>
      </c>
      <c r="K1740" t="s">
        <v>25</v>
      </c>
      <c r="L1740" t="s">
        <v>26</v>
      </c>
      <c r="M1740" t="s">
        <v>27</v>
      </c>
      <c r="N1740" s="1">
        <v>18629</v>
      </c>
      <c r="O1740">
        <v>0</v>
      </c>
      <c r="P1740">
        <v>0</v>
      </c>
      <c r="Q1740" t="s">
        <v>37</v>
      </c>
      <c r="R1740" t="s">
        <v>29</v>
      </c>
      <c r="S1740" t="s">
        <v>4000</v>
      </c>
      <c r="T1740" t="s">
        <v>4001</v>
      </c>
    </row>
    <row r="1741" spans="1:20" x14ac:dyDescent="0.25">
      <c r="A1741" t="s">
        <v>4809</v>
      </c>
      <c r="B1741" t="str">
        <f>"8676"</f>
        <v>8676</v>
      </c>
      <c r="C1741" t="str">
        <f>"278548676"</f>
        <v>278548676</v>
      </c>
      <c r="D1741" t="s">
        <v>4810</v>
      </c>
      <c r="E1741" t="s">
        <v>1453</v>
      </c>
      <c r="F1741" t="s">
        <v>165</v>
      </c>
      <c r="G1741" s="1">
        <v>19671</v>
      </c>
      <c r="H1741" s="1">
        <v>40940</v>
      </c>
      <c r="I1741" t="str">
        <f>"52"</f>
        <v>52</v>
      </c>
      <c r="J1741" t="s">
        <v>330</v>
      </c>
      <c r="K1741" t="s">
        <v>25</v>
      </c>
      <c r="L1741" t="s">
        <v>26</v>
      </c>
      <c r="M1741" t="s">
        <v>27</v>
      </c>
      <c r="N1741" s="1">
        <v>18629</v>
      </c>
      <c r="O1741">
        <v>0</v>
      </c>
      <c r="P1741">
        <v>0</v>
      </c>
      <c r="Q1741" t="s">
        <v>28</v>
      </c>
      <c r="R1741" t="s">
        <v>71</v>
      </c>
      <c r="S1741" t="s">
        <v>402</v>
      </c>
      <c r="T1741" t="s">
        <v>403</v>
      </c>
    </row>
    <row r="1742" spans="1:20" x14ac:dyDescent="0.25">
      <c r="A1742" t="s">
        <v>4811</v>
      </c>
      <c r="B1742" t="str">
        <f>"5433"</f>
        <v>5433</v>
      </c>
      <c r="C1742" t="str">
        <f>"300825433"</f>
        <v>300825433</v>
      </c>
      <c r="D1742" t="s">
        <v>4812</v>
      </c>
      <c r="E1742" t="s">
        <v>322</v>
      </c>
      <c r="F1742" t="s">
        <v>219</v>
      </c>
      <c r="G1742" s="1">
        <v>31127</v>
      </c>
      <c r="H1742" s="1">
        <v>40938</v>
      </c>
      <c r="I1742" t="str">
        <f>"51"</f>
        <v>51</v>
      </c>
      <c r="J1742" t="s">
        <v>471</v>
      </c>
      <c r="K1742" t="s">
        <v>25</v>
      </c>
      <c r="L1742" t="s">
        <v>26</v>
      </c>
      <c r="M1742" t="s">
        <v>27</v>
      </c>
      <c r="N1742" s="1">
        <v>18629</v>
      </c>
      <c r="O1742">
        <v>0</v>
      </c>
      <c r="P1742">
        <v>0</v>
      </c>
      <c r="Q1742" t="s">
        <v>37</v>
      </c>
      <c r="R1742" t="s">
        <v>100</v>
      </c>
      <c r="S1742" t="s">
        <v>4813</v>
      </c>
      <c r="T1742" t="s">
        <v>4814</v>
      </c>
    </row>
    <row r="1743" spans="1:20" x14ac:dyDescent="0.25">
      <c r="A1743" t="s">
        <v>4815</v>
      </c>
      <c r="B1743" t="str">
        <f>"6615"</f>
        <v>6615</v>
      </c>
      <c r="C1743" t="str">
        <f>"278706615"</f>
        <v>278706615</v>
      </c>
      <c r="D1743" t="s">
        <v>2328</v>
      </c>
      <c r="E1743" t="s">
        <v>2267</v>
      </c>
      <c r="F1743" t="s">
        <v>219</v>
      </c>
      <c r="G1743" s="1">
        <v>25435</v>
      </c>
      <c r="H1743" s="1">
        <v>40938</v>
      </c>
      <c r="I1743" t="str">
        <f>"52"</f>
        <v>52</v>
      </c>
      <c r="J1743" t="s">
        <v>330</v>
      </c>
      <c r="K1743" t="s">
        <v>25</v>
      </c>
      <c r="L1743" t="s">
        <v>26</v>
      </c>
      <c r="M1743" t="s">
        <v>27</v>
      </c>
      <c r="N1743" s="1">
        <v>18629</v>
      </c>
      <c r="O1743">
        <v>0</v>
      </c>
      <c r="P1743">
        <v>0</v>
      </c>
      <c r="Q1743" t="s">
        <v>28</v>
      </c>
      <c r="R1743" t="s">
        <v>258</v>
      </c>
      <c r="S1743" t="s">
        <v>331</v>
      </c>
      <c r="T1743" t="s">
        <v>332</v>
      </c>
    </row>
    <row r="1744" spans="1:20" x14ac:dyDescent="0.25">
      <c r="A1744" t="s">
        <v>4816</v>
      </c>
      <c r="B1744" t="str">
        <f>"7207"</f>
        <v>7207</v>
      </c>
      <c r="C1744" t="str">
        <f>"286807207"</f>
        <v>286807207</v>
      </c>
      <c r="D1744" t="s">
        <v>4817</v>
      </c>
      <c r="E1744" t="s">
        <v>4351</v>
      </c>
      <c r="F1744" t="s">
        <v>37</v>
      </c>
      <c r="G1744" s="1">
        <v>30189</v>
      </c>
      <c r="H1744" s="1">
        <v>40938</v>
      </c>
      <c r="I1744" t="str">
        <f>"51"</f>
        <v>51</v>
      </c>
      <c r="J1744" t="s">
        <v>471</v>
      </c>
      <c r="K1744" t="s">
        <v>25</v>
      </c>
      <c r="L1744" t="s">
        <v>26</v>
      </c>
      <c r="M1744" t="s">
        <v>27</v>
      </c>
      <c r="N1744" s="1">
        <v>18629</v>
      </c>
      <c r="O1744">
        <v>0</v>
      </c>
      <c r="P1744">
        <v>0</v>
      </c>
      <c r="Q1744" t="s">
        <v>37</v>
      </c>
      <c r="R1744" t="s">
        <v>100</v>
      </c>
      <c r="S1744" t="s">
        <v>1526</v>
      </c>
      <c r="T1744" t="s">
        <v>1527</v>
      </c>
    </row>
    <row r="1745" spans="1:20" x14ac:dyDescent="0.25">
      <c r="A1745" t="s">
        <v>4818</v>
      </c>
      <c r="B1745" t="str">
        <f>"9192"</f>
        <v>9192</v>
      </c>
      <c r="C1745" t="str">
        <f>"275889192"</f>
        <v>275889192</v>
      </c>
      <c r="D1745" t="s">
        <v>4819</v>
      </c>
      <c r="E1745" t="s">
        <v>609</v>
      </c>
      <c r="F1745" t="s">
        <v>28</v>
      </c>
      <c r="G1745" s="1">
        <v>32111</v>
      </c>
      <c r="H1745" s="1">
        <v>40938</v>
      </c>
      <c r="I1745" t="str">
        <f>"41"</f>
        <v>41</v>
      </c>
      <c r="J1745" t="s">
        <v>24</v>
      </c>
      <c r="K1745" t="s">
        <v>25</v>
      </c>
      <c r="L1745" t="s">
        <v>26</v>
      </c>
      <c r="M1745" t="s">
        <v>27</v>
      </c>
      <c r="N1745" s="1">
        <v>18629</v>
      </c>
      <c r="O1745">
        <v>0</v>
      </c>
      <c r="P1745">
        <v>0</v>
      </c>
      <c r="Q1745" t="s">
        <v>28</v>
      </c>
      <c r="R1745" t="s">
        <v>51</v>
      </c>
      <c r="S1745" s="2" t="s">
        <v>1972</v>
      </c>
      <c r="T1745" t="s">
        <v>1973</v>
      </c>
    </row>
    <row r="1746" spans="1:20" x14ac:dyDescent="0.25">
      <c r="A1746" t="s">
        <v>4820</v>
      </c>
      <c r="B1746" t="str">
        <f>"2914"</f>
        <v>2914</v>
      </c>
      <c r="C1746" t="str">
        <f>"030682914"</f>
        <v>030682914</v>
      </c>
      <c r="D1746" t="s">
        <v>724</v>
      </c>
      <c r="E1746" t="s">
        <v>3674</v>
      </c>
      <c r="F1746" t="s">
        <v>165</v>
      </c>
      <c r="G1746" s="1">
        <v>28369</v>
      </c>
      <c r="H1746" s="1">
        <v>40938</v>
      </c>
      <c r="I1746" t="str">
        <f>"51"</f>
        <v>51</v>
      </c>
      <c r="J1746" t="s">
        <v>471</v>
      </c>
      <c r="K1746" t="s">
        <v>25</v>
      </c>
      <c r="L1746" t="s">
        <v>26</v>
      </c>
      <c r="M1746" t="s">
        <v>27</v>
      </c>
      <c r="N1746" s="1">
        <v>18629</v>
      </c>
      <c r="O1746">
        <v>0</v>
      </c>
      <c r="P1746">
        <v>0</v>
      </c>
      <c r="Q1746" t="s">
        <v>37</v>
      </c>
      <c r="R1746" t="s">
        <v>100</v>
      </c>
      <c r="S1746" t="s">
        <v>1526</v>
      </c>
      <c r="T1746" t="s">
        <v>1527</v>
      </c>
    </row>
    <row r="1747" spans="1:20" x14ac:dyDescent="0.25">
      <c r="A1747" t="s">
        <v>4821</v>
      </c>
      <c r="B1747" t="str">
        <f>"1844"</f>
        <v>1844</v>
      </c>
      <c r="C1747" t="str">
        <f>"283821844"</f>
        <v>283821844</v>
      </c>
      <c r="D1747" t="s">
        <v>4822</v>
      </c>
      <c r="E1747" t="s">
        <v>1172</v>
      </c>
      <c r="F1747" t="s">
        <v>174</v>
      </c>
      <c r="G1747" s="1">
        <v>25535</v>
      </c>
      <c r="H1747" s="1">
        <v>40938</v>
      </c>
      <c r="I1747" t="str">
        <f>"41"</f>
        <v>41</v>
      </c>
      <c r="J1747" t="s">
        <v>24</v>
      </c>
      <c r="K1747" t="s">
        <v>25</v>
      </c>
      <c r="L1747" t="s">
        <v>26</v>
      </c>
      <c r="M1747" t="s">
        <v>27</v>
      </c>
      <c r="N1747" s="1">
        <v>18629</v>
      </c>
      <c r="O1747">
        <v>0</v>
      </c>
      <c r="P1747">
        <v>0</v>
      </c>
      <c r="Q1747" t="s">
        <v>28</v>
      </c>
      <c r="R1747" t="s">
        <v>29</v>
      </c>
      <c r="S1747" t="s">
        <v>251</v>
      </c>
      <c r="T1747" t="s">
        <v>252</v>
      </c>
    </row>
    <row r="1748" spans="1:20" x14ac:dyDescent="0.25">
      <c r="A1748" t="s">
        <v>4823</v>
      </c>
      <c r="B1748" t="str">
        <f>"4809"</f>
        <v>4809</v>
      </c>
      <c r="C1748" t="str">
        <f>"286464809"</f>
        <v>286464809</v>
      </c>
      <c r="D1748" t="s">
        <v>4824</v>
      </c>
      <c r="E1748" t="s">
        <v>4825</v>
      </c>
      <c r="F1748" t="s">
        <v>165</v>
      </c>
      <c r="G1748" s="1">
        <v>17437</v>
      </c>
      <c r="H1748" s="1">
        <v>40935</v>
      </c>
      <c r="I1748" t="str">
        <f t="shared" ref="I1748:I1755" si="33">"52"</f>
        <v>52</v>
      </c>
      <c r="J1748" t="s">
        <v>330</v>
      </c>
      <c r="K1748" t="s">
        <v>25</v>
      </c>
      <c r="L1748" t="s">
        <v>26</v>
      </c>
      <c r="M1748" t="s">
        <v>27</v>
      </c>
      <c r="N1748" s="1">
        <v>18629</v>
      </c>
      <c r="O1748">
        <v>0</v>
      </c>
      <c r="P1748">
        <v>0</v>
      </c>
      <c r="Q1748" t="s">
        <v>37</v>
      </c>
      <c r="R1748" t="s">
        <v>51</v>
      </c>
      <c r="S1748" s="2" t="s">
        <v>362</v>
      </c>
      <c r="T1748" t="s">
        <v>363</v>
      </c>
    </row>
    <row r="1749" spans="1:20" x14ac:dyDescent="0.25">
      <c r="A1749" t="s">
        <v>4826</v>
      </c>
      <c r="B1749" t="str">
        <f>"6777"</f>
        <v>6777</v>
      </c>
      <c r="C1749" t="str">
        <f>"279826777"</f>
        <v>279826777</v>
      </c>
      <c r="D1749" t="s">
        <v>4827</v>
      </c>
      <c r="E1749" t="s">
        <v>526</v>
      </c>
      <c r="F1749" t="s">
        <v>97</v>
      </c>
      <c r="G1749" s="1">
        <v>25177</v>
      </c>
      <c r="H1749" s="1">
        <v>40935</v>
      </c>
      <c r="I1749" t="str">
        <f t="shared" si="33"/>
        <v>52</v>
      </c>
      <c r="J1749" t="s">
        <v>330</v>
      </c>
      <c r="K1749" t="s">
        <v>25</v>
      </c>
      <c r="L1749" t="s">
        <v>26</v>
      </c>
      <c r="M1749" t="s">
        <v>27</v>
      </c>
      <c r="N1749" s="1">
        <v>18629</v>
      </c>
      <c r="O1749">
        <v>0</v>
      </c>
      <c r="P1749">
        <v>0</v>
      </c>
      <c r="Q1749" t="s">
        <v>37</v>
      </c>
      <c r="R1749" t="s">
        <v>51</v>
      </c>
      <c r="S1749" s="2" t="s">
        <v>362</v>
      </c>
      <c r="T1749" t="s">
        <v>363</v>
      </c>
    </row>
    <row r="1750" spans="1:20" x14ac:dyDescent="0.25">
      <c r="A1750" t="s">
        <v>4828</v>
      </c>
      <c r="B1750" t="str">
        <f>"8211"</f>
        <v>8211</v>
      </c>
      <c r="C1750" t="str">
        <f>"275568211"</f>
        <v>275568211</v>
      </c>
      <c r="D1750" t="s">
        <v>4829</v>
      </c>
      <c r="E1750" t="s">
        <v>184</v>
      </c>
      <c r="F1750" t="s">
        <v>97</v>
      </c>
      <c r="G1750" s="1">
        <v>19892</v>
      </c>
      <c r="H1750" s="1">
        <v>40935</v>
      </c>
      <c r="I1750" t="str">
        <f t="shared" si="33"/>
        <v>52</v>
      </c>
      <c r="J1750" t="s">
        <v>330</v>
      </c>
      <c r="K1750" t="s">
        <v>25</v>
      </c>
      <c r="L1750" t="s">
        <v>26</v>
      </c>
      <c r="M1750" t="s">
        <v>27</v>
      </c>
      <c r="N1750" s="1">
        <v>18629</v>
      </c>
      <c r="O1750">
        <v>0</v>
      </c>
      <c r="P1750">
        <v>0</v>
      </c>
      <c r="Q1750" t="s">
        <v>37</v>
      </c>
      <c r="R1750" t="s">
        <v>51</v>
      </c>
      <c r="S1750" s="2" t="s">
        <v>362</v>
      </c>
      <c r="T1750" t="s">
        <v>363</v>
      </c>
    </row>
    <row r="1751" spans="1:20" x14ac:dyDescent="0.25">
      <c r="A1751" t="s">
        <v>4830</v>
      </c>
      <c r="B1751" t="str">
        <f>"7740"</f>
        <v>7740</v>
      </c>
      <c r="C1751" t="str">
        <f>"302507740"</f>
        <v>302507740</v>
      </c>
      <c r="D1751" t="s">
        <v>4831</v>
      </c>
      <c r="E1751" t="s">
        <v>1846</v>
      </c>
      <c r="G1751" s="1">
        <v>23053</v>
      </c>
      <c r="H1751" s="1">
        <v>40935</v>
      </c>
      <c r="I1751" t="str">
        <f t="shared" si="33"/>
        <v>52</v>
      </c>
      <c r="J1751" t="s">
        <v>330</v>
      </c>
      <c r="K1751" t="s">
        <v>25</v>
      </c>
      <c r="L1751" t="s">
        <v>26</v>
      </c>
      <c r="M1751" t="s">
        <v>27</v>
      </c>
      <c r="N1751" s="1">
        <v>18629</v>
      </c>
      <c r="O1751">
        <v>0</v>
      </c>
      <c r="P1751">
        <v>0</v>
      </c>
      <c r="Q1751" t="s">
        <v>37</v>
      </c>
      <c r="R1751" t="s">
        <v>51</v>
      </c>
      <c r="S1751" s="2" t="s">
        <v>362</v>
      </c>
      <c r="T1751" t="s">
        <v>363</v>
      </c>
    </row>
    <row r="1752" spans="1:20" x14ac:dyDescent="0.25">
      <c r="A1752" t="s">
        <v>4832</v>
      </c>
      <c r="B1752" t="str">
        <f>"8863"</f>
        <v>8863</v>
      </c>
      <c r="C1752" t="str">
        <f>"292528863"</f>
        <v>292528863</v>
      </c>
      <c r="D1752" t="s">
        <v>4833</v>
      </c>
      <c r="E1752" t="s">
        <v>609</v>
      </c>
      <c r="F1752" t="s">
        <v>264</v>
      </c>
      <c r="G1752" s="1">
        <v>21331</v>
      </c>
      <c r="H1752" s="1">
        <v>40935</v>
      </c>
      <c r="I1752" t="str">
        <f t="shared" si="33"/>
        <v>52</v>
      </c>
      <c r="J1752" t="s">
        <v>330</v>
      </c>
      <c r="K1752" t="s">
        <v>25</v>
      </c>
      <c r="L1752" t="s">
        <v>26</v>
      </c>
      <c r="M1752" t="s">
        <v>27</v>
      </c>
      <c r="N1752" s="1">
        <v>18629</v>
      </c>
      <c r="O1752">
        <v>0</v>
      </c>
      <c r="P1752">
        <v>0</v>
      </c>
      <c r="Q1752" t="s">
        <v>28</v>
      </c>
      <c r="R1752" t="s">
        <v>71</v>
      </c>
      <c r="S1752" s="2" t="s">
        <v>362</v>
      </c>
      <c r="T1752" t="s">
        <v>363</v>
      </c>
    </row>
    <row r="1753" spans="1:20" x14ac:dyDescent="0.25">
      <c r="A1753" t="s">
        <v>4834</v>
      </c>
      <c r="B1753" t="str">
        <f>"3152"</f>
        <v>3152</v>
      </c>
      <c r="C1753" t="str">
        <f>"242743152"</f>
        <v>242743152</v>
      </c>
      <c r="D1753" t="s">
        <v>4835</v>
      </c>
      <c r="E1753" t="s">
        <v>4836</v>
      </c>
      <c r="F1753" t="s">
        <v>44</v>
      </c>
      <c r="G1753" s="1">
        <v>19494</v>
      </c>
      <c r="H1753" s="1">
        <v>40935</v>
      </c>
      <c r="I1753" t="str">
        <f t="shared" si="33"/>
        <v>52</v>
      </c>
      <c r="J1753" t="s">
        <v>330</v>
      </c>
      <c r="K1753" t="s">
        <v>25</v>
      </c>
      <c r="L1753" t="s">
        <v>26</v>
      </c>
      <c r="M1753" t="s">
        <v>27</v>
      </c>
      <c r="N1753" s="1">
        <v>18629</v>
      </c>
      <c r="O1753">
        <v>0</v>
      </c>
      <c r="P1753">
        <v>0</v>
      </c>
      <c r="Q1753" t="s">
        <v>37</v>
      </c>
      <c r="R1753" t="s">
        <v>51</v>
      </c>
      <c r="S1753" s="2" t="s">
        <v>362</v>
      </c>
      <c r="T1753" t="s">
        <v>363</v>
      </c>
    </row>
    <row r="1754" spans="1:20" x14ac:dyDescent="0.25">
      <c r="A1754" t="s">
        <v>4837</v>
      </c>
      <c r="B1754" t="str">
        <f>"4881"</f>
        <v>4881</v>
      </c>
      <c r="C1754" t="str">
        <f>"272424881"</f>
        <v>272424881</v>
      </c>
      <c r="D1754" t="s">
        <v>4838</v>
      </c>
      <c r="E1754" t="s">
        <v>4839</v>
      </c>
      <c r="F1754" t="s">
        <v>438</v>
      </c>
      <c r="G1754" s="1">
        <v>17243</v>
      </c>
      <c r="H1754" s="1">
        <v>40935</v>
      </c>
      <c r="I1754" t="str">
        <f t="shared" si="33"/>
        <v>52</v>
      </c>
      <c r="J1754" t="s">
        <v>330</v>
      </c>
      <c r="K1754" t="s">
        <v>25</v>
      </c>
      <c r="L1754" t="s">
        <v>26</v>
      </c>
      <c r="M1754" t="s">
        <v>27</v>
      </c>
      <c r="N1754" s="1">
        <v>18629</v>
      </c>
      <c r="O1754">
        <v>0</v>
      </c>
      <c r="P1754">
        <v>0</v>
      </c>
      <c r="Q1754" t="s">
        <v>37</v>
      </c>
      <c r="R1754" t="s">
        <v>258</v>
      </c>
      <c r="S1754" s="2" t="s">
        <v>362</v>
      </c>
      <c r="T1754" t="s">
        <v>363</v>
      </c>
    </row>
    <row r="1755" spans="1:20" x14ac:dyDescent="0.25">
      <c r="A1755" t="s">
        <v>4840</v>
      </c>
      <c r="B1755" t="str">
        <f>"2000"</f>
        <v>2000</v>
      </c>
      <c r="C1755" t="str">
        <f>"276702000"</f>
        <v>276702000</v>
      </c>
      <c r="D1755" t="s">
        <v>4841</v>
      </c>
      <c r="E1755" t="s">
        <v>3605</v>
      </c>
      <c r="F1755" t="s">
        <v>44</v>
      </c>
      <c r="G1755" s="1">
        <v>22412</v>
      </c>
      <c r="H1755" s="1">
        <v>40935</v>
      </c>
      <c r="I1755" t="str">
        <f t="shared" si="33"/>
        <v>52</v>
      </c>
      <c r="J1755" t="s">
        <v>330</v>
      </c>
      <c r="K1755" t="s">
        <v>25</v>
      </c>
      <c r="L1755" t="s">
        <v>26</v>
      </c>
      <c r="M1755" t="s">
        <v>27</v>
      </c>
      <c r="N1755" s="1">
        <v>18629</v>
      </c>
      <c r="O1755">
        <v>0</v>
      </c>
      <c r="P1755">
        <v>0</v>
      </c>
      <c r="Q1755" t="s">
        <v>37</v>
      </c>
      <c r="R1755" t="s">
        <v>51</v>
      </c>
      <c r="S1755" s="2" t="s">
        <v>362</v>
      </c>
      <c r="T1755" t="s">
        <v>363</v>
      </c>
    </row>
    <row r="1756" spans="1:20" x14ac:dyDescent="0.25">
      <c r="A1756" t="s">
        <v>4842</v>
      </c>
      <c r="B1756" t="str">
        <f>"6717"</f>
        <v>6717</v>
      </c>
      <c r="C1756" t="str">
        <f>"300746717"</f>
        <v>300746717</v>
      </c>
      <c r="D1756" t="s">
        <v>4843</v>
      </c>
      <c r="E1756" t="s">
        <v>4844</v>
      </c>
      <c r="F1756" t="s">
        <v>165</v>
      </c>
      <c r="G1756" s="1">
        <v>24098</v>
      </c>
      <c r="H1756" s="1">
        <v>40931</v>
      </c>
      <c r="I1756" t="str">
        <f>"41"</f>
        <v>41</v>
      </c>
      <c r="J1756" t="s">
        <v>24</v>
      </c>
      <c r="K1756" t="s">
        <v>25</v>
      </c>
      <c r="L1756" t="s">
        <v>26</v>
      </c>
      <c r="M1756" t="s">
        <v>27</v>
      </c>
      <c r="N1756" s="1">
        <v>18629</v>
      </c>
      <c r="O1756">
        <v>0</v>
      </c>
      <c r="P1756">
        <v>0</v>
      </c>
      <c r="Q1756" t="s">
        <v>37</v>
      </c>
      <c r="R1756" t="s">
        <v>29</v>
      </c>
      <c r="S1756" t="s">
        <v>138</v>
      </c>
      <c r="T1756" t="s">
        <v>139</v>
      </c>
    </row>
    <row r="1757" spans="1:20" x14ac:dyDescent="0.25">
      <c r="A1757" t="s">
        <v>4845</v>
      </c>
      <c r="B1757" t="str">
        <f>"4731"</f>
        <v>4731</v>
      </c>
      <c r="C1757" t="str">
        <f>"281464731"</f>
        <v>281464731</v>
      </c>
      <c r="D1757" t="s">
        <v>4846</v>
      </c>
      <c r="E1757" t="s">
        <v>96</v>
      </c>
      <c r="F1757" t="s">
        <v>264</v>
      </c>
      <c r="G1757" s="1">
        <v>16914</v>
      </c>
      <c r="H1757" s="1">
        <v>40931</v>
      </c>
      <c r="I1757" t="str">
        <f>"41"</f>
        <v>41</v>
      </c>
      <c r="J1757" t="s">
        <v>24</v>
      </c>
      <c r="K1757" t="s">
        <v>25</v>
      </c>
      <c r="L1757" t="s">
        <v>26</v>
      </c>
      <c r="M1757" t="s">
        <v>27</v>
      </c>
      <c r="N1757" s="1">
        <v>18629</v>
      </c>
      <c r="O1757">
        <v>0</v>
      </c>
      <c r="P1757">
        <v>0</v>
      </c>
      <c r="Q1757" t="s">
        <v>37</v>
      </c>
      <c r="R1757" t="s">
        <v>29</v>
      </c>
      <c r="S1757" t="s">
        <v>138</v>
      </c>
      <c r="T1757" t="s">
        <v>139</v>
      </c>
    </row>
    <row r="1758" spans="1:20" x14ac:dyDescent="0.25">
      <c r="A1758" t="s">
        <v>4847</v>
      </c>
      <c r="B1758" t="str">
        <f>"2120"</f>
        <v>2120</v>
      </c>
      <c r="C1758" t="str">
        <f>"291762120"</f>
        <v>291762120</v>
      </c>
      <c r="D1758" t="s">
        <v>4848</v>
      </c>
      <c r="E1758" t="s">
        <v>4849</v>
      </c>
      <c r="F1758" t="s">
        <v>44</v>
      </c>
      <c r="G1758" s="1">
        <v>29547</v>
      </c>
      <c r="H1758" s="1">
        <v>40931</v>
      </c>
      <c r="I1758" t="str">
        <f>"05"</f>
        <v>05</v>
      </c>
      <c r="J1758" t="s">
        <v>58</v>
      </c>
      <c r="K1758" t="s">
        <v>98</v>
      </c>
      <c r="L1758" t="s">
        <v>37</v>
      </c>
      <c r="M1758" t="s">
        <v>117</v>
      </c>
      <c r="N1758" s="1">
        <v>41617</v>
      </c>
      <c r="O1758">
        <v>4951.96</v>
      </c>
      <c r="P1758">
        <v>1237.8599999999999</v>
      </c>
      <c r="Q1758" t="s">
        <v>37</v>
      </c>
      <c r="R1758" t="s">
        <v>71</v>
      </c>
      <c r="S1758" t="s">
        <v>522</v>
      </c>
      <c r="T1758" t="s">
        <v>523</v>
      </c>
    </row>
    <row r="1759" spans="1:20" x14ac:dyDescent="0.25">
      <c r="A1759" t="s">
        <v>4850</v>
      </c>
      <c r="B1759" t="str">
        <f>"2096"</f>
        <v>2096</v>
      </c>
      <c r="C1759" t="str">
        <f>"183582096"</f>
        <v>183582096</v>
      </c>
      <c r="D1759" t="s">
        <v>4851</v>
      </c>
      <c r="E1759" t="s">
        <v>2476</v>
      </c>
      <c r="F1759" t="s">
        <v>219</v>
      </c>
      <c r="G1759" s="1">
        <v>24630</v>
      </c>
      <c r="H1759" s="1">
        <v>40931</v>
      </c>
      <c r="I1759" t="str">
        <f>"33"</f>
        <v>33</v>
      </c>
      <c r="J1759" t="s">
        <v>45</v>
      </c>
      <c r="K1759" t="s">
        <v>25</v>
      </c>
      <c r="L1759" t="s">
        <v>26</v>
      </c>
      <c r="M1759" t="s">
        <v>27</v>
      </c>
      <c r="N1759" s="1">
        <v>18629</v>
      </c>
      <c r="O1759">
        <v>0</v>
      </c>
      <c r="P1759">
        <v>0</v>
      </c>
      <c r="Q1759" t="s">
        <v>37</v>
      </c>
      <c r="R1759" t="s">
        <v>71</v>
      </c>
      <c r="S1759" t="s">
        <v>955</v>
      </c>
      <c r="T1759" t="s">
        <v>956</v>
      </c>
    </row>
    <row r="1760" spans="1:20" x14ac:dyDescent="0.25">
      <c r="A1760" t="s">
        <v>4852</v>
      </c>
      <c r="B1760" t="str">
        <f>"1380"</f>
        <v>1380</v>
      </c>
      <c r="C1760" t="str">
        <f>"280741380"</f>
        <v>280741380</v>
      </c>
      <c r="D1760" t="s">
        <v>4853</v>
      </c>
      <c r="E1760" t="s">
        <v>4854</v>
      </c>
      <c r="F1760" t="s">
        <v>44</v>
      </c>
      <c r="G1760" s="1">
        <v>26683</v>
      </c>
      <c r="H1760" s="1">
        <v>40931</v>
      </c>
      <c r="I1760" t="str">
        <f>"05"</f>
        <v>05</v>
      </c>
      <c r="J1760" t="s">
        <v>58</v>
      </c>
      <c r="K1760" t="s">
        <v>98</v>
      </c>
      <c r="L1760" t="s">
        <v>37</v>
      </c>
      <c r="M1760" t="s">
        <v>99</v>
      </c>
      <c r="N1760" s="1">
        <v>41617</v>
      </c>
      <c r="O1760">
        <v>14801.8</v>
      </c>
      <c r="P1760">
        <v>3700.32</v>
      </c>
      <c r="Q1760" t="s">
        <v>37</v>
      </c>
      <c r="R1760" t="s">
        <v>29</v>
      </c>
      <c r="S1760" t="s">
        <v>88</v>
      </c>
      <c r="T1760" t="s">
        <v>89</v>
      </c>
    </row>
    <row r="1761" spans="1:20" x14ac:dyDescent="0.25">
      <c r="A1761" t="s">
        <v>4855</v>
      </c>
      <c r="B1761" t="str">
        <f>"7162"</f>
        <v>7162</v>
      </c>
      <c r="C1761" t="str">
        <f>"300427162"</f>
        <v>300427162</v>
      </c>
      <c r="D1761" t="s">
        <v>4856</v>
      </c>
      <c r="E1761" t="s">
        <v>4857</v>
      </c>
      <c r="F1761" t="s">
        <v>93</v>
      </c>
      <c r="G1761" s="1">
        <v>21481</v>
      </c>
      <c r="H1761" s="1">
        <v>40931</v>
      </c>
      <c r="I1761" t="str">
        <f>"12"</f>
        <v>12</v>
      </c>
      <c r="J1761" t="s">
        <v>245</v>
      </c>
      <c r="K1761" t="s">
        <v>98</v>
      </c>
      <c r="L1761" t="s">
        <v>37</v>
      </c>
      <c r="M1761" t="s">
        <v>117</v>
      </c>
      <c r="N1761" s="1">
        <v>41617</v>
      </c>
      <c r="O1761">
        <v>4951.96</v>
      </c>
      <c r="P1761">
        <v>1237.8599999999999</v>
      </c>
      <c r="Q1761" t="s">
        <v>37</v>
      </c>
      <c r="R1761" t="s">
        <v>51</v>
      </c>
      <c r="S1761" s="2" t="s">
        <v>683</v>
      </c>
      <c r="T1761" t="s">
        <v>684</v>
      </c>
    </row>
    <row r="1762" spans="1:20" x14ac:dyDescent="0.25">
      <c r="A1762" t="s">
        <v>4858</v>
      </c>
      <c r="B1762" t="str">
        <f>"0384"</f>
        <v>0384</v>
      </c>
      <c r="C1762" t="str">
        <f>"094520384"</f>
        <v>094520384</v>
      </c>
      <c r="D1762" t="s">
        <v>4859</v>
      </c>
      <c r="E1762" t="s">
        <v>430</v>
      </c>
      <c r="F1762" t="s">
        <v>174</v>
      </c>
      <c r="G1762" s="1">
        <v>26739</v>
      </c>
      <c r="H1762" s="1">
        <v>40931</v>
      </c>
      <c r="I1762" t="str">
        <f>"03"</f>
        <v>03</v>
      </c>
      <c r="J1762" t="s">
        <v>70</v>
      </c>
      <c r="K1762" t="s">
        <v>98</v>
      </c>
      <c r="L1762" t="s">
        <v>37</v>
      </c>
      <c r="M1762" t="s">
        <v>99</v>
      </c>
      <c r="N1762" s="1">
        <v>41617</v>
      </c>
      <c r="O1762">
        <v>14801.8</v>
      </c>
      <c r="P1762">
        <v>3700.32</v>
      </c>
      <c r="Q1762" t="s">
        <v>28</v>
      </c>
      <c r="R1762" t="s">
        <v>110</v>
      </c>
      <c r="S1762" t="s">
        <v>4077</v>
      </c>
      <c r="T1762" t="s">
        <v>4078</v>
      </c>
    </row>
    <row r="1763" spans="1:20" x14ac:dyDescent="0.25">
      <c r="A1763" t="s">
        <v>4860</v>
      </c>
      <c r="B1763" t="str">
        <f>"7010"</f>
        <v>7010</v>
      </c>
      <c r="C1763" t="str">
        <f>"301447010"</f>
        <v>301447010</v>
      </c>
      <c r="D1763" t="s">
        <v>4861</v>
      </c>
      <c r="E1763" t="s">
        <v>381</v>
      </c>
      <c r="F1763" t="s">
        <v>97</v>
      </c>
      <c r="G1763" s="1">
        <v>21780</v>
      </c>
      <c r="H1763" s="1">
        <v>40926</v>
      </c>
      <c r="I1763" t="str">
        <f>"33"</f>
        <v>33</v>
      </c>
      <c r="J1763" t="s">
        <v>45</v>
      </c>
      <c r="K1763" t="s">
        <v>25</v>
      </c>
      <c r="L1763" t="s">
        <v>26</v>
      </c>
      <c r="M1763" t="s">
        <v>27</v>
      </c>
      <c r="N1763" s="1">
        <v>18629</v>
      </c>
      <c r="O1763">
        <v>0</v>
      </c>
      <c r="P1763">
        <v>0</v>
      </c>
      <c r="Q1763" t="s">
        <v>37</v>
      </c>
      <c r="R1763" t="s">
        <v>51</v>
      </c>
      <c r="S1763" t="s">
        <v>795</v>
      </c>
      <c r="T1763" t="s">
        <v>796</v>
      </c>
    </row>
    <row r="1764" spans="1:20" x14ac:dyDescent="0.25">
      <c r="A1764" t="s">
        <v>4862</v>
      </c>
      <c r="B1764" t="str">
        <f>"2112"</f>
        <v>2112</v>
      </c>
      <c r="C1764" t="str">
        <f>"277782112"</f>
        <v>277782112</v>
      </c>
      <c r="D1764" t="s">
        <v>4863</v>
      </c>
      <c r="E1764" t="s">
        <v>250</v>
      </c>
      <c r="F1764" t="s">
        <v>93</v>
      </c>
      <c r="G1764" s="1">
        <v>29362</v>
      </c>
      <c r="H1764" s="1">
        <v>40926</v>
      </c>
      <c r="I1764" t="str">
        <f>"50"</f>
        <v>50</v>
      </c>
      <c r="J1764" t="s">
        <v>208</v>
      </c>
      <c r="K1764" t="s">
        <v>25</v>
      </c>
      <c r="L1764" t="s">
        <v>26</v>
      </c>
      <c r="M1764" t="s">
        <v>27</v>
      </c>
      <c r="N1764" s="1">
        <v>18629</v>
      </c>
      <c r="O1764">
        <v>0</v>
      </c>
      <c r="P1764">
        <v>0</v>
      </c>
      <c r="Q1764" t="s">
        <v>37</v>
      </c>
      <c r="R1764" t="s">
        <v>29</v>
      </c>
      <c r="S1764" s="2" t="s">
        <v>198</v>
      </c>
      <c r="T1764" t="s">
        <v>199</v>
      </c>
    </row>
    <row r="1765" spans="1:20" x14ac:dyDescent="0.25">
      <c r="A1765" t="s">
        <v>4864</v>
      </c>
      <c r="B1765" t="str">
        <f>"2569"</f>
        <v>2569</v>
      </c>
      <c r="C1765" t="str">
        <f>"302802569"</f>
        <v>302802569</v>
      </c>
      <c r="D1765" t="s">
        <v>4865</v>
      </c>
      <c r="E1765" t="s">
        <v>2824</v>
      </c>
      <c r="F1765" t="s">
        <v>97</v>
      </c>
      <c r="G1765" s="1">
        <v>25595</v>
      </c>
      <c r="H1765" s="1">
        <v>40925</v>
      </c>
      <c r="I1765" t="str">
        <f t="shared" ref="I1765:I1787" si="34">"51"</f>
        <v>51</v>
      </c>
      <c r="J1765" t="s">
        <v>471</v>
      </c>
      <c r="K1765" t="s">
        <v>25</v>
      </c>
      <c r="L1765" t="s">
        <v>26</v>
      </c>
      <c r="M1765" t="s">
        <v>27</v>
      </c>
      <c r="N1765" s="1">
        <v>18629</v>
      </c>
      <c r="O1765">
        <v>0</v>
      </c>
      <c r="P1765">
        <v>0</v>
      </c>
      <c r="Q1765" t="s">
        <v>28</v>
      </c>
      <c r="R1765" t="s">
        <v>71</v>
      </c>
      <c r="S1765" t="s">
        <v>923</v>
      </c>
      <c r="T1765" t="s">
        <v>924</v>
      </c>
    </row>
    <row r="1766" spans="1:20" x14ac:dyDescent="0.25">
      <c r="A1766" t="s">
        <v>4866</v>
      </c>
      <c r="B1766" t="str">
        <f>"0032"</f>
        <v>0032</v>
      </c>
      <c r="C1766" t="str">
        <f>"290500032"</f>
        <v>290500032</v>
      </c>
      <c r="D1766" t="s">
        <v>597</v>
      </c>
      <c r="E1766" t="s">
        <v>1981</v>
      </c>
      <c r="F1766" t="s">
        <v>329</v>
      </c>
      <c r="G1766" s="1">
        <v>19419</v>
      </c>
      <c r="H1766" s="1">
        <v>40925</v>
      </c>
      <c r="I1766" t="str">
        <f t="shared" si="34"/>
        <v>51</v>
      </c>
      <c r="J1766" t="s">
        <v>471</v>
      </c>
      <c r="K1766" t="s">
        <v>25</v>
      </c>
      <c r="L1766" t="s">
        <v>26</v>
      </c>
      <c r="M1766" t="s">
        <v>27</v>
      </c>
      <c r="N1766" s="1">
        <v>18629</v>
      </c>
      <c r="O1766">
        <v>0</v>
      </c>
      <c r="P1766">
        <v>0</v>
      </c>
      <c r="Q1766" t="s">
        <v>37</v>
      </c>
      <c r="R1766" t="s">
        <v>29</v>
      </c>
      <c r="S1766" t="s">
        <v>138</v>
      </c>
      <c r="T1766" t="s">
        <v>139</v>
      </c>
    </row>
    <row r="1767" spans="1:20" x14ac:dyDescent="0.25">
      <c r="A1767" t="s">
        <v>4867</v>
      </c>
      <c r="B1767" t="str">
        <f>"0733"</f>
        <v>0733</v>
      </c>
      <c r="C1767" t="str">
        <f>"508470733"</f>
        <v>508470733</v>
      </c>
      <c r="D1767" t="s">
        <v>4868</v>
      </c>
      <c r="E1767" t="s">
        <v>4869</v>
      </c>
      <c r="F1767" t="s">
        <v>97</v>
      </c>
      <c r="G1767" s="1">
        <v>29751</v>
      </c>
      <c r="H1767" s="1">
        <v>40925</v>
      </c>
      <c r="I1767" t="str">
        <f t="shared" si="34"/>
        <v>51</v>
      </c>
      <c r="J1767" t="s">
        <v>471</v>
      </c>
      <c r="K1767" t="s">
        <v>25</v>
      </c>
      <c r="L1767" t="s">
        <v>26</v>
      </c>
      <c r="M1767" t="s">
        <v>27</v>
      </c>
      <c r="N1767" s="1">
        <v>18629</v>
      </c>
      <c r="O1767">
        <v>0</v>
      </c>
      <c r="P1767">
        <v>0</v>
      </c>
      <c r="Q1767" t="s">
        <v>37</v>
      </c>
      <c r="R1767" t="s">
        <v>71</v>
      </c>
      <c r="S1767" t="s">
        <v>157</v>
      </c>
      <c r="T1767" t="s">
        <v>158</v>
      </c>
    </row>
    <row r="1768" spans="1:20" x14ac:dyDescent="0.25">
      <c r="A1768" t="s">
        <v>4870</v>
      </c>
      <c r="B1768" t="str">
        <f>"9601"</f>
        <v>9601</v>
      </c>
      <c r="C1768" t="str">
        <f>"275909601"</f>
        <v>275909601</v>
      </c>
      <c r="D1768" t="s">
        <v>4871</v>
      </c>
      <c r="E1768" t="s">
        <v>1711</v>
      </c>
      <c r="F1768" t="s">
        <v>414</v>
      </c>
      <c r="G1768" s="1">
        <v>32028</v>
      </c>
      <c r="H1768" s="1">
        <v>40925</v>
      </c>
      <c r="I1768" t="str">
        <f t="shared" si="34"/>
        <v>51</v>
      </c>
      <c r="J1768" t="s">
        <v>471</v>
      </c>
      <c r="K1768" t="s">
        <v>25</v>
      </c>
      <c r="L1768" t="s">
        <v>26</v>
      </c>
      <c r="M1768" t="s">
        <v>27</v>
      </c>
      <c r="N1768" s="1">
        <v>18629</v>
      </c>
      <c r="O1768">
        <v>0</v>
      </c>
      <c r="P1768">
        <v>0</v>
      </c>
      <c r="Q1768" t="s">
        <v>37</v>
      </c>
      <c r="R1768" t="s">
        <v>71</v>
      </c>
      <c r="S1768" t="s">
        <v>808</v>
      </c>
      <c r="T1768" t="s">
        <v>809</v>
      </c>
    </row>
    <row r="1769" spans="1:20" x14ac:dyDescent="0.25">
      <c r="A1769" t="s">
        <v>4872</v>
      </c>
      <c r="B1769" t="str">
        <f>"4376"</f>
        <v>4376</v>
      </c>
      <c r="C1769" t="str">
        <f>"270744376"</f>
        <v>270744376</v>
      </c>
      <c r="D1769" t="s">
        <v>4873</v>
      </c>
      <c r="E1769" t="s">
        <v>137</v>
      </c>
      <c r="F1769" t="s">
        <v>256</v>
      </c>
      <c r="G1769" s="1">
        <v>28342</v>
      </c>
      <c r="H1769" s="1">
        <v>40925</v>
      </c>
      <c r="I1769" t="str">
        <f t="shared" si="34"/>
        <v>51</v>
      </c>
      <c r="J1769" t="s">
        <v>471</v>
      </c>
      <c r="K1769" t="s">
        <v>25</v>
      </c>
      <c r="L1769" t="s">
        <v>26</v>
      </c>
      <c r="M1769" t="s">
        <v>27</v>
      </c>
      <c r="N1769" s="1">
        <v>18629</v>
      </c>
      <c r="O1769">
        <v>0</v>
      </c>
      <c r="P1769">
        <v>0</v>
      </c>
      <c r="Q1769" t="s">
        <v>37</v>
      </c>
      <c r="R1769" t="s">
        <v>29</v>
      </c>
      <c r="S1769" t="s">
        <v>138</v>
      </c>
      <c r="T1769" t="s">
        <v>139</v>
      </c>
    </row>
    <row r="1770" spans="1:20" x14ac:dyDescent="0.25">
      <c r="A1770" t="s">
        <v>4874</v>
      </c>
      <c r="B1770" t="str">
        <f>"8071"</f>
        <v>8071</v>
      </c>
      <c r="C1770" t="str">
        <f>"299708071"</f>
        <v>299708071</v>
      </c>
      <c r="D1770" t="s">
        <v>4875</v>
      </c>
      <c r="E1770" t="s">
        <v>3798</v>
      </c>
      <c r="G1770" s="1">
        <v>27493</v>
      </c>
      <c r="H1770" s="1">
        <v>40925</v>
      </c>
      <c r="I1770" t="str">
        <f t="shared" si="34"/>
        <v>51</v>
      </c>
      <c r="J1770" t="s">
        <v>471</v>
      </c>
      <c r="K1770" t="s">
        <v>25</v>
      </c>
      <c r="L1770" t="s">
        <v>26</v>
      </c>
      <c r="M1770" t="s">
        <v>27</v>
      </c>
      <c r="N1770" s="1">
        <v>18629</v>
      </c>
      <c r="O1770">
        <v>0</v>
      </c>
      <c r="P1770">
        <v>0</v>
      </c>
      <c r="Q1770" t="s">
        <v>28</v>
      </c>
      <c r="R1770" t="s">
        <v>71</v>
      </c>
      <c r="S1770" t="s">
        <v>1474</v>
      </c>
      <c r="T1770" t="s">
        <v>1475</v>
      </c>
    </row>
    <row r="1771" spans="1:20" x14ac:dyDescent="0.25">
      <c r="A1771" t="s">
        <v>4876</v>
      </c>
      <c r="B1771" t="str">
        <f>"2967"</f>
        <v>2967</v>
      </c>
      <c r="C1771" t="str">
        <f>"170782967"</f>
        <v>170782967</v>
      </c>
      <c r="D1771" t="s">
        <v>4877</v>
      </c>
      <c r="E1771" t="s">
        <v>4878</v>
      </c>
      <c r="G1771" s="1">
        <v>30741</v>
      </c>
      <c r="H1771" s="1">
        <v>40925</v>
      </c>
      <c r="I1771" t="str">
        <f t="shared" si="34"/>
        <v>51</v>
      </c>
      <c r="J1771" t="s">
        <v>471</v>
      </c>
      <c r="K1771" t="s">
        <v>25</v>
      </c>
      <c r="L1771" t="s">
        <v>26</v>
      </c>
      <c r="M1771" t="s">
        <v>27</v>
      </c>
      <c r="N1771" s="1">
        <v>18629</v>
      </c>
      <c r="O1771">
        <v>0</v>
      </c>
      <c r="P1771">
        <v>0</v>
      </c>
      <c r="Q1771" t="s">
        <v>37</v>
      </c>
      <c r="R1771" t="s">
        <v>71</v>
      </c>
      <c r="S1771" t="s">
        <v>790</v>
      </c>
      <c r="T1771" t="s">
        <v>791</v>
      </c>
    </row>
    <row r="1772" spans="1:20" x14ac:dyDescent="0.25">
      <c r="A1772" t="s">
        <v>4879</v>
      </c>
      <c r="B1772" t="str">
        <f>"4536"</f>
        <v>4536</v>
      </c>
      <c r="C1772" t="str">
        <f>"297844536"</f>
        <v>297844536</v>
      </c>
      <c r="D1772" t="s">
        <v>4880</v>
      </c>
      <c r="E1772" t="s">
        <v>1530</v>
      </c>
      <c r="F1772" t="s">
        <v>28</v>
      </c>
      <c r="G1772" s="1">
        <v>29931</v>
      </c>
      <c r="H1772" s="1">
        <v>40925</v>
      </c>
      <c r="I1772" t="str">
        <f t="shared" si="34"/>
        <v>51</v>
      </c>
      <c r="J1772" t="s">
        <v>471</v>
      </c>
      <c r="K1772" t="s">
        <v>25</v>
      </c>
      <c r="L1772" t="s">
        <v>26</v>
      </c>
      <c r="M1772" t="s">
        <v>27</v>
      </c>
      <c r="N1772" s="1">
        <v>18629</v>
      </c>
      <c r="O1772">
        <v>0</v>
      </c>
      <c r="P1772">
        <v>0</v>
      </c>
      <c r="Q1772" t="s">
        <v>37</v>
      </c>
      <c r="R1772" t="s">
        <v>599</v>
      </c>
      <c r="S1772" t="s">
        <v>600</v>
      </c>
      <c r="T1772" t="s">
        <v>601</v>
      </c>
    </row>
    <row r="1773" spans="1:20" x14ac:dyDescent="0.25">
      <c r="A1773" t="s">
        <v>4881</v>
      </c>
      <c r="B1773" t="str">
        <f>"0669"</f>
        <v>0669</v>
      </c>
      <c r="C1773" t="str">
        <f>"272900669"</f>
        <v>272900669</v>
      </c>
      <c r="D1773" t="s">
        <v>3866</v>
      </c>
      <c r="E1773" t="s">
        <v>4882</v>
      </c>
      <c r="F1773" t="s">
        <v>44</v>
      </c>
      <c r="G1773" s="1">
        <v>30508</v>
      </c>
      <c r="H1773" s="1">
        <v>40925</v>
      </c>
      <c r="I1773" t="str">
        <f t="shared" si="34"/>
        <v>51</v>
      </c>
      <c r="J1773" t="s">
        <v>471</v>
      </c>
      <c r="K1773" t="s">
        <v>25</v>
      </c>
      <c r="L1773" t="s">
        <v>26</v>
      </c>
      <c r="M1773" t="s">
        <v>27</v>
      </c>
      <c r="N1773" s="1">
        <v>18629</v>
      </c>
      <c r="O1773">
        <v>0</v>
      </c>
      <c r="P1773">
        <v>0</v>
      </c>
      <c r="Q1773" t="s">
        <v>37</v>
      </c>
      <c r="R1773" t="s">
        <v>29</v>
      </c>
      <c r="S1773" t="s">
        <v>138</v>
      </c>
      <c r="T1773" t="s">
        <v>139</v>
      </c>
    </row>
    <row r="1774" spans="1:20" x14ac:dyDescent="0.25">
      <c r="A1774" t="s">
        <v>4883</v>
      </c>
      <c r="B1774" t="str">
        <f>"8889"</f>
        <v>8889</v>
      </c>
      <c r="C1774" t="str">
        <f>"277528889"</f>
        <v>277528889</v>
      </c>
      <c r="D1774" t="s">
        <v>4884</v>
      </c>
      <c r="E1774" t="s">
        <v>1049</v>
      </c>
      <c r="F1774" t="s">
        <v>97</v>
      </c>
      <c r="G1774" s="1">
        <v>24488</v>
      </c>
      <c r="H1774" s="1">
        <v>40925</v>
      </c>
      <c r="I1774" t="str">
        <f t="shared" si="34"/>
        <v>51</v>
      </c>
      <c r="J1774" t="s">
        <v>471</v>
      </c>
      <c r="K1774" t="s">
        <v>25</v>
      </c>
      <c r="L1774" t="s">
        <v>26</v>
      </c>
      <c r="M1774" t="s">
        <v>27</v>
      </c>
      <c r="N1774" s="1">
        <v>18629</v>
      </c>
      <c r="O1774">
        <v>0</v>
      </c>
      <c r="P1774">
        <v>0</v>
      </c>
      <c r="Q1774" t="s">
        <v>28</v>
      </c>
      <c r="R1774" t="s">
        <v>71</v>
      </c>
      <c r="S1774" t="s">
        <v>1474</v>
      </c>
      <c r="T1774" t="s">
        <v>1475</v>
      </c>
    </row>
    <row r="1775" spans="1:20" x14ac:dyDescent="0.25">
      <c r="A1775" t="s">
        <v>4885</v>
      </c>
      <c r="B1775" t="str">
        <f>"7373"</f>
        <v>7373</v>
      </c>
      <c r="C1775" t="str">
        <f>"297867373"</f>
        <v>297867373</v>
      </c>
      <c r="D1775" t="s">
        <v>4886</v>
      </c>
      <c r="E1775" t="s">
        <v>4887</v>
      </c>
      <c r="F1775" t="s">
        <v>44</v>
      </c>
      <c r="G1775" s="1">
        <v>26974</v>
      </c>
      <c r="H1775" s="1">
        <v>40925</v>
      </c>
      <c r="I1775" t="str">
        <f t="shared" si="34"/>
        <v>51</v>
      </c>
      <c r="J1775" t="s">
        <v>471</v>
      </c>
      <c r="K1775" t="s">
        <v>25</v>
      </c>
      <c r="L1775" t="s">
        <v>26</v>
      </c>
      <c r="M1775" t="s">
        <v>27</v>
      </c>
      <c r="N1775" s="1">
        <v>18629</v>
      </c>
      <c r="O1775">
        <v>0</v>
      </c>
      <c r="P1775">
        <v>0</v>
      </c>
      <c r="Q1775" t="s">
        <v>37</v>
      </c>
      <c r="R1775" t="s">
        <v>29</v>
      </c>
      <c r="S1775" t="s">
        <v>138</v>
      </c>
      <c r="T1775" t="s">
        <v>139</v>
      </c>
    </row>
    <row r="1776" spans="1:20" x14ac:dyDescent="0.25">
      <c r="A1776" t="s">
        <v>4888</v>
      </c>
      <c r="B1776" t="str">
        <f>"9451"</f>
        <v>9451</v>
      </c>
      <c r="C1776" t="str">
        <f>"283629451"</f>
        <v>283629451</v>
      </c>
      <c r="D1776" t="s">
        <v>4889</v>
      </c>
      <c r="E1776" t="s">
        <v>178</v>
      </c>
      <c r="F1776" t="s">
        <v>69</v>
      </c>
      <c r="G1776" s="1">
        <v>21699</v>
      </c>
      <c r="H1776" s="1">
        <v>40925</v>
      </c>
      <c r="I1776" t="str">
        <f t="shared" si="34"/>
        <v>51</v>
      </c>
      <c r="J1776" t="s">
        <v>471</v>
      </c>
      <c r="K1776" t="s">
        <v>25</v>
      </c>
      <c r="L1776" t="s">
        <v>26</v>
      </c>
      <c r="M1776" t="s">
        <v>27</v>
      </c>
      <c r="N1776" s="1">
        <v>18629</v>
      </c>
      <c r="O1776">
        <v>0</v>
      </c>
      <c r="P1776">
        <v>0</v>
      </c>
      <c r="Q1776" t="s">
        <v>28</v>
      </c>
      <c r="R1776" t="s">
        <v>100</v>
      </c>
      <c r="S1776" t="s">
        <v>1462</v>
      </c>
      <c r="T1776" t="s">
        <v>1463</v>
      </c>
    </row>
    <row r="1777" spans="1:20" x14ac:dyDescent="0.25">
      <c r="A1777" t="s">
        <v>4890</v>
      </c>
      <c r="B1777" t="str">
        <f>"8232"</f>
        <v>8232</v>
      </c>
      <c r="C1777" t="str">
        <f>"291828232"</f>
        <v>291828232</v>
      </c>
      <c r="D1777" t="s">
        <v>4891</v>
      </c>
      <c r="E1777" t="s">
        <v>146</v>
      </c>
      <c r="F1777" t="s">
        <v>219</v>
      </c>
      <c r="G1777" s="1">
        <v>28768</v>
      </c>
      <c r="H1777" s="1">
        <v>40925</v>
      </c>
      <c r="I1777" t="str">
        <f t="shared" si="34"/>
        <v>51</v>
      </c>
      <c r="J1777" t="s">
        <v>471</v>
      </c>
      <c r="K1777" t="s">
        <v>25</v>
      </c>
      <c r="L1777" t="s">
        <v>26</v>
      </c>
      <c r="M1777" t="s">
        <v>27</v>
      </c>
      <c r="N1777" s="1">
        <v>18629</v>
      </c>
      <c r="O1777">
        <v>0</v>
      </c>
      <c r="P1777">
        <v>0</v>
      </c>
      <c r="Q1777" t="s">
        <v>37</v>
      </c>
      <c r="R1777" t="s">
        <v>29</v>
      </c>
      <c r="S1777" t="s">
        <v>138</v>
      </c>
      <c r="T1777" t="s">
        <v>139</v>
      </c>
    </row>
    <row r="1778" spans="1:20" x14ac:dyDescent="0.25">
      <c r="A1778" t="s">
        <v>4892</v>
      </c>
      <c r="B1778" t="str">
        <f>"1823"</f>
        <v>1823</v>
      </c>
      <c r="C1778" t="str">
        <f>"287821823"</f>
        <v>287821823</v>
      </c>
      <c r="D1778" t="s">
        <v>4893</v>
      </c>
      <c r="E1778" t="s">
        <v>3163</v>
      </c>
      <c r="F1778" t="s">
        <v>190</v>
      </c>
      <c r="G1778" s="1">
        <v>30988</v>
      </c>
      <c r="H1778" s="1">
        <v>40925</v>
      </c>
      <c r="I1778" t="str">
        <f t="shared" si="34"/>
        <v>51</v>
      </c>
      <c r="J1778" t="s">
        <v>471</v>
      </c>
      <c r="K1778" t="s">
        <v>25</v>
      </c>
      <c r="L1778" t="s">
        <v>26</v>
      </c>
      <c r="M1778" t="s">
        <v>27</v>
      </c>
      <c r="N1778" s="1">
        <v>18629</v>
      </c>
      <c r="O1778">
        <v>0</v>
      </c>
      <c r="P1778">
        <v>0</v>
      </c>
      <c r="Q1778" t="s">
        <v>37</v>
      </c>
      <c r="R1778" t="s">
        <v>29</v>
      </c>
      <c r="S1778" t="s">
        <v>138</v>
      </c>
      <c r="T1778" t="s">
        <v>139</v>
      </c>
    </row>
    <row r="1779" spans="1:20" x14ac:dyDescent="0.25">
      <c r="A1779" t="s">
        <v>4894</v>
      </c>
      <c r="B1779" t="str">
        <f>"0228"</f>
        <v>0228</v>
      </c>
      <c r="C1779" t="str">
        <f>"284740228"</f>
        <v>284740228</v>
      </c>
      <c r="D1779" t="s">
        <v>4895</v>
      </c>
      <c r="E1779" t="s">
        <v>756</v>
      </c>
      <c r="F1779" t="s">
        <v>97</v>
      </c>
      <c r="G1779" s="1">
        <v>22948</v>
      </c>
      <c r="H1779" s="1">
        <v>40925</v>
      </c>
      <c r="I1779" t="str">
        <f t="shared" si="34"/>
        <v>51</v>
      </c>
      <c r="J1779" t="s">
        <v>471</v>
      </c>
      <c r="K1779" t="s">
        <v>25</v>
      </c>
      <c r="L1779" t="s">
        <v>26</v>
      </c>
      <c r="M1779" t="s">
        <v>27</v>
      </c>
      <c r="N1779" s="1">
        <v>18629</v>
      </c>
      <c r="O1779">
        <v>0</v>
      </c>
      <c r="P1779">
        <v>0</v>
      </c>
      <c r="Q1779" t="s">
        <v>37</v>
      </c>
      <c r="R1779" t="s">
        <v>29</v>
      </c>
      <c r="S1779" t="s">
        <v>138</v>
      </c>
      <c r="T1779" t="s">
        <v>139</v>
      </c>
    </row>
    <row r="1780" spans="1:20" x14ac:dyDescent="0.25">
      <c r="A1780" t="s">
        <v>4896</v>
      </c>
      <c r="B1780" t="str">
        <f>"8867"</f>
        <v>8867</v>
      </c>
      <c r="C1780" t="str">
        <f>"274668867"</f>
        <v>274668867</v>
      </c>
      <c r="D1780" t="s">
        <v>4897</v>
      </c>
      <c r="E1780" t="s">
        <v>214</v>
      </c>
      <c r="F1780" t="s">
        <v>97</v>
      </c>
      <c r="G1780" s="1">
        <v>24485</v>
      </c>
      <c r="H1780" s="1">
        <v>40925</v>
      </c>
      <c r="I1780" t="str">
        <f t="shared" si="34"/>
        <v>51</v>
      </c>
      <c r="J1780" t="s">
        <v>471</v>
      </c>
      <c r="K1780" t="s">
        <v>25</v>
      </c>
      <c r="L1780" t="s">
        <v>26</v>
      </c>
      <c r="M1780" t="s">
        <v>27</v>
      </c>
      <c r="N1780" s="1">
        <v>18629</v>
      </c>
      <c r="O1780">
        <v>0</v>
      </c>
      <c r="P1780">
        <v>0</v>
      </c>
      <c r="Q1780" t="s">
        <v>28</v>
      </c>
      <c r="R1780" t="s">
        <v>29</v>
      </c>
      <c r="S1780" t="s">
        <v>138</v>
      </c>
      <c r="T1780" t="s">
        <v>139</v>
      </c>
    </row>
    <row r="1781" spans="1:20" x14ac:dyDescent="0.25">
      <c r="A1781" t="s">
        <v>4898</v>
      </c>
      <c r="B1781" t="str">
        <f>"2433"</f>
        <v>2433</v>
      </c>
      <c r="C1781" t="str">
        <f>"479942433"</f>
        <v>479942433</v>
      </c>
      <c r="D1781" t="s">
        <v>2254</v>
      </c>
      <c r="E1781" t="s">
        <v>48</v>
      </c>
      <c r="F1781" t="s">
        <v>44</v>
      </c>
      <c r="G1781" s="1">
        <v>26788</v>
      </c>
      <c r="H1781" s="1">
        <v>40925</v>
      </c>
      <c r="I1781" t="str">
        <f t="shared" si="34"/>
        <v>51</v>
      </c>
      <c r="J1781" t="s">
        <v>471</v>
      </c>
      <c r="K1781" t="s">
        <v>25</v>
      </c>
      <c r="L1781" t="s">
        <v>26</v>
      </c>
      <c r="M1781" t="s">
        <v>27</v>
      </c>
      <c r="N1781" s="1">
        <v>18629</v>
      </c>
      <c r="O1781">
        <v>0</v>
      </c>
      <c r="P1781">
        <v>0</v>
      </c>
      <c r="Q1781" t="s">
        <v>37</v>
      </c>
      <c r="R1781" t="s">
        <v>71</v>
      </c>
      <c r="S1781" t="s">
        <v>790</v>
      </c>
      <c r="T1781" t="s">
        <v>791</v>
      </c>
    </row>
    <row r="1782" spans="1:20" x14ac:dyDescent="0.25">
      <c r="A1782" t="s">
        <v>4899</v>
      </c>
      <c r="B1782" t="str">
        <f>"0049"</f>
        <v>0049</v>
      </c>
      <c r="C1782" t="str">
        <f>"282820049"</f>
        <v>282820049</v>
      </c>
      <c r="D1782" t="s">
        <v>4900</v>
      </c>
      <c r="E1782" t="s">
        <v>4901</v>
      </c>
      <c r="F1782" t="s">
        <v>329</v>
      </c>
      <c r="G1782" s="1">
        <v>30848</v>
      </c>
      <c r="H1782" s="1">
        <v>40925</v>
      </c>
      <c r="I1782" t="str">
        <f t="shared" si="34"/>
        <v>51</v>
      </c>
      <c r="J1782" t="s">
        <v>471</v>
      </c>
      <c r="K1782" t="s">
        <v>25</v>
      </c>
      <c r="L1782" t="s">
        <v>26</v>
      </c>
      <c r="M1782" t="s">
        <v>27</v>
      </c>
      <c r="N1782" s="1">
        <v>18629</v>
      </c>
      <c r="O1782">
        <v>0</v>
      </c>
      <c r="P1782">
        <v>0</v>
      </c>
      <c r="Q1782" t="s">
        <v>37</v>
      </c>
      <c r="R1782" t="s">
        <v>29</v>
      </c>
      <c r="S1782" t="s">
        <v>138</v>
      </c>
      <c r="T1782" t="s">
        <v>139</v>
      </c>
    </row>
    <row r="1783" spans="1:20" x14ac:dyDescent="0.25">
      <c r="A1783" t="s">
        <v>4902</v>
      </c>
      <c r="B1783" t="str">
        <f>"2217"</f>
        <v>2217</v>
      </c>
      <c r="C1783" t="str">
        <f>"299742217"</f>
        <v>299742217</v>
      </c>
      <c r="D1783" t="s">
        <v>4903</v>
      </c>
      <c r="E1783" t="s">
        <v>4904</v>
      </c>
      <c r="F1783" t="s">
        <v>28</v>
      </c>
      <c r="G1783" s="1">
        <v>28625</v>
      </c>
      <c r="H1783" s="1">
        <v>40925</v>
      </c>
      <c r="I1783" t="str">
        <f t="shared" si="34"/>
        <v>51</v>
      </c>
      <c r="J1783" t="s">
        <v>471</v>
      </c>
      <c r="K1783" t="s">
        <v>25</v>
      </c>
      <c r="L1783" t="s">
        <v>26</v>
      </c>
      <c r="M1783" t="s">
        <v>27</v>
      </c>
      <c r="N1783" s="1">
        <v>18629</v>
      </c>
      <c r="O1783">
        <v>0</v>
      </c>
      <c r="P1783">
        <v>0</v>
      </c>
      <c r="Q1783" t="s">
        <v>37</v>
      </c>
      <c r="R1783" t="s">
        <v>29</v>
      </c>
      <c r="S1783" t="s">
        <v>138</v>
      </c>
      <c r="T1783" t="s">
        <v>139</v>
      </c>
    </row>
    <row r="1784" spans="1:20" x14ac:dyDescent="0.25">
      <c r="A1784" t="s">
        <v>4905</v>
      </c>
      <c r="B1784" t="str">
        <f>"2989"</f>
        <v>2989</v>
      </c>
      <c r="C1784" t="str">
        <f>"278882989"</f>
        <v>278882989</v>
      </c>
      <c r="D1784" t="s">
        <v>4906</v>
      </c>
      <c r="E1784" t="s">
        <v>4907</v>
      </c>
      <c r="F1784" t="s">
        <v>93</v>
      </c>
      <c r="G1784" s="1">
        <v>26758</v>
      </c>
      <c r="H1784" s="1">
        <v>40925</v>
      </c>
      <c r="I1784" t="str">
        <f t="shared" si="34"/>
        <v>51</v>
      </c>
      <c r="J1784" t="s">
        <v>471</v>
      </c>
      <c r="K1784" t="s">
        <v>25</v>
      </c>
      <c r="L1784" t="s">
        <v>26</v>
      </c>
      <c r="M1784" t="s">
        <v>27</v>
      </c>
      <c r="N1784" s="1">
        <v>18629</v>
      </c>
      <c r="O1784">
        <v>0</v>
      </c>
      <c r="P1784">
        <v>0</v>
      </c>
      <c r="Q1784" t="s">
        <v>37</v>
      </c>
      <c r="R1784" t="s">
        <v>29</v>
      </c>
      <c r="S1784" t="s">
        <v>138</v>
      </c>
      <c r="T1784" t="s">
        <v>139</v>
      </c>
    </row>
    <row r="1785" spans="1:20" x14ac:dyDescent="0.25">
      <c r="A1785" t="s">
        <v>4908</v>
      </c>
      <c r="B1785" t="str">
        <f>"3265"</f>
        <v>3265</v>
      </c>
      <c r="C1785" t="str">
        <f>"270863265"</f>
        <v>270863265</v>
      </c>
      <c r="D1785" t="s">
        <v>4909</v>
      </c>
      <c r="E1785" t="s">
        <v>1363</v>
      </c>
      <c r="F1785" t="s">
        <v>28</v>
      </c>
      <c r="G1785" s="1">
        <v>27108</v>
      </c>
      <c r="H1785" s="1">
        <v>40925</v>
      </c>
      <c r="I1785" t="str">
        <f t="shared" si="34"/>
        <v>51</v>
      </c>
      <c r="J1785" t="s">
        <v>471</v>
      </c>
      <c r="K1785" t="s">
        <v>25</v>
      </c>
      <c r="L1785" t="s">
        <v>26</v>
      </c>
      <c r="M1785" t="s">
        <v>27</v>
      </c>
      <c r="N1785" s="1">
        <v>18629</v>
      </c>
      <c r="O1785">
        <v>0</v>
      </c>
      <c r="P1785">
        <v>0</v>
      </c>
      <c r="Q1785" t="s">
        <v>37</v>
      </c>
      <c r="R1785" t="s">
        <v>71</v>
      </c>
      <c r="S1785" t="s">
        <v>3734</v>
      </c>
      <c r="T1785" t="s">
        <v>3735</v>
      </c>
    </row>
    <row r="1786" spans="1:20" x14ac:dyDescent="0.25">
      <c r="A1786" t="s">
        <v>4910</v>
      </c>
      <c r="B1786" t="str">
        <f>"4655"</f>
        <v>4655</v>
      </c>
      <c r="C1786" t="str">
        <f>"271724655"</f>
        <v>271724655</v>
      </c>
      <c r="D1786" t="s">
        <v>4911</v>
      </c>
      <c r="E1786" t="s">
        <v>532</v>
      </c>
      <c r="F1786" t="s">
        <v>264</v>
      </c>
      <c r="G1786" s="1">
        <v>26590</v>
      </c>
      <c r="H1786" s="1">
        <v>40925</v>
      </c>
      <c r="I1786" t="str">
        <f t="shared" si="34"/>
        <v>51</v>
      </c>
      <c r="J1786" t="s">
        <v>471</v>
      </c>
      <c r="K1786" t="s">
        <v>25</v>
      </c>
      <c r="L1786" t="s">
        <v>26</v>
      </c>
      <c r="M1786" t="s">
        <v>27</v>
      </c>
      <c r="N1786" s="1">
        <v>18629</v>
      </c>
      <c r="O1786">
        <v>0</v>
      </c>
      <c r="P1786">
        <v>0</v>
      </c>
      <c r="Q1786" t="s">
        <v>28</v>
      </c>
      <c r="R1786" t="s">
        <v>29</v>
      </c>
      <c r="S1786" t="s">
        <v>138</v>
      </c>
      <c r="T1786" t="s">
        <v>139</v>
      </c>
    </row>
    <row r="1787" spans="1:20" x14ac:dyDescent="0.25">
      <c r="A1787" t="s">
        <v>4912</v>
      </c>
      <c r="B1787" t="str">
        <f>"4702"</f>
        <v>4702</v>
      </c>
      <c r="C1787" t="str">
        <f>"208644702"</f>
        <v>208644702</v>
      </c>
      <c r="D1787" t="s">
        <v>4913</v>
      </c>
      <c r="E1787" t="s">
        <v>322</v>
      </c>
      <c r="F1787" t="s">
        <v>239</v>
      </c>
      <c r="G1787" s="1">
        <v>28792</v>
      </c>
      <c r="H1787" s="1">
        <v>40925</v>
      </c>
      <c r="I1787" t="str">
        <f t="shared" si="34"/>
        <v>51</v>
      </c>
      <c r="J1787" t="s">
        <v>471</v>
      </c>
      <c r="K1787" t="s">
        <v>25</v>
      </c>
      <c r="L1787" t="s">
        <v>26</v>
      </c>
      <c r="M1787" t="s">
        <v>27</v>
      </c>
      <c r="N1787" s="1">
        <v>18629</v>
      </c>
      <c r="O1787">
        <v>0</v>
      </c>
      <c r="P1787">
        <v>0</v>
      </c>
      <c r="Q1787" t="s">
        <v>37</v>
      </c>
      <c r="R1787" t="s">
        <v>29</v>
      </c>
      <c r="S1787" t="s">
        <v>138</v>
      </c>
      <c r="T1787" t="s">
        <v>139</v>
      </c>
    </row>
    <row r="1788" spans="1:20" x14ac:dyDescent="0.25">
      <c r="A1788" t="s">
        <v>4914</v>
      </c>
      <c r="B1788" t="str">
        <f>"0352"</f>
        <v>0352</v>
      </c>
      <c r="C1788" t="str">
        <f>"547570352"</f>
        <v>547570352</v>
      </c>
      <c r="D1788" t="s">
        <v>4915</v>
      </c>
      <c r="E1788" t="s">
        <v>1081</v>
      </c>
      <c r="F1788" t="s">
        <v>44</v>
      </c>
      <c r="G1788" s="1">
        <v>24521</v>
      </c>
      <c r="H1788" s="1">
        <v>40925</v>
      </c>
      <c r="I1788" t="str">
        <f>"03"</f>
        <v>03</v>
      </c>
      <c r="J1788" t="s">
        <v>70</v>
      </c>
      <c r="K1788" t="s">
        <v>175</v>
      </c>
      <c r="L1788" t="s">
        <v>37</v>
      </c>
      <c r="M1788" t="s">
        <v>99</v>
      </c>
      <c r="N1788" s="1">
        <v>41617</v>
      </c>
      <c r="O1788">
        <v>16411.72</v>
      </c>
      <c r="P1788">
        <v>4102.8</v>
      </c>
      <c r="Q1788" t="s">
        <v>28</v>
      </c>
      <c r="R1788" t="s">
        <v>29</v>
      </c>
      <c r="S1788" t="s">
        <v>3671</v>
      </c>
      <c r="T1788" t="s">
        <v>3672</v>
      </c>
    </row>
    <row r="1789" spans="1:20" x14ac:dyDescent="0.25">
      <c r="A1789" t="s">
        <v>4916</v>
      </c>
      <c r="B1789" t="str">
        <f>"3980"</f>
        <v>3980</v>
      </c>
      <c r="C1789" t="str">
        <f>"286763980"</f>
        <v>286763980</v>
      </c>
      <c r="D1789" t="s">
        <v>4917</v>
      </c>
      <c r="E1789" t="s">
        <v>227</v>
      </c>
      <c r="F1789" t="s">
        <v>97</v>
      </c>
      <c r="G1789" s="1">
        <v>28978</v>
      </c>
      <c r="H1789" s="1">
        <v>40925</v>
      </c>
      <c r="I1789" t="str">
        <f t="shared" ref="I1789:I1802" si="35">"51"</f>
        <v>51</v>
      </c>
      <c r="J1789" t="s">
        <v>471</v>
      </c>
      <c r="K1789" t="s">
        <v>25</v>
      </c>
      <c r="L1789" t="s">
        <v>26</v>
      </c>
      <c r="M1789" t="s">
        <v>27</v>
      </c>
      <c r="N1789" s="1">
        <v>18629</v>
      </c>
      <c r="O1789">
        <v>0</v>
      </c>
      <c r="P1789">
        <v>0</v>
      </c>
      <c r="Q1789" t="s">
        <v>28</v>
      </c>
      <c r="R1789" t="s">
        <v>71</v>
      </c>
      <c r="S1789" t="s">
        <v>1474</v>
      </c>
      <c r="T1789" t="s">
        <v>1475</v>
      </c>
    </row>
    <row r="1790" spans="1:20" x14ac:dyDescent="0.25">
      <c r="A1790" t="s">
        <v>4918</v>
      </c>
      <c r="B1790" t="str">
        <f>"7806"</f>
        <v>7806</v>
      </c>
      <c r="C1790" t="str">
        <f>"275867806"</f>
        <v>275867806</v>
      </c>
      <c r="D1790" t="s">
        <v>4919</v>
      </c>
      <c r="E1790" t="s">
        <v>2580</v>
      </c>
      <c r="F1790" t="s">
        <v>282</v>
      </c>
      <c r="G1790" s="1">
        <v>31824</v>
      </c>
      <c r="H1790" s="1">
        <v>40925</v>
      </c>
      <c r="I1790" t="str">
        <f t="shared" si="35"/>
        <v>51</v>
      </c>
      <c r="J1790" t="s">
        <v>471</v>
      </c>
      <c r="K1790" t="s">
        <v>25</v>
      </c>
      <c r="L1790" t="s">
        <v>26</v>
      </c>
      <c r="M1790" t="s">
        <v>27</v>
      </c>
      <c r="N1790" s="1">
        <v>18629</v>
      </c>
      <c r="O1790">
        <v>0</v>
      </c>
      <c r="P1790">
        <v>0</v>
      </c>
      <c r="Q1790" t="s">
        <v>28</v>
      </c>
      <c r="R1790" t="s">
        <v>71</v>
      </c>
      <c r="S1790" t="s">
        <v>2602</v>
      </c>
      <c r="T1790" t="s">
        <v>2603</v>
      </c>
    </row>
    <row r="1791" spans="1:20" x14ac:dyDescent="0.25">
      <c r="A1791" t="s">
        <v>4920</v>
      </c>
      <c r="B1791" t="str">
        <f>"3682"</f>
        <v>3682</v>
      </c>
      <c r="C1791" t="str">
        <f>"283783682"</f>
        <v>283783682</v>
      </c>
      <c r="D1791" t="s">
        <v>4921</v>
      </c>
      <c r="E1791" t="s">
        <v>106</v>
      </c>
      <c r="F1791" t="s">
        <v>97</v>
      </c>
      <c r="G1791" s="1">
        <v>29656</v>
      </c>
      <c r="H1791" s="1">
        <v>40925</v>
      </c>
      <c r="I1791" t="str">
        <f t="shared" si="35"/>
        <v>51</v>
      </c>
      <c r="J1791" t="s">
        <v>471</v>
      </c>
      <c r="K1791" t="s">
        <v>25</v>
      </c>
      <c r="L1791" t="s">
        <v>26</v>
      </c>
      <c r="M1791" t="s">
        <v>27</v>
      </c>
      <c r="N1791" s="1">
        <v>18629</v>
      </c>
      <c r="O1791">
        <v>0</v>
      </c>
      <c r="P1791">
        <v>0</v>
      </c>
      <c r="Q1791" t="s">
        <v>28</v>
      </c>
      <c r="R1791" t="s">
        <v>71</v>
      </c>
      <c r="S1791" t="s">
        <v>2634</v>
      </c>
      <c r="T1791" t="s">
        <v>2635</v>
      </c>
    </row>
    <row r="1792" spans="1:20" x14ac:dyDescent="0.25">
      <c r="A1792" t="s">
        <v>4922</v>
      </c>
      <c r="B1792" t="str">
        <f>"4132"</f>
        <v>4132</v>
      </c>
      <c r="C1792" t="str">
        <f>"295464132"</f>
        <v>295464132</v>
      </c>
      <c r="D1792" t="s">
        <v>4923</v>
      </c>
      <c r="E1792" t="s">
        <v>1453</v>
      </c>
      <c r="F1792" t="s">
        <v>264</v>
      </c>
      <c r="G1792" s="1">
        <v>21570</v>
      </c>
      <c r="H1792" s="1">
        <v>40925</v>
      </c>
      <c r="I1792" t="str">
        <f t="shared" si="35"/>
        <v>51</v>
      </c>
      <c r="J1792" t="s">
        <v>471</v>
      </c>
      <c r="K1792" t="s">
        <v>25</v>
      </c>
      <c r="L1792" t="s">
        <v>26</v>
      </c>
      <c r="M1792" t="s">
        <v>27</v>
      </c>
      <c r="N1792" s="1">
        <v>18629</v>
      </c>
      <c r="O1792">
        <v>0</v>
      </c>
      <c r="P1792">
        <v>0</v>
      </c>
      <c r="Q1792" t="s">
        <v>28</v>
      </c>
      <c r="R1792" t="s">
        <v>29</v>
      </c>
      <c r="S1792" t="s">
        <v>3543</v>
      </c>
      <c r="T1792" t="s">
        <v>3544</v>
      </c>
    </row>
    <row r="1793" spans="1:20" x14ac:dyDescent="0.25">
      <c r="A1793" t="s">
        <v>4924</v>
      </c>
      <c r="B1793" t="str">
        <f>"8276"</f>
        <v>8276</v>
      </c>
      <c r="C1793" t="str">
        <f>"283468276"</f>
        <v>283468276</v>
      </c>
      <c r="D1793" t="s">
        <v>4925</v>
      </c>
      <c r="E1793" t="s">
        <v>682</v>
      </c>
      <c r="G1793" s="1">
        <v>17692</v>
      </c>
      <c r="H1793" s="1">
        <v>40925</v>
      </c>
      <c r="I1793" t="str">
        <f t="shared" si="35"/>
        <v>51</v>
      </c>
      <c r="J1793" t="s">
        <v>471</v>
      </c>
      <c r="K1793" t="s">
        <v>25</v>
      </c>
      <c r="L1793" t="s">
        <v>26</v>
      </c>
      <c r="M1793" t="s">
        <v>27</v>
      </c>
      <c r="N1793" s="1">
        <v>18629</v>
      </c>
      <c r="O1793">
        <v>0</v>
      </c>
      <c r="P1793">
        <v>0</v>
      </c>
      <c r="Q1793" t="s">
        <v>37</v>
      </c>
      <c r="R1793" t="s">
        <v>51</v>
      </c>
      <c r="S1793" s="2" t="s">
        <v>1522</v>
      </c>
      <c r="T1793" t="s">
        <v>1523</v>
      </c>
    </row>
    <row r="1794" spans="1:20" x14ac:dyDescent="0.25">
      <c r="A1794" t="s">
        <v>4926</v>
      </c>
      <c r="B1794" t="str">
        <f>"1658"</f>
        <v>1658</v>
      </c>
      <c r="C1794" t="str">
        <f>"223961658"</f>
        <v>223961658</v>
      </c>
      <c r="D1794" t="s">
        <v>4927</v>
      </c>
      <c r="E1794" t="s">
        <v>1589</v>
      </c>
      <c r="F1794" t="s">
        <v>4928</v>
      </c>
      <c r="G1794" s="1">
        <v>25061</v>
      </c>
      <c r="H1794" s="1">
        <v>40925</v>
      </c>
      <c r="I1794" t="str">
        <f t="shared" si="35"/>
        <v>51</v>
      </c>
      <c r="J1794" t="s">
        <v>471</v>
      </c>
      <c r="K1794" t="s">
        <v>25</v>
      </c>
      <c r="L1794" t="s">
        <v>26</v>
      </c>
      <c r="M1794" t="s">
        <v>27</v>
      </c>
      <c r="N1794" s="1">
        <v>18629</v>
      </c>
      <c r="O1794">
        <v>0</v>
      </c>
      <c r="P1794">
        <v>0</v>
      </c>
      <c r="Q1794" t="s">
        <v>37</v>
      </c>
      <c r="R1794" t="s">
        <v>51</v>
      </c>
      <c r="S1794" t="s">
        <v>1585</v>
      </c>
      <c r="T1794" t="s">
        <v>1586</v>
      </c>
    </row>
    <row r="1795" spans="1:20" x14ac:dyDescent="0.25">
      <c r="A1795" t="s">
        <v>4929</v>
      </c>
      <c r="B1795" t="str">
        <f>"8487"</f>
        <v>8487</v>
      </c>
      <c r="C1795" t="str">
        <f>"297708487"</f>
        <v>297708487</v>
      </c>
      <c r="D1795" t="s">
        <v>4930</v>
      </c>
      <c r="E1795" t="s">
        <v>372</v>
      </c>
      <c r="F1795" t="s">
        <v>28</v>
      </c>
      <c r="G1795" s="1">
        <v>26096</v>
      </c>
      <c r="H1795" s="1">
        <v>40925</v>
      </c>
      <c r="I1795" t="str">
        <f t="shared" si="35"/>
        <v>51</v>
      </c>
      <c r="J1795" t="s">
        <v>471</v>
      </c>
      <c r="K1795" t="s">
        <v>25</v>
      </c>
      <c r="L1795" t="s">
        <v>26</v>
      </c>
      <c r="M1795" t="s">
        <v>27</v>
      </c>
      <c r="N1795" s="1">
        <v>18629</v>
      </c>
      <c r="O1795">
        <v>0</v>
      </c>
      <c r="P1795">
        <v>0</v>
      </c>
      <c r="Q1795" t="s">
        <v>37</v>
      </c>
      <c r="R1795" t="s">
        <v>29</v>
      </c>
      <c r="S1795" t="s">
        <v>138</v>
      </c>
      <c r="T1795" t="s">
        <v>139</v>
      </c>
    </row>
    <row r="1796" spans="1:20" x14ac:dyDescent="0.25">
      <c r="A1796" t="s">
        <v>4931</v>
      </c>
      <c r="B1796" t="str">
        <f>"4829"</f>
        <v>4829</v>
      </c>
      <c r="C1796" t="str">
        <f>"289884829"</f>
        <v>289884829</v>
      </c>
      <c r="D1796" t="s">
        <v>4932</v>
      </c>
      <c r="E1796" t="s">
        <v>822</v>
      </c>
      <c r="F1796" t="s">
        <v>165</v>
      </c>
      <c r="G1796" s="1">
        <v>29626</v>
      </c>
      <c r="H1796" s="1">
        <v>40925</v>
      </c>
      <c r="I1796" t="str">
        <f t="shared" si="35"/>
        <v>51</v>
      </c>
      <c r="J1796" t="s">
        <v>471</v>
      </c>
      <c r="K1796" t="s">
        <v>25</v>
      </c>
      <c r="L1796" t="s">
        <v>26</v>
      </c>
      <c r="M1796" t="s">
        <v>27</v>
      </c>
      <c r="N1796" s="1">
        <v>18629</v>
      </c>
      <c r="O1796">
        <v>0</v>
      </c>
      <c r="P1796">
        <v>0</v>
      </c>
      <c r="Q1796" t="s">
        <v>37</v>
      </c>
      <c r="R1796" t="s">
        <v>29</v>
      </c>
      <c r="S1796" t="s">
        <v>138</v>
      </c>
      <c r="T1796" t="s">
        <v>139</v>
      </c>
    </row>
    <row r="1797" spans="1:20" x14ac:dyDescent="0.25">
      <c r="A1797" t="s">
        <v>4933</v>
      </c>
      <c r="B1797" t="str">
        <f>"3074"</f>
        <v>3074</v>
      </c>
      <c r="C1797" t="str">
        <f>"298423074"</f>
        <v>298423074</v>
      </c>
      <c r="D1797" t="s">
        <v>4934</v>
      </c>
      <c r="E1797" t="s">
        <v>4935</v>
      </c>
      <c r="G1797" s="1">
        <v>19104</v>
      </c>
      <c r="H1797" s="1">
        <v>40925</v>
      </c>
      <c r="I1797" t="str">
        <f t="shared" si="35"/>
        <v>51</v>
      </c>
      <c r="J1797" t="s">
        <v>471</v>
      </c>
      <c r="K1797" t="s">
        <v>25</v>
      </c>
      <c r="L1797" t="s">
        <v>26</v>
      </c>
      <c r="M1797" t="s">
        <v>27</v>
      </c>
      <c r="N1797" s="1">
        <v>18629</v>
      </c>
      <c r="O1797">
        <v>0</v>
      </c>
      <c r="P1797">
        <v>0</v>
      </c>
      <c r="Q1797" t="s">
        <v>37</v>
      </c>
      <c r="R1797" t="s">
        <v>71</v>
      </c>
      <c r="S1797" t="s">
        <v>1547</v>
      </c>
      <c r="T1797" t="s">
        <v>1548</v>
      </c>
    </row>
    <row r="1798" spans="1:20" x14ac:dyDescent="0.25">
      <c r="A1798" t="s">
        <v>4936</v>
      </c>
      <c r="B1798" t="str">
        <f>"2298"</f>
        <v>2298</v>
      </c>
      <c r="C1798" t="str">
        <f>"280722298"</f>
        <v>280722298</v>
      </c>
      <c r="D1798" t="s">
        <v>4937</v>
      </c>
      <c r="E1798" t="s">
        <v>1088</v>
      </c>
      <c r="F1798" t="s">
        <v>619</v>
      </c>
      <c r="G1798" s="1">
        <v>27533</v>
      </c>
      <c r="H1798" s="1">
        <v>40925</v>
      </c>
      <c r="I1798" t="str">
        <f t="shared" si="35"/>
        <v>51</v>
      </c>
      <c r="J1798" t="s">
        <v>471</v>
      </c>
      <c r="K1798" t="s">
        <v>25</v>
      </c>
      <c r="L1798" t="s">
        <v>26</v>
      </c>
      <c r="M1798" t="s">
        <v>27</v>
      </c>
      <c r="N1798" s="1">
        <v>18629</v>
      </c>
      <c r="O1798">
        <v>0</v>
      </c>
      <c r="P1798">
        <v>0</v>
      </c>
      <c r="Q1798" t="s">
        <v>37</v>
      </c>
      <c r="R1798" t="s">
        <v>51</v>
      </c>
      <c r="S1798" s="2" t="s">
        <v>2393</v>
      </c>
      <c r="T1798" t="s">
        <v>2394</v>
      </c>
    </row>
    <row r="1799" spans="1:20" x14ac:dyDescent="0.25">
      <c r="A1799" t="s">
        <v>4938</v>
      </c>
      <c r="B1799" t="str">
        <f>"6385"</f>
        <v>6385</v>
      </c>
      <c r="C1799" t="str">
        <f>"284746385"</f>
        <v>284746385</v>
      </c>
      <c r="D1799" t="s">
        <v>4939</v>
      </c>
      <c r="E1799" t="s">
        <v>4940</v>
      </c>
      <c r="F1799" t="s">
        <v>264</v>
      </c>
      <c r="G1799" s="1">
        <v>28491</v>
      </c>
      <c r="H1799" s="1">
        <v>40925</v>
      </c>
      <c r="I1799" t="str">
        <f t="shared" si="35"/>
        <v>51</v>
      </c>
      <c r="J1799" t="s">
        <v>471</v>
      </c>
      <c r="K1799" t="s">
        <v>25</v>
      </c>
      <c r="L1799" t="s">
        <v>26</v>
      </c>
      <c r="M1799" t="s">
        <v>27</v>
      </c>
      <c r="N1799" s="1">
        <v>18629</v>
      </c>
      <c r="O1799">
        <v>0</v>
      </c>
      <c r="P1799">
        <v>0</v>
      </c>
      <c r="Q1799" t="s">
        <v>37</v>
      </c>
      <c r="R1799" t="s">
        <v>29</v>
      </c>
      <c r="S1799" t="s">
        <v>138</v>
      </c>
      <c r="T1799" t="s">
        <v>139</v>
      </c>
    </row>
    <row r="1800" spans="1:20" x14ac:dyDescent="0.25">
      <c r="A1800" t="s">
        <v>4941</v>
      </c>
      <c r="B1800" t="str">
        <f>"3274"</f>
        <v>3274</v>
      </c>
      <c r="C1800" t="str">
        <f>"276863274"</f>
        <v>276863274</v>
      </c>
      <c r="D1800" t="s">
        <v>1798</v>
      </c>
      <c r="E1800" t="s">
        <v>214</v>
      </c>
      <c r="F1800" t="s">
        <v>26</v>
      </c>
      <c r="G1800" s="1">
        <v>30157</v>
      </c>
      <c r="H1800" s="1">
        <v>40925</v>
      </c>
      <c r="I1800" t="str">
        <f t="shared" si="35"/>
        <v>51</v>
      </c>
      <c r="J1800" t="s">
        <v>471</v>
      </c>
      <c r="K1800" t="s">
        <v>25</v>
      </c>
      <c r="L1800" t="s">
        <v>26</v>
      </c>
      <c r="M1800" t="s">
        <v>27</v>
      </c>
      <c r="N1800" s="1">
        <v>18629</v>
      </c>
      <c r="O1800">
        <v>0</v>
      </c>
      <c r="P1800">
        <v>0</v>
      </c>
      <c r="Q1800" t="s">
        <v>28</v>
      </c>
      <c r="R1800" t="s">
        <v>29</v>
      </c>
      <c r="S1800" t="s">
        <v>138</v>
      </c>
      <c r="T1800" t="s">
        <v>139</v>
      </c>
    </row>
    <row r="1801" spans="1:20" x14ac:dyDescent="0.25">
      <c r="A1801" t="s">
        <v>4942</v>
      </c>
      <c r="B1801" t="str">
        <f>"0867"</f>
        <v>0867</v>
      </c>
      <c r="C1801" t="str">
        <f>"292820867"</f>
        <v>292820867</v>
      </c>
      <c r="D1801" t="s">
        <v>1798</v>
      </c>
      <c r="E1801" t="s">
        <v>518</v>
      </c>
      <c r="F1801" t="s">
        <v>28</v>
      </c>
      <c r="G1801" s="1">
        <v>30845</v>
      </c>
      <c r="H1801" s="1">
        <v>40925</v>
      </c>
      <c r="I1801" t="str">
        <f t="shared" si="35"/>
        <v>51</v>
      </c>
      <c r="J1801" t="s">
        <v>471</v>
      </c>
      <c r="K1801" t="s">
        <v>25</v>
      </c>
      <c r="L1801" t="s">
        <v>26</v>
      </c>
      <c r="M1801" t="s">
        <v>27</v>
      </c>
      <c r="N1801" s="1">
        <v>18629</v>
      </c>
      <c r="O1801">
        <v>0</v>
      </c>
      <c r="P1801">
        <v>0</v>
      </c>
      <c r="Q1801" t="s">
        <v>37</v>
      </c>
      <c r="R1801" t="s">
        <v>29</v>
      </c>
      <c r="S1801" t="s">
        <v>138</v>
      </c>
      <c r="T1801" t="s">
        <v>139</v>
      </c>
    </row>
    <row r="1802" spans="1:20" x14ac:dyDescent="0.25">
      <c r="A1802" t="s">
        <v>4943</v>
      </c>
      <c r="B1802" t="str">
        <f>"8013"</f>
        <v>8013</v>
      </c>
      <c r="C1802" t="str">
        <f>"298488013"</f>
        <v>298488013</v>
      </c>
      <c r="D1802" t="s">
        <v>663</v>
      </c>
      <c r="E1802" t="s">
        <v>1426</v>
      </c>
      <c r="F1802" t="s">
        <v>264</v>
      </c>
      <c r="G1802" s="1">
        <v>18687</v>
      </c>
      <c r="H1802" s="1">
        <v>40925</v>
      </c>
      <c r="I1802" t="str">
        <f t="shared" si="35"/>
        <v>51</v>
      </c>
      <c r="J1802" t="s">
        <v>471</v>
      </c>
      <c r="K1802" t="s">
        <v>25</v>
      </c>
      <c r="L1802" t="s">
        <v>26</v>
      </c>
      <c r="M1802" t="s">
        <v>27</v>
      </c>
      <c r="N1802" s="1">
        <v>18629</v>
      </c>
      <c r="O1802">
        <v>0</v>
      </c>
      <c r="P1802">
        <v>0</v>
      </c>
      <c r="Q1802" t="s">
        <v>37</v>
      </c>
      <c r="R1802" t="s">
        <v>29</v>
      </c>
      <c r="S1802" t="s">
        <v>138</v>
      </c>
      <c r="T1802" t="s">
        <v>139</v>
      </c>
    </row>
    <row r="1803" spans="1:20" x14ac:dyDescent="0.25">
      <c r="A1803" t="s">
        <v>4944</v>
      </c>
      <c r="B1803" t="str">
        <f>"3115"</f>
        <v>3115</v>
      </c>
      <c r="C1803" t="str">
        <f>"232863115"</f>
        <v>232863115</v>
      </c>
      <c r="D1803" t="s">
        <v>1333</v>
      </c>
      <c r="E1803" t="s">
        <v>822</v>
      </c>
      <c r="F1803" t="s">
        <v>219</v>
      </c>
      <c r="G1803" s="1">
        <v>18902</v>
      </c>
      <c r="H1803" s="1">
        <v>40925</v>
      </c>
      <c r="I1803" t="str">
        <f>"33"</f>
        <v>33</v>
      </c>
      <c r="J1803" t="s">
        <v>45</v>
      </c>
      <c r="K1803" t="s">
        <v>25</v>
      </c>
      <c r="L1803" t="s">
        <v>26</v>
      </c>
      <c r="M1803" t="s">
        <v>27</v>
      </c>
      <c r="N1803" s="1">
        <v>18629</v>
      </c>
      <c r="O1803">
        <v>0</v>
      </c>
      <c r="P1803">
        <v>0</v>
      </c>
      <c r="Q1803" t="s">
        <v>37</v>
      </c>
      <c r="R1803" t="s">
        <v>51</v>
      </c>
      <c r="S1803" s="2" t="s">
        <v>1568</v>
      </c>
      <c r="T1803" t="s">
        <v>1569</v>
      </c>
    </row>
    <row r="1804" spans="1:20" x14ac:dyDescent="0.25">
      <c r="A1804" t="s">
        <v>4945</v>
      </c>
      <c r="B1804" t="str">
        <f>"6214"</f>
        <v>6214</v>
      </c>
      <c r="C1804" t="str">
        <f>"296806214"</f>
        <v>296806214</v>
      </c>
      <c r="D1804" t="s">
        <v>4946</v>
      </c>
      <c r="E1804" t="s">
        <v>2917</v>
      </c>
      <c r="F1804" t="s">
        <v>358</v>
      </c>
      <c r="G1804" s="1">
        <v>30294</v>
      </c>
      <c r="H1804" s="1">
        <v>40925</v>
      </c>
      <c r="I1804" t="str">
        <f t="shared" ref="I1804:I1810" si="36">"51"</f>
        <v>51</v>
      </c>
      <c r="J1804" t="s">
        <v>471</v>
      </c>
      <c r="K1804" t="s">
        <v>25</v>
      </c>
      <c r="L1804" t="s">
        <v>26</v>
      </c>
      <c r="M1804" t="s">
        <v>27</v>
      </c>
      <c r="N1804" s="1">
        <v>18629</v>
      </c>
      <c r="O1804">
        <v>0</v>
      </c>
      <c r="P1804">
        <v>0</v>
      </c>
      <c r="Q1804" t="s">
        <v>37</v>
      </c>
      <c r="R1804" t="s">
        <v>71</v>
      </c>
      <c r="S1804" t="s">
        <v>808</v>
      </c>
      <c r="T1804" t="s">
        <v>809</v>
      </c>
    </row>
    <row r="1805" spans="1:20" x14ac:dyDescent="0.25">
      <c r="A1805" t="s">
        <v>4947</v>
      </c>
      <c r="B1805" t="str">
        <f>"9515"</f>
        <v>9515</v>
      </c>
      <c r="C1805" t="str">
        <f>"190529515"</f>
        <v>190529515</v>
      </c>
      <c r="D1805" t="s">
        <v>4948</v>
      </c>
      <c r="E1805" t="s">
        <v>4949</v>
      </c>
      <c r="G1805" s="1">
        <v>23488</v>
      </c>
      <c r="H1805" s="1">
        <v>40925</v>
      </c>
      <c r="I1805" t="str">
        <f t="shared" si="36"/>
        <v>51</v>
      </c>
      <c r="J1805" t="s">
        <v>471</v>
      </c>
      <c r="K1805" t="s">
        <v>25</v>
      </c>
      <c r="L1805" t="s">
        <v>26</v>
      </c>
      <c r="M1805" t="s">
        <v>27</v>
      </c>
      <c r="N1805" s="1">
        <v>18629</v>
      </c>
      <c r="O1805">
        <v>0</v>
      </c>
      <c r="P1805">
        <v>0</v>
      </c>
      <c r="Q1805" t="s">
        <v>37</v>
      </c>
      <c r="R1805" t="s">
        <v>51</v>
      </c>
      <c r="S1805" s="2" t="s">
        <v>3730</v>
      </c>
      <c r="T1805" t="s">
        <v>3731</v>
      </c>
    </row>
    <row r="1806" spans="1:20" x14ac:dyDescent="0.25">
      <c r="A1806" t="s">
        <v>4950</v>
      </c>
      <c r="B1806" t="str">
        <f>"2006"</f>
        <v>2006</v>
      </c>
      <c r="C1806" t="str">
        <f>"548652006"</f>
        <v>548652006</v>
      </c>
      <c r="D1806" t="s">
        <v>4951</v>
      </c>
      <c r="E1806" t="s">
        <v>184</v>
      </c>
      <c r="F1806" t="s">
        <v>264</v>
      </c>
      <c r="G1806" s="1">
        <v>23778</v>
      </c>
      <c r="H1806" s="1">
        <v>40925</v>
      </c>
      <c r="I1806" t="str">
        <f t="shared" si="36"/>
        <v>51</v>
      </c>
      <c r="J1806" t="s">
        <v>471</v>
      </c>
      <c r="K1806" t="s">
        <v>25</v>
      </c>
      <c r="L1806" t="s">
        <v>26</v>
      </c>
      <c r="M1806" t="s">
        <v>27</v>
      </c>
      <c r="N1806" s="1">
        <v>18629</v>
      </c>
      <c r="O1806">
        <v>0</v>
      </c>
      <c r="P1806">
        <v>0</v>
      </c>
      <c r="Q1806" t="s">
        <v>37</v>
      </c>
      <c r="R1806" t="s">
        <v>71</v>
      </c>
      <c r="S1806" t="s">
        <v>305</v>
      </c>
      <c r="T1806" t="s">
        <v>306</v>
      </c>
    </row>
    <row r="1807" spans="1:20" x14ac:dyDescent="0.25">
      <c r="A1807" t="s">
        <v>4952</v>
      </c>
      <c r="B1807" t="str">
        <f>"3491"</f>
        <v>3491</v>
      </c>
      <c r="C1807" t="str">
        <f>"423743491"</f>
        <v>423743491</v>
      </c>
      <c r="D1807" t="s">
        <v>4953</v>
      </c>
      <c r="E1807" t="s">
        <v>4954</v>
      </c>
      <c r="F1807" t="s">
        <v>28</v>
      </c>
      <c r="G1807" s="1">
        <v>19316</v>
      </c>
      <c r="H1807" s="1">
        <v>40925</v>
      </c>
      <c r="I1807" t="str">
        <f t="shared" si="36"/>
        <v>51</v>
      </c>
      <c r="J1807" t="s">
        <v>471</v>
      </c>
      <c r="K1807" t="s">
        <v>25</v>
      </c>
      <c r="L1807" t="s">
        <v>26</v>
      </c>
      <c r="M1807" t="s">
        <v>27</v>
      </c>
      <c r="N1807" s="1">
        <v>18629</v>
      </c>
      <c r="O1807">
        <v>0</v>
      </c>
      <c r="P1807">
        <v>0</v>
      </c>
      <c r="Q1807" t="s">
        <v>37</v>
      </c>
      <c r="R1807" t="s">
        <v>71</v>
      </c>
      <c r="S1807" t="s">
        <v>790</v>
      </c>
      <c r="T1807" t="s">
        <v>791</v>
      </c>
    </row>
    <row r="1808" spans="1:20" x14ac:dyDescent="0.25">
      <c r="A1808" t="s">
        <v>4955</v>
      </c>
      <c r="B1808" t="str">
        <f>"7890"</f>
        <v>7890</v>
      </c>
      <c r="C1808" t="str">
        <f>"276667890"</f>
        <v>276667890</v>
      </c>
      <c r="D1808" t="s">
        <v>4956</v>
      </c>
      <c r="E1808" t="s">
        <v>197</v>
      </c>
      <c r="F1808" t="s">
        <v>26</v>
      </c>
      <c r="G1808" s="1">
        <v>21728</v>
      </c>
      <c r="H1808" s="1">
        <v>40925</v>
      </c>
      <c r="I1808" t="str">
        <f t="shared" si="36"/>
        <v>51</v>
      </c>
      <c r="J1808" t="s">
        <v>471</v>
      </c>
      <c r="K1808" t="s">
        <v>25</v>
      </c>
      <c r="L1808" t="s">
        <v>26</v>
      </c>
      <c r="M1808" t="s">
        <v>27</v>
      </c>
      <c r="N1808" s="1">
        <v>18629</v>
      </c>
      <c r="O1808">
        <v>0</v>
      </c>
      <c r="P1808">
        <v>0</v>
      </c>
      <c r="Q1808" t="s">
        <v>28</v>
      </c>
      <c r="R1808" t="s">
        <v>71</v>
      </c>
      <c r="S1808" t="s">
        <v>2634</v>
      </c>
      <c r="T1808" t="s">
        <v>2635</v>
      </c>
    </row>
    <row r="1809" spans="1:20" x14ac:dyDescent="0.25">
      <c r="A1809" t="s">
        <v>4957</v>
      </c>
      <c r="B1809" t="str">
        <f>"2304"</f>
        <v>2304</v>
      </c>
      <c r="C1809" t="str">
        <f>"299662304"</f>
        <v>299662304</v>
      </c>
      <c r="D1809" t="s">
        <v>4958</v>
      </c>
      <c r="E1809" t="s">
        <v>109</v>
      </c>
      <c r="F1809" t="s">
        <v>93</v>
      </c>
      <c r="G1809" s="1">
        <v>23895</v>
      </c>
      <c r="H1809" s="1">
        <v>40925</v>
      </c>
      <c r="I1809" t="str">
        <f t="shared" si="36"/>
        <v>51</v>
      </c>
      <c r="J1809" t="s">
        <v>471</v>
      </c>
      <c r="K1809" t="s">
        <v>25</v>
      </c>
      <c r="L1809" t="s">
        <v>26</v>
      </c>
      <c r="M1809" t="s">
        <v>27</v>
      </c>
      <c r="N1809" s="1">
        <v>18629</v>
      </c>
      <c r="O1809">
        <v>0</v>
      </c>
      <c r="P1809">
        <v>0</v>
      </c>
      <c r="Q1809" t="s">
        <v>37</v>
      </c>
      <c r="R1809" t="s">
        <v>29</v>
      </c>
      <c r="S1809" t="s">
        <v>251</v>
      </c>
      <c r="T1809" t="s">
        <v>252</v>
      </c>
    </row>
    <row r="1810" spans="1:20" x14ac:dyDescent="0.25">
      <c r="A1810" t="s">
        <v>4959</v>
      </c>
      <c r="B1810" t="str">
        <f>"4830"</f>
        <v>4830</v>
      </c>
      <c r="C1810" t="str">
        <f>"282464830"</f>
        <v>282464830</v>
      </c>
      <c r="D1810" t="s">
        <v>4960</v>
      </c>
      <c r="E1810" t="s">
        <v>4961</v>
      </c>
      <c r="F1810" t="s">
        <v>44</v>
      </c>
      <c r="G1810" s="1">
        <v>18770</v>
      </c>
      <c r="H1810" s="1">
        <v>40925</v>
      </c>
      <c r="I1810" t="str">
        <f t="shared" si="36"/>
        <v>51</v>
      </c>
      <c r="J1810" t="s">
        <v>471</v>
      </c>
      <c r="K1810" t="s">
        <v>25</v>
      </c>
      <c r="L1810" t="s">
        <v>26</v>
      </c>
      <c r="M1810" t="s">
        <v>27</v>
      </c>
      <c r="N1810" s="1">
        <v>18629</v>
      </c>
      <c r="O1810">
        <v>0</v>
      </c>
      <c r="P1810">
        <v>0</v>
      </c>
      <c r="Q1810" t="s">
        <v>37</v>
      </c>
      <c r="R1810" t="s">
        <v>29</v>
      </c>
      <c r="S1810" t="s">
        <v>138</v>
      </c>
      <c r="T1810" t="s">
        <v>139</v>
      </c>
    </row>
    <row r="1811" spans="1:20" x14ac:dyDescent="0.25">
      <c r="A1811" t="s">
        <v>4962</v>
      </c>
      <c r="B1811" t="str">
        <f>"8183"</f>
        <v>8183</v>
      </c>
      <c r="C1811" t="str">
        <f>"277528183"</f>
        <v>277528183</v>
      </c>
      <c r="D1811" t="s">
        <v>4963</v>
      </c>
      <c r="E1811" t="s">
        <v>4964</v>
      </c>
      <c r="F1811" t="s">
        <v>219</v>
      </c>
      <c r="G1811" s="1">
        <v>19575</v>
      </c>
      <c r="H1811" s="1">
        <v>40925</v>
      </c>
      <c r="I1811" t="str">
        <f>"41"</f>
        <v>41</v>
      </c>
      <c r="J1811" t="s">
        <v>24</v>
      </c>
      <c r="K1811" t="s">
        <v>25</v>
      </c>
      <c r="L1811" t="s">
        <v>26</v>
      </c>
      <c r="M1811" t="s">
        <v>27</v>
      </c>
      <c r="N1811" s="1">
        <v>18629</v>
      </c>
      <c r="O1811">
        <v>0</v>
      </c>
      <c r="P1811">
        <v>0</v>
      </c>
      <c r="Q1811" t="s">
        <v>37</v>
      </c>
      <c r="R1811" t="s">
        <v>29</v>
      </c>
      <c r="S1811" t="s">
        <v>138</v>
      </c>
      <c r="T1811" t="s">
        <v>139</v>
      </c>
    </row>
    <row r="1812" spans="1:20" x14ac:dyDescent="0.25">
      <c r="A1812" t="s">
        <v>4965</v>
      </c>
      <c r="B1812" t="str">
        <f>"7024"</f>
        <v>7024</v>
      </c>
      <c r="C1812" t="str">
        <f>"047827024"</f>
        <v>047827024</v>
      </c>
      <c r="D1812" t="s">
        <v>4966</v>
      </c>
      <c r="E1812" t="s">
        <v>4967</v>
      </c>
      <c r="G1812" s="1">
        <v>30190</v>
      </c>
      <c r="H1812" s="1">
        <v>40925</v>
      </c>
      <c r="I1812" t="str">
        <f>"51"</f>
        <v>51</v>
      </c>
      <c r="J1812" t="s">
        <v>471</v>
      </c>
      <c r="K1812" t="s">
        <v>25</v>
      </c>
      <c r="L1812" t="s">
        <v>26</v>
      </c>
      <c r="M1812" t="s">
        <v>27</v>
      </c>
      <c r="N1812" s="1">
        <v>18629</v>
      </c>
      <c r="O1812">
        <v>0</v>
      </c>
      <c r="P1812">
        <v>0</v>
      </c>
      <c r="Q1812" t="s">
        <v>37</v>
      </c>
      <c r="R1812" t="s">
        <v>51</v>
      </c>
      <c r="S1812" s="2" t="s">
        <v>1522</v>
      </c>
      <c r="T1812" t="s">
        <v>1523</v>
      </c>
    </row>
    <row r="1813" spans="1:20" x14ac:dyDescent="0.25">
      <c r="A1813" t="s">
        <v>4968</v>
      </c>
      <c r="B1813" t="str">
        <f>"7941"</f>
        <v>7941</v>
      </c>
      <c r="C1813" t="str">
        <f>"293607941"</f>
        <v>293607941</v>
      </c>
      <c r="D1813" t="s">
        <v>4969</v>
      </c>
      <c r="E1813" t="s">
        <v>56</v>
      </c>
      <c r="F1813" t="s">
        <v>165</v>
      </c>
      <c r="G1813" s="1">
        <v>28331</v>
      </c>
      <c r="H1813" s="1">
        <v>40925</v>
      </c>
      <c r="I1813" t="str">
        <f>"51"</f>
        <v>51</v>
      </c>
      <c r="J1813" t="s">
        <v>471</v>
      </c>
      <c r="K1813" t="s">
        <v>25</v>
      </c>
      <c r="L1813" t="s">
        <v>26</v>
      </c>
      <c r="M1813" t="s">
        <v>27</v>
      </c>
      <c r="N1813" s="1">
        <v>18629</v>
      </c>
      <c r="O1813">
        <v>0</v>
      </c>
      <c r="P1813">
        <v>0</v>
      </c>
      <c r="Q1813" t="s">
        <v>28</v>
      </c>
      <c r="R1813" t="s">
        <v>71</v>
      </c>
      <c r="S1813" t="s">
        <v>857</v>
      </c>
      <c r="T1813" t="s">
        <v>858</v>
      </c>
    </row>
    <row r="1814" spans="1:20" x14ac:dyDescent="0.25">
      <c r="A1814" t="s">
        <v>4970</v>
      </c>
      <c r="B1814" t="str">
        <f>"1861"</f>
        <v>1861</v>
      </c>
      <c r="C1814" t="str">
        <f>"546271861"</f>
        <v>546271861</v>
      </c>
      <c r="D1814" t="s">
        <v>1434</v>
      </c>
      <c r="E1814" t="s">
        <v>1981</v>
      </c>
      <c r="G1814" s="1">
        <v>22068</v>
      </c>
      <c r="H1814" s="1">
        <v>40925</v>
      </c>
      <c r="I1814" t="str">
        <f>"51"</f>
        <v>51</v>
      </c>
      <c r="J1814" t="s">
        <v>471</v>
      </c>
      <c r="K1814" t="s">
        <v>25</v>
      </c>
      <c r="L1814" t="s">
        <v>26</v>
      </c>
      <c r="M1814" t="s">
        <v>27</v>
      </c>
      <c r="N1814" s="1">
        <v>18629</v>
      </c>
      <c r="O1814">
        <v>0</v>
      </c>
      <c r="P1814">
        <v>0</v>
      </c>
      <c r="Q1814" t="s">
        <v>37</v>
      </c>
      <c r="R1814" t="s">
        <v>51</v>
      </c>
      <c r="S1814" s="2" t="s">
        <v>2693</v>
      </c>
      <c r="T1814" t="s">
        <v>2694</v>
      </c>
    </row>
    <row r="1815" spans="1:20" x14ac:dyDescent="0.25">
      <c r="A1815" t="s">
        <v>4971</v>
      </c>
      <c r="B1815" t="str">
        <f>"6417"</f>
        <v>6417</v>
      </c>
      <c r="C1815" t="str">
        <f>"117746417"</f>
        <v>117746417</v>
      </c>
      <c r="D1815" t="s">
        <v>1280</v>
      </c>
      <c r="E1815" t="s">
        <v>1711</v>
      </c>
      <c r="F1815" t="s">
        <v>28</v>
      </c>
      <c r="G1815" s="1">
        <v>30543</v>
      </c>
      <c r="H1815" s="1">
        <v>40925</v>
      </c>
      <c r="I1815" t="str">
        <f>"51"</f>
        <v>51</v>
      </c>
      <c r="J1815" t="s">
        <v>471</v>
      </c>
      <c r="K1815" t="s">
        <v>25</v>
      </c>
      <c r="L1815" t="s">
        <v>26</v>
      </c>
      <c r="M1815" t="s">
        <v>27</v>
      </c>
      <c r="N1815" s="1">
        <v>18629</v>
      </c>
      <c r="O1815">
        <v>0</v>
      </c>
      <c r="P1815">
        <v>0</v>
      </c>
      <c r="Q1815" t="s">
        <v>37</v>
      </c>
      <c r="R1815" t="s">
        <v>51</v>
      </c>
      <c r="S1815" s="2" t="s">
        <v>1522</v>
      </c>
      <c r="T1815" t="s">
        <v>1523</v>
      </c>
    </row>
    <row r="1816" spans="1:20" x14ac:dyDescent="0.25">
      <c r="A1816" t="s">
        <v>4972</v>
      </c>
      <c r="B1816" t="str">
        <f>"8714"</f>
        <v>8714</v>
      </c>
      <c r="C1816" t="str">
        <f>"285138714"</f>
        <v>285138714</v>
      </c>
      <c r="D1816" t="s">
        <v>4973</v>
      </c>
      <c r="E1816" t="s">
        <v>4974</v>
      </c>
      <c r="G1816" s="1">
        <v>33774</v>
      </c>
      <c r="H1816" s="1">
        <v>40925</v>
      </c>
      <c r="I1816" t="str">
        <f>"41"</f>
        <v>41</v>
      </c>
      <c r="J1816" t="s">
        <v>24</v>
      </c>
      <c r="K1816" t="s">
        <v>25</v>
      </c>
      <c r="L1816" t="s">
        <v>26</v>
      </c>
      <c r="M1816" t="s">
        <v>27</v>
      </c>
      <c r="N1816" s="1">
        <v>18629</v>
      </c>
      <c r="O1816">
        <v>0</v>
      </c>
      <c r="P1816">
        <v>0</v>
      </c>
      <c r="Q1816" t="s">
        <v>37</v>
      </c>
      <c r="R1816" t="s">
        <v>71</v>
      </c>
      <c r="S1816" t="s">
        <v>505</v>
      </c>
      <c r="T1816" t="s">
        <v>506</v>
      </c>
    </row>
    <row r="1817" spans="1:20" x14ac:dyDescent="0.25">
      <c r="A1817" t="s">
        <v>4975</v>
      </c>
      <c r="B1817" t="str">
        <f>"9105"</f>
        <v>9105</v>
      </c>
      <c r="C1817" t="str">
        <f>"293569105"</f>
        <v>293569105</v>
      </c>
      <c r="D1817" t="s">
        <v>4976</v>
      </c>
      <c r="E1817" t="s">
        <v>2519</v>
      </c>
      <c r="F1817" t="s">
        <v>93</v>
      </c>
      <c r="G1817" s="1">
        <v>20410</v>
      </c>
      <c r="H1817" s="1">
        <v>40925</v>
      </c>
      <c r="I1817" t="str">
        <f t="shared" ref="I1817:I1833" si="37">"51"</f>
        <v>51</v>
      </c>
      <c r="J1817" t="s">
        <v>471</v>
      </c>
      <c r="K1817" t="s">
        <v>25</v>
      </c>
      <c r="L1817" t="s">
        <v>26</v>
      </c>
      <c r="M1817" t="s">
        <v>27</v>
      </c>
      <c r="N1817" s="1">
        <v>18629</v>
      </c>
      <c r="O1817">
        <v>0</v>
      </c>
      <c r="P1817">
        <v>0</v>
      </c>
      <c r="Q1817" t="s">
        <v>37</v>
      </c>
      <c r="R1817" t="s">
        <v>71</v>
      </c>
      <c r="S1817" t="s">
        <v>2190</v>
      </c>
      <c r="T1817" t="s">
        <v>2191</v>
      </c>
    </row>
    <row r="1818" spans="1:20" x14ac:dyDescent="0.25">
      <c r="A1818" t="s">
        <v>4977</v>
      </c>
      <c r="B1818" t="str">
        <f>"4083"</f>
        <v>4083</v>
      </c>
      <c r="C1818" t="str">
        <f>"203404083"</f>
        <v>203404083</v>
      </c>
      <c r="D1818" t="s">
        <v>4978</v>
      </c>
      <c r="E1818" t="s">
        <v>4979</v>
      </c>
      <c r="F1818" t="s">
        <v>219</v>
      </c>
      <c r="G1818" s="1">
        <v>19033</v>
      </c>
      <c r="H1818" s="1">
        <v>40925</v>
      </c>
      <c r="I1818" t="str">
        <f t="shared" si="37"/>
        <v>51</v>
      </c>
      <c r="J1818" t="s">
        <v>471</v>
      </c>
      <c r="K1818" t="s">
        <v>25</v>
      </c>
      <c r="L1818" t="s">
        <v>26</v>
      </c>
      <c r="M1818" t="s">
        <v>27</v>
      </c>
      <c r="N1818" s="1">
        <v>18629</v>
      </c>
      <c r="O1818">
        <v>0</v>
      </c>
      <c r="P1818">
        <v>0</v>
      </c>
      <c r="Q1818" t="s">
        <v>28</v>
      </c>
      <c r="R1818" t="s">
        <v>51</v>
      </c>
      <c r="S1818" s="2" t="s">
        <v>1508</v>
      </c>
      <c r="T1818" t="s">
        <v>1509</v>
      </c>
    </row>
    <row r="1819" spans="1:20" x14ac:dyDescent="0.25">
      <c r="A1819" t="s">
        <v>4980</v>
      </c>
      <c r="B1819" t="str">
        <f>"3912"</f>
        <v>3912</v>
      </c>
      <c r="C1819" t="str">
        <f>"271703912"</f>
        <v>271703912</v>
      </c>
      <c r="D1819" t="s">
        <v>4981</v>
      </c>
      <c r="E1819" t="s">
        <v>4982</v>
      </c>
      <c r="F1819" t="s">
        <v>69</v>
      </c>
      <c r="G1819" s="1">
        <v>27765</v>
      </c>
      <c r="H1819" s="1">
        <v>40925</v>
      </c>
      <c r="I1819" t="str">
        <f t="shared" si="37"/>
        <v>51</v>
      </c>
      <c r="J1819" t="s">
        <v>471</v>
      </c>
      <c r="K1819" t="s">
        <v>25</v>
      </c>
      <c r="L1819" t="s">
        <v>26</v>
      </c>
      <c r="M1819" t="s">
        <v>27</v>
      </c>
      <c r="N1819" s="1">
        <v>18629</v>
      </c>
      <c r="O1819">
        <v>0</v>
      </c>
      <c r="P1819">
        <v>0</v>
      </c>
      <c r="Q1819" t="s">
        <v>37</v>
      </c>
      <c r="R1819" t="s">
        <v>29</v>
      </c>
      <c r="S1819" t="s">
        <v>1454</v>
      </c>
      <c r="T1819" t="s">
        <v>1455</v>
      </c>
    </row>
    <row r="1820" spans="1:20" x14ac:dyDescent="0.25">
      <c r="A1820" t="s">
        <v>4983</v>
      </c>
      <c r="B1820" t="str">
        <f>"2037"</f>
        <v>2037</v>
      </c>
      <c r="C1820" t="str">
        <f>"282782037"</f>
        <v>282782037</v>
      </c>
      <c r="D1820" t="s">
        <v>3913</v>
      </c>
      <c r="E1820" t="s">
        <v>4984</v>
      </c>
      <c r="F1820" t="s">
        <v>165</v>
      </c>
      <c r="G1820" s="1">
        <v>29925</v>
      </c>
      <c r="H1820" s="1">
        <v>40925</v>
      </c>
      <c r="I1820" t="str">
        <f t="shared" si="37"/>
        <v>51</v>
      </c>
      <c r="J1820" t="s">
        <v>471</v>
      </c>
      <c r="K1820" t="s">
        <v>25</v>
      </c>
      <c r="L1820" t="s">
        <v>26</v>
      </c>
      <c r="M1820" t="s">
        <v>27</v>
      </c>
      <c r="N1820" s="1">
        <v>18629</v>
      </c>
      <c r="O1820">
        <v>0</v>
      </c>
      <c r="P1820">
        <v>0</v>
      </c>
      <c r="Q1820" t="s">
        <v>37</v>
      </c>
      <c r="R1820" t="s">
        <v>29</v>
      </c>
      <c r="S1820" t="s">
        <v>138</v>
      </c>
      <c r="T1820" t="s">
        <v>139</v>
      </c>
    </row>
    <row r="1821" spans="1:20" x14ac:dyDescent="0.25">
      <c r="A1821" t="s">
        <v>4985</v>
      </c>
      <c r="B1821" t="str">
        <f>"9367"</f>
        <v>9367</v>
      </c>
      <c r="C1821" t="str">
        <f>"297809367"</f>
        <v>297809367</v>
      </c>
      <c r="D1821" t="s">
        <v>4986</v>
      </c>
      <c r="E1821" t="s">
        <v>4987</v>
      </c>
      <c r="F1821" t="s">
        <v>438</v>
      </c>
      <c r="G1821" s="1">
        <v>28335</v>
      </c>
      <c r="H1821" s="1">
        <v>40925</v>
      </c>
      <c r="I1821" t="str">
        <f t="shared" si="37"/>
        <v>51</v>
      </c>
      <c r="J1821" t="s">
        <v>471</v>
      </c>
      <c r="K1821" t="s">
        <v>25</v>
      </c>
      <c r="L1821" t="s">
        <v>26</v>
      </c>
      <c r="M1821" t="s">
        <v>27</v>
      </c>
      <c r="N1821" s="1">
        <v>18629</v>
      </c>
      <c r="O1821">
        <v>0</v>
      </c>
      <c r="P1821">
        <v>0</v>
      </c>
      <c r="Q1821" t="s">
        <v>37</v>
      </c>
      <c r="R1821" t="s">
        <v>71</v>
      </c>
      <c r="S1821" t="s">
        <v>2634</v>
      </c>
      <c r="T1821" t="s">
        <v>2635</v>
      </c>
    </row>
    <row r="1822" spans="1:20" x14ac:dyDescent="0.25">
      <c r="A1822" t="s">
        <v>4988</v>
      </c>
      <c r="B1822" t="str">
        <f>"4164"</f>
        <v>4164</v>
      </c>
      <c r="C1822" t="str">
        <f>"268564164"</f>
        <v>268564164</v>
      </c>
      <c r="D1822" t="s">
        <v>1969</v>
      </c>
      <c r="E1822" t="s">
        <v>3950</v>
      </c>
      <c r="G1822" s="1">
        <v>20457</v>
      </c>
      <c r="H1822" s="1">
        <v>40925</v>
      </c>
      <c r="I1822" t="str">
        <f t="shared" si="37"/>
        <v>51</v>
      </c>
      <c r="J1822" t="s">
        <v>471</v>
      </c>
      <c r="K1822" t="s">
        <v>25</v>
      </c>
      <c r="L1822" t="s">
        <v>26</v>
      </c>
      <c r="M1822" t="s">
        <v>27</v>
      </c>
      <c r="N1822" s="1">
        <v>18629</v>
      </c>
      <c r="O1822">
        <v>0</v>
      </c>
      <c r="P1822">
        <v>0</v>
      </c>
      <c r="Q1822" t="s">
        <v>37</v>
      </c>
      <c r="R1822" t="s">
        <v>29</v>
      </c>
      <c r="S1822" t="s">
        <v>166</v>
      </c>
      <c r="T1822" t="s">
        <v>167</v>
      </c>
    </row>
    <row r="1823" spans="1:20" x14ac:dyDescent="0.25">
      <c r="A1823" t="s">
        <v>4989</v>
      </c>
      <c r="B1823" t="str">
        <f>"4686"</f>
        <v>4686</v>
      </c>
      <c r="C1823" t="str">
        <f>"295824686"</f>
        <v>295824686</v>
      </c>
      <c r="D1823" t="s">
        <v>4990</v>
      </c>
      <c r="E1823" t="s">
        <v>4991</v>
      </c>
      <c r="G1823" s="1">
        <v>21537</v>
      </c>
      <c r="H1823" s="1">
        <v>40925</v>
      </c>
      <c r="I1823" t="str">
        <f t="shared" si="37"/>
        <v>51</v>
      </c>
      <c r="J1823" t="s">
        <v>471</v>
      </c>
      <c r="K1823" t="s">
        <v>25</v>
      </c>
      <c r="L1823" t="s">
        <v>26</v>
      </c>
      <c r="M1823" t="s">
        <v>27</v>
      </c>
      <c r="N1823" s="1">
        <v>18629</v>
      </c>
      <c r="O1823">
        <v>0</v>
      </c>
      <c r="P1823">
        <v>0</v>
      </c>
      <c r="Q1823" t="s">
        <v>28</v>
      </c>
      <c r="R1823" t="s">
        <v>29</v>
      </c>
      <c r="S1823" t="s">
        <v>138</v>
      </c>
      <c r="T1823" t="s">
        <v>139</v>
      </c>
    </row>
    <row r="1824" spans="1:20" x14ac:dyDescent="0.25">
      <c r="A1824" t="s">
        <v>4992</v>
      </c>
      <c r="B1824" t="str">
        <f>"2208"</f>
        <v>2208</v>
      </c>
      <c r="C1824" t="str">
        <f>"283862208"</f>
        <v>283862208</v>
      </c>
      <c r="D1824" t="s">
        <v>2539</v>
      </c>
      <c r="E1824" t="s">
        <v>1616</v>
      </c>
      <c r="F1824" t="s">
        <v>28</v>
      </c>
      <c r="G1824" s="1">
        <v>26829</v>
      </c>
      <c r="H1824" s="1">
        <v>40925</v>
      </c>
      <c r="I1824" t="str">
        <f t="shared" si="37"/>
        <v>51</v>
      </c>
      <c r="J1824" t="s">
        <v>471</v>
      </c>
      <c r="K1824" t="s">
        <v>25</v>
      </c>
      <c r="L1824" t="s">
        <v>26</v>
      </c>
      <c r="M1824" t="s">
        <v>27</v>
      </c>
      <c r="N1824" s="1">
        <v>18629</v>
      </c>
      <c r="O1824">
        <v>0</v>
      </c>
      <c r="P1824">
        <v>0</v>
      </c>
      <c r="Q1824" t="s">
        <v>37</v>
      </c>
      <c r="R1824" t="s">
        <v>29</v>
      </c>
      <c r="S1824" t="s">
        <v>1454</v>
      </c>
      <c r="T1824" t="s">
        <v>1455</v>
      </c>
    </row>
    <row r="1825" spans="1:20" x14ac:dyDescent="0.25">
      <c r="A1825" t="s">
        <v>4993</v>
      </c>
      <c r="B1825" t="str">
        <f>"2258"</f>
        <v>2258</v>
      </c>
      <c r="C1825" t="str">
        <f>"296762258"</f>
        <v>296762258</v>
      </c>
      <c r="D1825" t="s">
        <v>4994</v>
      </c>
      <c r="E1825" t="s">
        <v>4995</v>
      </c>
      <c r="F1825" t="s">
        <v>264</v>
      </c>
      <c r="G1825" s="1">
        <v>29456</v>
      </c>
      <c r="H1825" s="1">
        <v>40925</v>
      </c>
      <c r="I1825" t="str">
        <f t="shared" si="37"/>
        <v>51</v>
      </c>
      <c r="J1825" t="s">
        <v>471</v>
      </c>
      <c r="K1825" t="s">
        <v>25</v>
      </c>
      <c r="L1825" t="s">
        <v>26</v>
      </c>
      <c r="M1825" t="s">
        <v>27</v>
      </c>
      <c r="N1825" s="1">
        <v>18629</v>
      </c>
      <c r="O1825">
        <v>0</v>
      </c>
      <c r="P1825">
        <v>0</v>
      </c>
      <c r="Q1825" t="s">
        <v>37</v>
      </c>
      <c r="R1825" t="s">
        <v>29</v>
      </c>
      <c r="S1825" t="s">
        <v>138</v>
      </c>
      <c r="T1825" t="s">
        <v>139</v>
      </c>
    </row>
    <row r="1826" spans="1:20" x14ac:dyDescent="0.25">
      <c r="A1826" t="s">
        <v>4996</v>
      </c>
      <c r="B1826" t="str">
        <f>"8067"</f>
        <v>8067</v>
      </c>
      <c r="C1826" t="str">
        <f>"272728067"</f>
        <v>272728067</v>
      </c>
      <c r="D1826" t="s">
        <v>4460</v>
      </c>
      <c r="E1826" t="s">
        <v>619</v>
      </c>
      <c r="F1826" t="s">
        <v>264</v>
      </c>
      <c r="G1826" s="1">
        <v>26541</v>
      </c>
      <c r="H1826" s="1">
        <v>40925</v>
      </c>
      <c r="I1826" t="str">
        <f t="shared" si="37"/>
        <v>51</v>
      </c>
      <c r="J1826" t="s">
        <v>471</v>
      </c>
      <c r="K1826" t="s">
        <v>25</v>
      </c>
      <c r="L1826" t="s">
        <v>26</v>
      </c>
      <c r="M1826" t="s">
        <v>27</v>
      </c>
      <c r="N1826" s="1">
        <v>18629</v>
      </c>
      <c r="O1826">
        <v>0</v>
      </c>
      <c r="P1826">
        <v>0</v>
      </c>
      <c r="Q1826" t="s">
        <v>37</v>
      </c>
      <c r="R1826" t="s">
        <v>29</v>
      </c>
      <c r="S1826" t="s">
        <v>138</v>
      </c>
      <c r="T1826" t="s">
        <v>139</v>
      </c>
    </row>
    <row r="1827" spans="1:20" x14ac:dyDescent="0.25">
      <c r="A1827" t="s">
        <v>4997</v>
      </c>
      <c r="B1827" t="str">
        <f>"4779"</f>
        <v>4779</v>
      </c>
      <c r="C1827" t="str">
        <f>"475804779"</f>
        <v>475804779</v>
      </c>
      <c r="D1827" t="s">
        <v>4998</v>
      </c>
      <c r="E1827" t="s">
        <v>137</v>
      </c>
      <c r="F1827" t="s">
        <v>28</v>
      </c>
      <c r="G1827" s="1">
        <v>24412</v>
      </c>
      <c r="H1827" s="1">
        <v>40925</v>
      </c>
      <c r="I1827" t="str">
        <f t="shared" si="37"/>
        <v>51</v>
      </c>
      <c r="J1827" t="s">
        <v>471</v>
      </c>
      <c r="K1827" t="s">
        <v>25</v>
      </c>
      <c r="L1827" t="s">
        <v>26</v>
      </c>
      <c r="M1827" t="s">
        <v>27</v>
      </c>
      <c r="N1827" s="1">
        <v>18629</v>
      </c>
      <c r="O1827">
        <v>0</v>
      </c>
      <c r="P1827">
        <v>0</v>
      </c>
      <c r="Q1827" t="s">
        <v>37</v>
      </c>
      <c r="R1827" t="s">
        <v>71</v>
      </c>
      <c r="S1827" t="s">
        <v>2406</v>
      </c>
      <c r="T1827" t="s">
        <v>2407</v>
      </c>
    </row>
    <row r="1828" spans="1:20" x14ac:dyDescent="0.25">
      <c r="A1828" t="s">
        <v>4999</v>
      </c>
      <c r="B1828" t="str">
        <f>"0606"</f>
        <v>0606</v>
      </c>
      <c r="C1828" t="str">
        <f>"269900606"</f>
        <v>269900606</v>
      </c>
      <c r="D1828" t="s">
        <v>5000</v>
      </c>
      <c r="E1828" t="s">
        <v>57</v>
      </c>
      <c r="F1828" t="s">
        <v>28</v>
      </c>
      <c r="G1828" s="1">
        <v>31366</v>
      </c>
      <c r="H1828" s="1">
        <v>40925</v>
      </c>
      <c r="I1828" t="str">
        <f t="shared" si="37"/>
        <v>51</v>
      </c>
      <c r="J1828" t="s">
        <v>471</v>
      </c>
      <c r="K1828" t="s">
        <v>25</v>
      </c>
      <c r="L1828" t="s">
        <v>26</v>
      </c>
      <c r="M1828" t="s">
        <v>27</v>
      </c>
      <c r="N1828" s="1">
        <v>18629</v>
      </c>
      <c r="O1828">
        <v>0</v>
      </c>
      <c r="P1828">
        <v>0</v>
      </c>
      <c r="Q1828" t="s">
        <v>28</v>
      </c>
      <c r="R1828" t="s">
        <v>71</v>
      </c>
      <c r="S1828" t="s">
        <v>790</v>
      </c>
      <c r="T1828" t="s">
        <v>791</v>
      </c>
    </row>
    <row r="1829" spans="1:20" x14ac:dyDescent="0.25">
      <c r="A1829" t="s">
        <v>5001</v>
      </c>
      <c r="B1829" t="str">
        <f>"7433"</f>
        <v>7433</v>
      </c>
      <c r="C1829" t="str">
        <f>"286647433"</f>
        <v>286647433</v>
      </c>
      <c r="D1829" t="s">
        <v>5002</v>
      </c>
      <c r="E1829" t="s">
        <v>499</v>
      </c>
      <c r="F1829" t="s">
        <v>28</v>
      </c>
      <c r="G1829" s="1">
        <v>23830</v>
      </c>
      <c r="H1829" s="1">
        <v>40925</v>
      </c>
      <c r="I1829" t="str">
        <f t="shared" si="37"/>
        <v>51</v>
      </c>
      <c r="J1829" t="s">
        <v>471</v>
      </c>
      <c r="K1829" t="s">
        <v>25</v>
      </c>
      <c r="L1829" t="s">
        <v>26</v>
      </c>
      <c r="M1829" t="s">
        <v>27</v>
      </c>
      <c r="N1829" s="1">
        <v>18629</v>
      </c>
      <c r="O1829">
        <v>0</v>
      </c>
      <c r="P1829">
        <v>0</v>
      </c>
      <c r="Q1829" t="s">
        <v>28</v>
      </c>
      <c r="R1829" t="s">
        <v>71</v>
      </c>
      <c r="S1829" t="s">
        <v>770</v>
      </c>
      <c r="T1829" t="s">
        <v>771</v>
      </c>
    </row>
    <row r="1830" spans="1:20" x14ac:dyDescent="0.25">
      <c r="A1830" t="s">
        <v>5003</v>
      </c>
      <c r="B1830" t="str">
        <f>"0863"</f>
        <v>0863</v>
      </c>
      <c r="C1830" t="str">
        <f>"289760863"</f>
        <v>289760863</v>
      </c>
      <c r="D1830" t="s">
        <v>5004</v>
      </c>
      <c r="E1830" t="s">
        <v>122</v>
      </c>
      <c r="F1830" t="s">
        <v>28</v>
      </c>
      <c r="G1830" s="1">
        <v>24686</v>
      </c>
      <c r="H1830" s="1">
        <v>40925</v>
      </c>
      <c r="I1830" t="str">
        <f t="shared" si="37"/>
        <v>51</v>
      </c>
      <c r="J1830" t="s">
        <v>471</v>
      </c>
      <c r="K1830" t="s">
        <v>25</v>
      </c>
      <c r="L1830" t="s">
        <v>26</v>
      </c>
      <c r="M1830" t="s">
        <v>27</v>
      </c>
      <c r="N1830" s="1">
        <v>18629</v>
      </c>
      <c r="O1830">
        <v>0</v>
      </c>
      <c r="P1830">
        <v>0</v>
      </c>
      <c r="Q1830" t="s">
        <v>28</v>
      </c>
      <c r="R1830" t="s">
        <v>51</v>
      </c>
      <c r="S1830" s="2" t="s">
        <v>1568</v>
      </c>
      <c r="T1830" t="s">
        <v>1569</v>
      </c>
    </row>
    <row r="1831" spans="1:20" x14ac:dyDescent="0.25">
      <c r="A1831" t="s">
        <v>5005</v>
      </c>
      <c r="B1831" t="str">
        <f>"8532"</f>
        <v>8532</v>
      </c>
      <c r="C1831" t="str">
        <f>"296688532"</f>
        <v>296688532</v>
      </c>
      <c r="D1831" t="s">
        <v>5006</v>
      </c>
      <c r="E1831" t="s">
        <v>5007</v>
      </c>
      <c r="F1831" t="s">
        <v>5008</v>
      </c>
      <c r="G1831" s="1">
        <v>24754</v>
      </c>
      <c r="H1831" s="1">
        <v>40925</v>
      </c>
      <c r="I1831" t="str">
        <f t="shared" si="37"/>
        <v>51</v>
      </c>
      <c r="J1831" t="s">
        <v>471</v>
      </c>
      <c r="K1831" t="s">
        <v>25</v>
      </c>
      <c r="L1831" t="s">
        <v>26</v>
      </c>
      <c r="M1831" t="s">
        <v>27</v>
      </c>
      <c r="N1831" s="1">
        <v>18629</v>
      </c>
      <c r="O1831">
        <v>0</v>
      </c>
      <c r="P1831">
        <v>0</v>
      </c>
      <c r="Q1831" t="s">
        <v>37</v>
      </c>
      <c r="R1831" t="s">
        <v>29</v>
      </c>
      <c r="S1831" t="s">
        <v>138</v>
      </c>
      <c r="T1831" t="s">
        <v>139</v>
      </c>
    </row>
    <row r="1832" spans="1:20" x14ac:dyDescent="0.25">
      <c r="A1832" t="s">
        <v>5009</v>
      </c>
      <c r="B1832" t="str">
        <f>"1377"</f>
        <v>1377</v>
      </c>
      <c r="C1832" t="str">
        <f>"282481377"</f>
        <v>282481377</v>
      </c>
      <c r="D1832" t="s">
        <v>5010</v>
      </c>
      <c r="E1832" t="s">
        <v>1071</v>
      </c>
      <c r="F1832" t="s">
        <v>37</v>
      </c>
      <c r="G1832" s="1">
        <v>19577</v>
      </c>
      <c r="H1832" s="1">
        <v>40925</v>
      </c>
      <c r="I1832" t="str">
        <f t="shared" si="37"/>
        <v>51</v>
      </c>
      <c r="J1832" t="s">
        <v>471</v>
      </c>
      <c r="K1832" t="s">
        <v>25</v>
      </c>
      <c r="L1832" t="s">
        <v>26</v>
      </c>
      <c r="M1832" t="s">
        <v>27</v>
      </c>
      <c r="N1832" s="1">
        <v>18629</v>
      </c>
      <c r="O1832">
        <v>0</v>
      </c>
      <c r="P1832">
        <v>0</v>
      </c>
      <c r="Q1832" t="s">
        <v>37</v>
      </c>
      <c r="R1832" t="s">
        <v>29</v>
      </c>
      <c r="S1832" t="s">
        <v>2732</v>
      </c>
      <c r="T1832" t="s">
        <v>2733</v>
      </c>
    </row>
    <row r="1833" spans="1:20" x14ac:dyDescent="0.25">
      <c r="A1833" t="s">
        <v>5011</v>
      </c>
      <c r="B1833" t="str">
        <f>"9151"</f>
        <v>9151</v>
      </c>
      <c r="C1833" t="str">
        <f>"283669151"</f>
        <v>283669151</v>
      </c>
      <c r="D1833" t="s">
        <v>5012</v>
      </c>
      <c r="E1833" t="s">
        <v>3412</v>
      </c>
      <c r="F1833" t="s">
        <v>37</v>
      </c>
      <c r="G1833" s="1">
        <v>22899</v>
      </c>
      <c r="H1833" s="1">
        <v>40925</v>
      </c>
      <c r="I1833" t="str">
        <f t="shared" si="37"/>
        <v>51</v>
      </c>
      <c r="J1833" t="s">
        <v>471</v>
      </c>
      <c r="K1833" t="s">
        <v>25</v>
      </c>
      <c r="L1833" t="s">
        <v>26</v>
      </c>
      <c r="M1833" t="s">
        <v>27</v>
      </c>
      <c r="N1833" s="1">
        <v>18629</v>
      </c>
      <c r="O1833">
        <v>0</v>
      </c>
      <c r="P1833">
        <v>0</v>
      </c>
      <c r="Q1833" t="s">
        <v>28</v>
      </c>
      <c r="R1833" t="s">
        <v>29</v>
      </c>
      <c r="S1833" t="s">
        <v>1677</v>
      </c>
      <c r="T1833" t="s">
        <v>1678</v>
      </c>
    </row>
    <row r="1834" spans="1:20" x14ac:dyDescent="0.25">
      <c r="A1834" t="s">
        <v>5013</v>
      </c>
      <c r="B1834" t="str">
        <f>"7670"</f>
        <v>7670</v>
      </c>
      <c r="C1834" t="str">
        <f>"278547670"</f>
        <v>278547670</v>
      </c>
      <c r="D1834" t="s">
        <v>5014</v>
      </c>
      <c r="E1834" t="s">
        <v>969</v>
      </c>
      <c r="F1834" t="s">
        <v>438</v>
      </c>
      <c r="G1834" s="1">
        <v>22929</v>
      </c>
      <c r="H1834" s="1">
        <v>40925</v>
      </c>
      <c r="I1834" t="str">
        <f>"03"</f>
        <v>03</v>
      </c>
      <c r="J1834" t="s">
        <v>70</v>
      </c>
      <c r="K1834" t="s">
        <v>510</v>
      </c>
      <c r="L1834" t="s">
        <v>37</v>
      </c>
      <c r="M1834" t="s">
        <v>117</v>
      </c>
      <c r="N1834" s="1">
        <v>41617</v>
      </c>
      <c r="O1834">
        <v>6477.12</v>
      </c>
      <c r="P1834">
        <v>1619.28</v>
      </c>
      <c r="Q1834" t="s">
        <v>37</v>
      </c>
      <c r="R1834" t="s">
        <v>29</v>
      </c>
      <c r="S1834" t="s">
        <v>138</v>
      </c>
      <c r="T1834" t="s">
        <v>139</v>
      </c>
    </row>
    <row r="1835" spans="1:20" x14ac:dyDescent="0.25">
      <c r="A1835" t="s">
        <v>5015</v>
      </c>
      <c r="B1835" t="str">
        <f>"4711"</f>
        <v>4711</v>
      </c>
      <c r="C1835" t="str">
        <f>"023524711"</f>
        <v>023524711</v>
      </c>
      <c r="D1835" t="s">
        <v>5016</v>
      </c>
      <c r="E1835" t="s">
        <v>1031</v>
      </c>
      <c r="F1835" t="s">
        <v>69</v>
      </c>
      <c r="G1835" s="1">
        <v>22033</v>
      </c>
      <c r="H1835" s="1">
        <v>40925</v>
      </c>
      <c r="I1835" t="str">
        <f>"51"</f>
        <v>51</v>
      </c>
      <c r="J1835" t="s">
        <v>471</v>
      </c>
      <c r="K1835" t="s">
        <v>25</v>
      </c>
      <c r="L1835" t="s">
        <v>26</v>
      </c>
      <c r="M1835" t="s">
        <v>27</v>
      </c>
      <c r="N1835" s="1">
        <v>18629</v>
      </c>
      <c r="O1835">
        <v>0</v>
      </c>
      <c r="P1835">
        <v>0</v>
      </c>
      <c r="Q1835" t="s">
        <v>28</v>
      </c>
      <c r="R1835" t="s">
        <v>29</v>
      </c>
      <c r="S1835" t="s">
        <v>138</v>
      </c>
      <c r="T1835" t="s">
        <v>139</v>
      </c>
    </row>
    <row r="1836" spans="1:20" x14ac:dyDescent="0.25">
      <c r="A1836" t="s">
        <v>5017</v>
      </c>
      <c r="B1836" t="str">
        <f>"1508"</f>
        <v>1508</v>
      </c>
      <c r="C1836" t="str">
        <f>"281881508"</f>
        <v>281881508</v>
      </c>
      <c r="D1836" t="s">
        <v>462</v>
      </c>
      <c r="E1836" t="s">
        <v>4839</v>
      </c>
      <c r="F1836" t="s">
        <v>69</v>
      </c>
      <c r="G1836" s="1">
        <v>28321</v>
      </c>
      <c r="H1836" s="1">
        <v>40925</v>
      </c>
      <c r="I1836" t="str">
        <f>"51"</f>
        <v>51</v>
      </c>
      <c r="J1836" t="s">
        <v>471</v>
      </c>
      <c r="K1836" t="s">
        <v>25</v>
      </c>
      <c r="L1836" t="s">
        <v>26</v>
      </c>
      <c r="M1836" t="s">
        <v>27</v>
      </c>
      <c r="N1836" s="1">
        <v>18629</v>
      </c>
      <c r="O1836">
        <v>0</v>
      </c>
      <c r="P1836">
        <v>0</v>
      </c>
      <c r="Q1836" t="s">
        <v>37</v>
      </c>
      <c r="R1836" t="s">
        <v>71</v>
      </c>
      <c r="S1836" s="2" t="s">
        <v>1656</v>
      </c>
      <c r="T1836" t="s">
        <v>1657</v>
      </c>
    </row>
    <row r="1837" spans="1:20" x14ac:dyDescent="0.25">
      <c r="A1837" t="s">
        <v>5018</v>
      </c>
      <c r="B1837" t="str">
        <f>"8193"</f>
        <v>8193</v>
      </c>
      <c r="C1837" t="str">
        <f>"432218193"</f>
        <v>432218193</v>
      </c>
      <c r="D1837" t="s">
        <v>4863</v>
      </c>
      <c r="E1837" t="s">
        <v>5019</v>
      </c>
      <c r="F1837" t="s">
        <v>93</v>
      </c>
      <c r="G1837" s="1">
        <v>21432</v>
      </c>
      <c r="H1837" s="1">
        <v>40925</v>
      </c>
      <c r="I1837" t="str">
        <f>"51"</f>
        <v>51</v>
      </c>
      <c r="J1837" t="s">
        <v>471</v>
      </c>
      <c r="K1837" t="s">
        <v>25</v>
      </c>
      <c r="L1837" t="s">
        <v>26</v>
      </c>
      <c r="M1837" t="s">
        <v>27</v>
      </c>
      <c r="N1837" s="1">
        <v>18629</v>
      </c>
      <c r="O1837">
        <v>0</v>
      </c>
      <c r="P1837">
        <v>0</v>
      </c>
      <c r="Q1837" t="s">
        <v>37</v>
      </c>
      <c r="R1837" t="s">
        <v>29</v>
      </c>
      <c r="S1837" t="s">
        <v>138</v>
      </c>
      <c r="T1837" t="s">
        <v>139</v>
      </c>
    </row>
    <row r="1838" spans="1:20" x14ac:dyDescent="0.25">
      <c r="A1838" t="s">
        <v>5020</v>
      </c>
      <c r="B1838" t="str">
        <f>"6158"</f>
        <v>6158</v>
      </c>
      <c r="C1838" t="str">
        <f>"277466158"</f>
        <v>277466158</v>
      </c>
      <c r="D1838" t="s">
        <v>5021</v>
      </c>
      <c r="E1838" t="s">
        <v>2385</v>
      </c>
      <c r="F1838" t="s">
        <v>414</v>
      </c>
      <c r="G1838" s="1">
        <v>17458</v>
      </c>
      <c r="H1838" s="1">
        <v>40925</v>
      </c>
      <c r="I1838" t="str">
        <f>"51"</f>
        <v>51</v>
      </c>
      <c r="J1838" t="s">
        <v>471</v>
      </c>
      <c r="K1838" t="s">
        <v>25</v>
      </c>
      <c r="L1838" t="s">
        <v>26</v>
      </c>
      <c r="M1838" t="s">
        <v>27</v>
      </c>
      <c r="N1838" s="1">
        <v>18629</v>
      </c>
      <c r="O1838">
        <v>0</v>
      </c>
      <c r="P1838">
        <v>0</v>
      </c>
      <c r="Q1838" t="s">
        <v>37</v>
      </c>
      <c r="R1838" t="s">
        <v>71</v>
      </c>
      <c r="S1838" t="s">
        <v>5022</v>
      </c>
      <c r="T1838" t="s">
        <v>5023</v>
      </c>
    </row>
    <row r="1839" spans="1:20" x14ac:dyDescent="0.25">
      <c r="A1839" t="s">
        <v>5024</v>
      </c>
      <c r="B1839" t="str">
        <f>"4166"</f>
        <v>4166</v>
      </c>
      <c r="C1839" t="str">
        <f>"594444166"</f>
        <v>594444166</v>
      </c>
      <c r="D1839" t="s">
        <v>5025</v>
      </c>
      <c r="E1839" t="s">
        <v>5026</v>
      </c>
      <c r="F1839" t="s">
        <v>438</v>
      </c>
      <c r="G1839" s="1">
        <v>24068</v>
      </c>
      <c r="H1839" s="1">
        <v>40925</v>
      </c>
      <c r="I1839" t="str">
        <f>"52"</f>
        <v>52</v>
      </c>
      <c r="J1839" t="s">
        <v>330</v>
      </c>
      <c r="K1839" t="s">
        <v>25</v>
      </c>
      <c r="L1839" t="s">
        <v>26</v>
      </c>
      <c r="M1839" t="s">
        <v>27</v>
      </c>
      <c r="N1839" s="1">
        <v>18629</v>
      </c>
      <c r="O1839">
        <v>0</v>
      </c>
      <c r="P1839">
        <v>0</v>
      </c>
      <c r="Q1839" t="s">
        <v>37</v>
      </c>
      <c r="R1839" t="s">
        <v>71</v>
      </c>
      <c r="S1839" t="s">
        <v>4000</v>
      </c>
      <c r="T1839" t="s">
        <v>4001</v>
      </c>
    </row>
    <row r="1840" spans="1:20" x14ac:dyDescent="0.25">
      <c r="A1840" t="s">
        <v>5027</v>
      </c>
      <c r="B1840" t="str">
        <f>"7903"</f>
        <v>7903</v>
      </c>
      <c r="C1840" t="str">
        <f>"275787903"</f>
        <v>275787903</v>
      </c>
      <c r="D1840" t="s">
        <v>5028</v>
      </c>
      <c r="E1840" t="s">
        <v>1740</v>
      </c>
      <c r="F1840" t="s">
        <v>219</v>
      </c>
      <c r="G1840" s="1">
        <v>29833</v>
      </c>
      <c r="H1840" s="1">
        <v>40925</v>
      </c>
      <c r="I1840" t="str">
        <f t="shared" ref="I1840:I1855" si="38">"51"</f>
        <v>51</v>
      </c>
      <c r="J1840" t="s">
        <v>471</v>
      </c>
      <c r="K1840" t="s">
        <v>25</v>
      </c>
      <c r="L1840" t="s">
        <v>26</v>
      </c>
      <c r="M1840" t="s">
        <v>27</v>
      </c>
      <c r="N1840" s="1">
        <v>18629</v>
      </c>
      <c r="O1840">
        <v>0</v>
      </c>
      <c r="P1840">
        <v>0</v>
      </c>
      <c r="Q1840" t="s">
        <v>37</v>
      </c>
      <c r="R1840" t="s">
        <v>71</v>
      </c>
      <c r="S1840" t="s">
        <v>2406</v>
      </c>
      <c r="T1840" t="s">
        <v>2407</v>
      </c>
    </row>
    <row r="1841" spans="1:20" x14ac:dyDescent="0.25">
      <c r="A1841" t="s">
        <v>5029</v>
      </c>
      <c r="B1841" t="str">
        <f>"6441"</f>
        <v>6441</v>
      </c>
      <c r="C1841" t="str">
        <f>"288866441"</f>
        <v>288866441</v>
      </c>
      <c r="D1841" t="s">
        <v>5030</v>
      </c>
      <c r="E1841" t="s">
        <v>1292</v>
      </c>
      <c r="F1841" t="s">
        <v>28</v>
      </c>
      <c r="G1841" s="1">
        <v>28521</v>
      </c>
      <c r="H1841" s="1">
        <v>40925</v>
      </c>
      <c r="I1841" t="str">
        <f t="shared" si="38"/>
        <v>51</v>
      </c>
      <c r="J1841" t="s">
        <v>471</v>
      </c>
      <c r="K1841" t="s">
        <v>25</v>
      </c>
      <c r="L1841" t="s">
        <v>26</v>
      </c>
      <c r="M1841" t="s">
        <v>27</v>
      </c>
      <c r="N1841" s="1">
        <v>18629</v>
      </c>
      <c r="O1841">
        <v>0</v>
      </c>
      <c r="P1841">
        <v>0</v>
      </c>
      <c r="Q1841" t="s">
        <v>28</v>
      </c>
      <c r="R1841" t="s">
        <v>29</v>
      </c>
      <c r="S1841" t="s">
        <v>2355</v>
      </c>
      <c r="T1841" t="s">
        <v>2356</v>
      </c>
    </row>
    <row r="1842" spans="1:20" x14ac:dyDescent="0.25">
      <c r="A1842" t="s">
        <v>5031</v>
      </c>
      <c r="B1842" t="str">
        <f>"8658"</f>
        <v>8658</v>
      </c>
      <c r="C1842" t="str">
        <f>"329728658"</f>
        <v>329728658</v>
      </c>
      <c r="D1842" t="s">
        <v>5032</v>
      </c>
      <c r="E1842" t="s">
        <v>5033</v>
      </c>
      <c r="F1842" t="s">
        <v>44</v>
      </c>
      <c r="G1842" s="1">
        <v>29610</v>
      </c>
      <c r="H1842" s="1">
        <v>40925</v>
      </c>
      <c r="I1842" t="str">
        <f t="shared" si="38"/>
        <v>51</v>
      </c>
      <c r="J1842" t="s">
        <v>471</v>
      </c>
      <c r="K1842" t="s">
        <v>25</v>
      </c>
      <c r="L1842" t="s">
        <v>26</v>
      </c>
      <c r="M1842" t="s">
        <v>27</v>
      </c>
      <c r="N1842" s="1">
        <v>18629</v>
      </c>
      <c r="O1842">
        <v>0</v>
      </c>
      <c r="P1842">
        <v>0</v>
      </c>
      <c r="Q1842" t="s">
        <v>37</v>
      </c>
      <c r="R1842" t="s">
        <v>71</v>
      </c>
      <c r="S1842" t="s">
        <v>2190</v>
      </c>
      <c r="T1842" t="s">
        <v>2191</v>
      </c>
    </row>
    <row r="1843" spans="1:20" x14ac:dyDescent="0.25">
      <c r="A1843" t="s">
        <v>5034</v>
      </c>
      <c r="B1843" t="str">
        <f>"9955"</f>
        <v>9955</v>
      </c>
      <c r="C1843" t="str">
        <f>"272569955"</f>
        <v>272569955</v>
      </c>
      <c r="D1843" t="s">
        <v>5035</v>
      </c>
      <c r="E1843" t="s">
        <v>197</v>
      </c>
      <c r="F1843" t="s">
        <v>556</v>
      </c>
      <c r="G1843" s="1">
        <v>19618</v>
      </c>
      <c r="H1843" s="1">
        <v>40925</v>
      </c>
      <c r="I1843" t="str">
        <f t="shared" si="38"/>
        <v>51</v>
      </c>
      <c r="J1843" t="s">
        <v>471</v>
      </c>
      <c r="K1843" t="s">
        <v>25</v>
      </c>
      <c r="L1843" t="s">
        <v>26</v>
      </c>
      <c r="M1843" t="s">
        <v>27</v>
      </c>
      <c r="N1843" s="1">
        <v>18629</v>
      </c>
      <c r="O1843">
        <v>0</v>
      </c>
      <c r="P1843">
        <v>0</v>
      </c>
      <c r="Q1843" t="s">
        <v>28</v>
      </c>
      <c r="R1843" t="s">
        <v>29</v>
      </c>
      <c r="S1843" t="s">
        <v>3543</v>
      </c>
      <c r="T1843" t="s">
        <v>3544</v>
      </c>
    </row>
    <row r="1844" spans="1:20" x14ac:dyDescent="0.25">
      <c r="A1844" t="s">
        <v>5036</v>
      </c>
      <c r="B1844" t="str">
        <f>"7214"</f>
        <v>7214</v>
      </c>
      <c r="C1844" t="str">
        <f>"222287214"</f>
        <v>222287214</v>
      </c>
      <c r="D1844" t="s">
        <v>3385</v>
      </c>
      <c r="E1844" t="s">
        <v>122</v>
      </c>
      <c r="F1844" t="s">
        <v>556</v>
      </c>
      <c r="G1844" s="1">
        <v>16541</v>
      </c>
      <c r="H1844" s="1">
        <v>40925</v>
      </c>
      <c r="I1844" t="str">
        <f t="shared" si="38"/>
        <v>51</v>
      </c>
      <c r="J1844" t="s">
        <v>471</v>
      </c>
      <c r="K1844" t="s">
        <v>25</v>
      </c>
      <c r="L1844" t="s">
        <v>26</v>
      </c>
      <c r="M1844" t="s">
        <v>27</v>
      </c>
      <c r="N1844" s="1">
        <v>18629</v>
      </c>
      <c r="O1844">
        <v>0</v>
      </c>
      <c r="P1844">
        <v>0</v>
      </c>
      <c r="Q1844" t="s">
        <v>28</v>
      </c>
      <c r="R1844" t="s">
        <v>29</v>
      </c>
      <c r="S1844" t="s">
        <v>765</v>
      </c>
      <c r="T1844" t="s">
        <v>766</v>
      </c>
    </row>
    <row r="1845" spans="1:20" x14ac:dyDescent="0.25">
      <c r="A1845" t="s">
        <v>5037</v>
      </c>
      <c r="B1845" t="str">
        <f>"8830"</f>
        <v>8830</v>
      </c>
      <c r="C1845" t="str">
        <f>"187708830"</f>
        <v>187708830</v>
      </c>
      <c r="D1845" t="s">
        <v>5038</v>
      </c>
      <c r="E1845" t="s">
        <v>969</v>
      </c>
      <c r="F1845" t="s">
        <v>93</v>
      </c>
      <c r="G1845" s="1">
        <v>30988</v>
      </c>
      <c r="H1845" s="1">
        <v>40925</v>
      </c>
      <c r="I1845" t="str">
        <f t="shared" si="38"/>
        <v>51</v>
      </c>
      <c r="J1845" t="s">
        <v>471</v>
      </c>
      <c r="K1845" t="s">
        <v>25</v>
      </c>
      <c r="L1845" t="s">
        <v>26</v>
      </c>
      <c r="M1845" t="s">
        <v>27</v>
      </c>
      <c r="N1845" s="1">
        <v>18629</v>
      </c>
      <c r="O1845">
        <v>0</v>
      </c>
      <c r="P1845">
        <v>0</v>
      </c>
      <c r="Q1845" t="s">
        <v>37</v>
      </c>
      <c r="R1845" t="s">
        <v>29</v>
      </c>
      <c r="S1845" t="s">
        <v>138</v>
      </c>
      <c r="T1845" t="s">
        <v>139</v>
      </c>
    </row>
    <row r="1846" spans="1:20" x14ac:dyDescent="0.25">
      <c r="A1846" t="s">
        <v>5039</v>
      </c>
      <c r="B1846" t="str">
        <f>"0782"</f>
        <v>0782</v>
      </c>
      <c r="C1846" t="str">
        <f>"276700782"</f>
        <v>276700782</v>
      </c>
      <c r="D1846" t="s">
        <v>5040</v>
      </c>
      <c r="E1846" t="s">
        <v>899</v>
      </c>
      <c r="F1846" t="s">
        <v>97</v>
      </c>
      <c r="G1846" s="1">
        <v>23169</v>
      </c>
      <c r="H1846" s="1">
        <v>40925</v>
      </c>
      <c r="I1846" t="str">
        <f t="shared" si="38"/>
        <v>51</v>
      </c>
      <c r="J1846" t="s">
        <v>471</v>
      </c>
      <c r="K1846" t="s">
        <v>25</v>
      </c>
      <c r="L1846" t="s">
        <v>26</v>
      </c>
      <c r="M1846" t="s">
        <v>27</v>
      </c>
      <c r="N1846" s="1">
        <v>18629</v>
      </c>
      <c r="O1846">
        <v>0</v>
      </c>
      <c r="P1846">
        <v>0</v>
      </c>
      <c r="Q1846" t="s">
        <v>37</v>
      </c>
      <c r="R1846" t="s">
        <v>29</v>
      </c>
      <c r="S1846" t="s">
        <v>138</v>
      </c>
      <c r="T1846" t="s">
        <v>139</v>
      </c>
    </row>
    <row r="1847" spans="1:20" x14ac:dyDescent="0.25">
      <c r="A1847" t="s">
        <v>5041</v>
      </c>
      <c r="B1847" t="str">
        <f>"6321"</f>
        <v>6321</v>
      </c>
      <c r="C1847" t="str">
        <f>"492766321"</f>
        <v>492766321</v>
      </c>
      <c r="D1847" t="s">
        <v>5042</v>
      </c>
      <c r="E1847" t="s">
        <v>106</v>
      </c>
      <c r="F1847" t="s">
        <v>93</v>
      </c>
      <c r="G1847" s="1">
        <v>23633</v>
      </c>
      <c r="H1847" s="1">
        <v>40925</v>
      </c>
      <c r="I1847" t="str">
        <f t="shared" si="38"/>
        <v>51</v>
      </c>
      <c r="J1847" t="s">
        <v>471</v>
      </c>
      <c r="K1847" t="s">
        <v>25</v>
      </c>
      <c r="L1847" t="s">
        <v>26</v>
      </c>
      <c r="M1847" t="s">
        <v>27</v>
      </c>
      <c r="N1847" s="1">
        <v>18629</v>
      </c>
      <c r="O1847">
        <v>0</v>
      </c>
      <c r="P1847">
        <v>0</v>
      </c>
      <c r="Q1847" t="s">
        <v>28</v>
      </c>
      <c r="R1847" t="s">
        <v>29</v>
      </c>
      <c r="S1847" t="s">
        <v>1828</v>
      </c>
      <c r="T1847" t="s">
        <v>1829</v>
      </c>
    </row>
    <row r="1848" spans="1:20" x14ac:dyDescent="0.25">
      <c r="A1848" t="s">
        <v>5043</v>
      </c>
      <c r="B1848" t="str">
        <f>"7826"</f>
        <v>7826</v>
      </c>
      <c r="C1848" t="str">
        <f>"280667826"</f>
        <v>280667826</v>
      </c>
      <c r="D1848" t="s">
        <v>303</v>
      </c>
      <c r="E1848" t="s">
        <v>1453</v>
      </c>
      <c r="F1848" t="s">
        <v>165</v>
      </c>
      <c r="G1848" s="1">
        <v>27178</v>
      </c>
      <c r="H1848" s="1">
        <v>40925</v>
      </c>
      <c r="I1848" t="str">
        <f t="shared" si="38"/>
        <v>51</v>
      </c>
      <c r="J1848" t="s">
        <v>471</v>
      </c>
      <c r="K1848" t="s">
        <v>25</v>
      </c>
      <c r="L1848" t="s">
        <v>26</v>
      </c>
      <c r="M1848" t="s">
        <v>27</v>
      </c>
      <c r="N1848" s="1">
        <v>18629</v>
      </c>
      <c r="O1848">
        <v>0</v>
      </c>
      <c r="P1848">
        <v>0</v>
      </c>
      <c r="Q1848" t="s">
        <v>28</v>
      </c>
      <c r="R1848" t="s">
        <v>51</v>
      </c>
      <c r="S1848" s="2" t="s">
        <v>1522</v>
      </c>
      <c r="T1848" t="s">
        <v>1523</v>
      </c>
    </row>
    <row r="1849" spans="1:20" x14ac:dyDescent="0.25">
      <c r="A1849" t="s">
        <v>5044</v>
      </c>
      <c r="B1849" t="str">
        <f>"6432"</f>
        <v>6432</v>
      </c>
      <c r="C1849" t="str">
        <f>"296866432"</f>
        <v>296866432</v>
      </c>
      <c r="D1849" t="s">
        <v>2064</v>
      </c>
      <c r="E1849" t="s">
        <v>870</v>
      </c>
      <c r="F1849" t="s">
        <v>44</v>
      </c>
      <c r="G1849" s="1">
        <v>26215</v>
      </c>
      <c r="H1849" s="1">
        <v>40925</v>
      </c>
      <c r="I1849" t="str">
        <f t="shared" si="38"/>
        <v>51</v>
      </c>
      <c r="J1849" t="s">
        <v>471</v>
      </c>
      <c r="K1849" t="s">
        <v>25</v>
      </c>
      <c r="L1849" t="s">
        <v>26</v>
      </c>
      <c r="M1849" t="s">
        <v>27</v>
      </c>
      <c r="N1849" s="1">
        <v>18629</v>
      </c>
      <c r="O1849">
        <v>0</v>
      </c>
      <c r="P1849">
        <v>0</v>
      </c>
      <c r="Q1849" t="s">
        <v>37</v>
      </c>
      <c r="R1849" t="s">
        <v>29</v>
      </c>
      <c r="S1849" t="s">
        <v>138</v>
      </c>
      <c r="T1849" t="s">
        <v>139</v>
      </c>
    </row>
    <row r="1850" spans="1:20" x14ac:dyDescent="0.25">
      <c r="A1850" t="s">
        <v>5045</v>
      </c>
      <c r="B1850" t="str">
        <f>"9824"</f>
        <v>9824</v>
      </c>
      <c r="C1850" t="str">
        <f>"271909824"</f>
        <v>271909824</v>
      </c>
      <c r="D1850" t="s">
        <v>5046</v>
      </c>
      <c r="E1850" t="s">
        <v>5047</v>
      </c>
      <c r="F1850" t="s">
        <v>264</v>
      </c>
      <c r="G1850" s="1">
        <v>30132</v>
      </c>
      <c r="H1850" s="1">
        <v>40925</v>
      </c>
      <c r="I1850" t="str">
        <f t="shared" si="38"/>
        <v>51</v>
      </c>
      <c r="J1850" t="s">
        <v>471</v>
      </c>
      <c r="K1850" t="s">
        <v>25</v>
      </c>
      <c r="L1850" t="s">
        <v>26</v>
      </c>
      <c r="M1850" t="s">
        <v>27</v>
      </c>
      <c r="N1850" s="1">
        <v>18629</v>
      </c>
      <c r="O1850">
        <v>0</v>
      </c>
      <c r="P1850">
        <v>0</v>
      </c>
      <c r="Q1850" t="s">
        <v>37</v>
      </c>
      <c r="R1850" t="s">
        <v>29</v>
      </c>
      <c r="S1850" t="s">
        <v>251</v>
      </c>
      <c r="T1850" t="s">
        <v>252</v>
      </c>
    </row>
    <row r="1851" spans="1:20" x14ac:dyDescent="0.25">
      <c r="A1851" t="s">
        <v>5048</v>
      </c>
      <c r="B1851" t="str">
        <f>"3675"</f>
        <v>3675</v>
      </c>
      <c r="C1851" t="str">
        <f>"276463675"</f>
        <v>276463675</v>
      </c>
      <c r="D1851" t="s">
        <v>452</v>
      </c>
      <c r="E1851" t="s">
        <v>57</v>
      </c>
      <c r="F1851" t="s">
        <v>93</v>
      </c>
      <c r="G1851" s="1">
        <v>16971</v>
      </c>
      <c r="H1851" s="1">
        <v>40925</v>
      </c>
      <c r="I1851" t="str">
        <f t="shared" si="38"/>
        <v>51</v>
      </c>
      <c r="J1851" t="s">
        <v>471</v>
      </c>
      <c r="K1851" t="s">
        <v>25</v>
      </c>
      <c r="L1851" t="s">
        <v>26</v>
      </c>
      <c r="M1851" t="s">
        <v>27</v>
      </c>
      <c r="N1851" s="1">
        <v>18629</v>
      </c>
      <c r="O1851">
        <v>0</v>
      </c>
      <c r="P1851">
        <v>0</v>
      </c>
      <c r="Q1851" t="s">
        <v>28</v>
      </c>
      <c r="R1851" t="s">
        <v>29</v>
      </c>
      <c r="S1851" t="s">
        <v>1828</v>
      </c>
      <c r="T1851" t="s">
        <v>1829</v>
      </c>
    </row>
    <row r="1852" spans="1:20" x14ac:dyDescent="0.25">
      <c r="A1852" t="s">
        <v>5049</v>
      </c>
      <c r="B1852" t="str">
        <f>"0701"</f>
        <v>0701</v>
      </c>
      <c r="C1852" t="str">
        <f>"315900701"</f>
        <v>315900701</v>
      </c>
      <c r="D1852" t="s">
        <v>5050</v>
      </c>
      <c r="E1852" t="s">
        <v>5051</v>
      </c>
      <c r="F1852" t="s">
        <v>93</v>
      </c>
      <c r="G1852" s="1">
        <v>30518</v>
      </c>
      <c r="H1852" s="1">
        <v>40925</v>
      </c>
      <c r="I1852" t="str">
        <f t="shared" si="38"/>
        <v>51</v>
      </c>
      <c r="J1852" t="s">
        <v>471</v>
      </c>
      <c r="K1852" t="s">
        <v>25</v>
      </c>
      <c r="L1852" t="s">
        <v>26</v>
      </c>
      <c r="M1852" t="s">
        <v>27</v>
      </c>
      <c r="N1852" s="1">
        <v>18629</v>
      </c>
      <c r="O1852">
        <v>0</v>
      </c>
      <c r="P1852">
        <v>0</v>
      </c>
      <c r="Q1852" t="s">
        <v>37</v>
      </c>
      <c r="R1852" t="s">
        <v>29</v>
      </c>
      <c r="S1852" t="s">
        <v>2355</v>
      </c>
      <c r="T1852" t="s">
        <v>2356</v>
      </c>
    </row>
    <row r="1853" spans="1:20" x14ac:dyDescent="0.25">
      <c r="A1853" t="s">
        <v>5052</v>
      </c>
      <c r="B1853" t="str">
        <f>"0257"</f>
        <v>0257</v>
      </c>
      <c r="C1853" t="str">
        <f>"295860257"</f>
        <v>295860257</v>
      </c>
      <c r="D1853" t="s">
        <v>1256</v>
      </c>
      <c r="E1853" t="s">
        <v>941</v>
      </c>
      <c r="F1853" t="s">
        <v>97</v>
      </c>
      <c r="G1853" s="1">
        <v>28495</v>
      </c>
      <c r="H1853" s="1">
        <v>40925</v>
      </c>
      <c r="I1853" t="str">
        <f t="shared" si="38"/>
        <v>51</v>
      </c>
      <c r="J1853" t="s">
        <v>471</v>
      </c>
      <c r="K1853" t="s">
        <v>25</v>
      </c>
      <c r="L1853" t="s">
        <v>26</v>
      </c>
      <c r="M1853" t="s">
        <v>27</v>
      </c>
      <c r="N1853" s="1">
        <v>18629</v>
      </c>
      <c r="O1853">
        <v>0</v>
      </c>
      <c r="P1853">
        <v>0</v>
      </c>
      <c r="Q1853" t="s">
        <v>28</v>
      </c>
      <c r="R1853" t="s">
        <v>51</v>
      </c>
      <c r="S1853" s="2" t="s">
        <v>2524</v>
      </c>
      <c r="T1853" t="s">
        <v>2525</v>
      </c>
    </row>
    <row r="1854" spans="1:20" x14ac:dyDescent="0.25">
      <c r="A1854" t="s">
        <v>5053</v>
      </c>
      <c r="B1854" t="str">
        <f>"3056"</f>
        <v>3056</v>
      </c>
      <c r="C1854" t="str">
        <f>"234293056"</f>
        <v>234293056</v>
      </c>
      <c r="D1854" t="s">
        <v>310</v>
      </c>
      <c r="E1854" t="s">
        <v>3605</v>
      </c>
      <c r="F1854" t="s">
        <v>93</v>
      </c>
      <c r="G1854" s="1">
        <v>25568</v>
      </c>
      <c r="H1854" s="1">
        <v>40925</v>
      </c>
      <c r="I1854" t="str">
        <f t="shared" si="38"/>
        <v>51</v>
      </c>
      <c r="J1854" t="s">
        <v>471</v>
      </c>
      <c r="K1854" t="s">
        <v>25</v>
      </c>
      <c r="L1854" t="s">
        <v>26</v>
      </c>
      <c r="M1854" t="s">
        <v>27</v>
      </c>
      <c r="N1854" s="1">
        <v>18629</v>
      </c>
      <c r="O1854">
        <v>0</v>
      </c>
      <c r="P1854">
        <v>0</v>
      </c>
      <c r="Q1854" t="s">
        <v>37</v>
      </c>
      <c r="R1854" t="s">
        <v>71</v>
      </c>
      <c r="S1854" t="s">
        <v>157</v>
      </c>
      <c r="T1854" t="s">
        <v>158</v>
      </c>
    </row>
    <row r="1855" spans="1:20" x14ac:dyDescent="0.25">
      <c r="A1855" t="s">
        <v>5054</v>
      </c>
      <c r="B1855" t="str">
        <f>"7899"</f>
        <v>7899</v>
      </c>
      <c r="C1855" t="str">
        <f>"285487899"</f>
        <v>285487899</v>
      </c>
      <c r="D1855" t="s">
        <v>5055</v>
      </c>
      <c r="E1855" t="s">
        <v>1907</v>
      </c>
      <c r="F1855" t="s">
        <v>44</v>
      </c>
      <c r="G1855" s="1">
        <v>17814</v>
      </c>
      <c r="H1855" s="1">
        <v>40925</v>
      </c>
      <c r="I1855" t="str">
        <f t="shared" si="38"/>
        <v>51</v>
      </c>
      <c r="J1855" t="s">
        <v>471</v>
      </c>
      <c r="K1855" t="s">
        <v>25</v>
      </c>
      <c r="L1855" t="s">
        <v>26</v>
      </c>
      <c r="M1855" t="s">
        <v>27</v>
      </c>
      <c r="N1855" s="1">
        <v>18629</v>
      </c>
      <c r="O1855">
        <v>0</v>
      </c>
      <c r="P1855">
        <v>0</v>
      </c>
      <c r="Q1855" t="s">
        <v>28</v>
      </c>
      <c r="R1855" t="s">
        <v>29</v>
      </c>
      <c r="S1855" t="s">
        <v>3719</v>
      </c>
      <c r="T1855" t="s">
        <v>3720</v>
      </c>
    </row>
    <row r="1856" spans="1:20" x14ac:dyDescent="0.25">
      <c r="A1856" t="s">
        <v>5056</v>
      </c>
      <c r="B1856" t="str">
        <f>"0986"</f>
        <v>0986</v>
      </c>
      <c r="C1856" t="str">
        <f>"268740986"</f>
        <v>268740986</v>
      </c>
      <c r="D1856" t="s">
        <v>2183</v>
      </c>
      <c r="E1856" t="s">
        <v>682</v>
      </c>
      <c r="F1856" t="s">
        <v>69</v>
      </c>
      <c r="G1856" s="1">
        <v>22662</v>
      </c>
      <c r="H1856" s="1">
        <v>40924</v>
      </c>
      <c r="I1856" t="str">
        <f>"01"</f>
        <v>01</v>
      </c>
      <c r="J1856" t="s">
        <v>116</v>
      </c>
      <c r="L1856" t="s">
        <v>37</v>
      </c>
      <c r="M1856" t="s">
        <v>143</v>
      </c>
      <c r="N1856" s="1">
        <v>41617</v>
      </c>
      <c r="O1856">
        <v>185.9</v>
      </c>
      <c r="P1856">
        <v>-185.9</v>
      </c>
      <c r="Q1856" t="s">
        <v>37</v>
      </c>
      <c r="R1856" t="s">
        <v>110</v>
      </c>
      <c r="S1856" t="s">
        <v>2090</v>
      </c>
      <c r="T1856" t="s">
        <v>2091</v>
      </c>
    </row>
    <row r="1857" spans="1:20" x14ac:dyDescent="0.25">
      <c r="A1857" t="s">
        <v>5057</v>
      </c>
      <c r="B1857" t="str">
        <f>"2657"</f>
        <v>2657</v>
      </c>
      <c r="C1857" t="str">
        <f>"234292657"</f>
        <v>234292657</v>
      </c>
      <c r="D1857" t="s">
        <v>5058</v>
      </c>
      <c r="E1857" t="s">
        <v>1907</v>
      </c>
      <c r="F1857" t="s">
        <v>93</v>
      </c>
      <c r="G1857" s="1">
        <v>25960</v>
      </c>
      <c r="H1857" s="1">
        <v>40924</v>
      </c>
      <c r="I1857" t="str">
        <f>"03"</f>
        <v>03</v>
      </c>
      <c r="J1857" t="s">
        <v>70</v>
      </c>
      <c r="K1857" t="s">
        <v>98</v>
      </c>
      <c r="L1857" t="s">
        <v>37</v>
      </c>
      <c r="M1857" t="s">
        <v>99</v>
      </c>
      <c r="N1857" s="1">
        <v>41617</v>
      </c>
      <c r="O1857">
        <v>14801.8</v>
      </c>
      <c r="P1857">
        <v>3700.32</v>
      </c>
      <c r="Q1857" t="s">
        <v>28</v>
      </c>
      <c r="R1857" t="s">
        <v>71</v>
      </c>
      <c r="S1857" t="s">
        <v>3844</v>
      </c>
      <c r="T1857" t="s">
        <v>3845</v>
      </c>
    </row>
    <row r="1858" spans="1:20" x14ac:dyDescent="0.25">
      <c r="A1858" t="s">
        <v>5059</v>
      </c>
      <c r="B1858" t="str">
        <f>"9669"</f>
        <v>9669</v>
      </c>
      <c r="C1858" t="str">
        <f>"286769669"</f>
        <v>286769669</v>
      </c>
      <c r="D1858" t="s">
        <v>5060</v>
      </c>
      <c r="E1858" t="s">
        <v>2950</v>
      </c>
      <c r="F1858" t="s">
        <v>28</v>
      </c>
      <c r="G1858" s="1">
        <v>29485</v>
      </c>
      <c r="H1858" s="1">
        <v>40919</v>
      </c>
      <c r="I1858" t="str">
        <f>"15"</f>
        <v>15</v>
      </c>
      <c r="J1858" t="s">
        <v>36</v>
      </c>
      <c r="K1858" t="s">
        <v>98</v>
      </c>
      <c r="L1858" t="s">
        <v>37</v>
      </c>
      <c r="M1858" t="s">
        <v>99</v>
      </c>
      <c r="N1858" s="1">
        <v>41617</v>
      </c>
      <c r="O1858">
        <v>14801.8</v>
      </c>
      <c r="P1858">
        <v>3700.32</v>
      </c>
      <c r="Q1858" t="s">
        <v>37</v>
      </c>
      <c r="R1858" t="s">
        <v>312</v>
      </c>
      <c r="S1858" t="s">
        <v>3119</v>
      </c>
      <c r="T1858" t="s">
        <v>3120</v>
      </c>
    </row>
    <row r="1859" spans="1:20" x14ac:dyDescent="0.25">
      <c r="A1859" t="s">
        <v>5061</v>
      </c>
      <c r="B1859" t="str">
        <f>"9644"</f>
        <v>9644</v>
      </c>
      <c r="C1859" t="str">
        <f>"292529644"</f>
        <v>292529644</v>
      </c>
      <c r="D1859" t="s">
        <v>5062</v>
      </c>
      <c r="E1859" t="s">
        <v>137</v>
      </c>
      <c r="F1859" t="s">
        <v>44</v>
      </c>
      <c r="G1859" s="1">
        <v>19257</v>
      </c>
      <c r="H1859" s="1">
        <v>40917</v>
      </c>
      <c r="I1859" t="str">
        <f>"41"</f>
        <v>41</v>
      </c>
      <c r="J1859" t="s">
        <v>24</v>
      </c>
      <c r="K1859" t="s">
        <v>25</v>
      </c>
      <c r="L1859" t="s">
        <v>26</v>
      </c>
      <c r="M1859" t="s">
        <v>27</v>
      </c>
      <c r="N1859" s="1">
        <v>18629</v>
      </c>
      <c r="O1859">
        <v>0</v>
      </c>
      <c r="P1859">
        <v>0</v>
      </c>
      <c r="Q1859" t="s">
        <v>37</v>
      </c>
      <c r="R1859" t="s">
        <v>29</v>
      </c>
      <c r="S1859" t="s">
        <v>138</v>
      </c>
      <c r="T1859" t="s">
        <v>139</v>
      </c>
    </row>
    <row r="1860" spans="1:20" x14ac:dyDescent="0.25">
      <c r="A1860" t="s">
        <v>5063</v>
      </c>
      <c r="B1860" t="str">
        <f>"3713"</f>
        <v>3713</v>
      </c>
      <c r="C1860" t="str">
        <f>"268863713"</f>
        <v>268863713</v>
      </c>
      <c r="D1860" t="s">
        <v>2001</v>
      </c>
      <c r="E1860" t="s">
        <v>5064</v>
      </c>
      <c r="F1860" t="s">
        <v>165</v>
      </c>
      <c r="G1860" s="1">
        <v>28101</v>
      </c>
      <c r="H1860" s="1">
        <v>40917</v>
      </c>
      <c r="I1860" t="str">
        <f>"12"</f>
        <v>12</v>
      </c>
      <c r="J1860" t="s">
        <v>245</v>
      </c>
      <c r="K1860" t="s">
        <v>98</v>
      </c>
      <c r="L1860" t="s">
        <v>37</v>
      </c>
      <c r="M1860" t="s">
        <v>117</v>
      </c>
      <c r="N1860" s="1">
        <v>41617</v>
      </c>
      <c r="O1860">
        <v>4951.96</v>
      </c>
      <c r="P1860">
        <v>1237.8599999999999</v>
      </c>
      <c r="Q1860" t="s">
        <v>37</v>
      </c>
      <c r="R1860" t="s">
        <v>71</v>
      </c>
      <c r="S1860" t="s">
        <v>522</v>
      </c>
      <c r="T1860" t="s">
        <v>523</v>
      </c>
    </row>
    <row r="1861" spans="1:20" x14ac:dyDescent="0.25">
      <c r="A1861" t="s">
        <v>5065</v>
      </c>
      <c r="B1861" t="str">
        <f>"4728"</f>
        <v>4728</v>
      </c>
      <c r="C1861" t="str">
        <f>"294764728"</f>
        <v>294764728</v>
      </c>
      <c r="D1861" t="s">
        <v>5066</v>
      </c>
      <c r="E1861" t="s">
        <v>5067</v>
      </c>
      <c r="F1861" t="s">
        <v>438</v>
      </c>
      <c r="G1861" s="1">
        <v>28230</v>
      </c>
      <c r="H1861" s="1">
        <v>40917</v>
      </c>
      <c r="I1861" t="str">
        <f>"30"</f>
        <v>30</v>
      </c>
      <c r="J1861" t="s">
        <v>50</v>
      </c>
      <c r="K1861" t="s">
        <v>25</v>
      </c>
      <c r="L1861" t="s">
        <v>26</v>
      </c>
      <c r="M1861" t="s">
        <v>27</v>
      </c>
      <c r="N1861" s="1">
        <v>18629</v>
      </c>
      <c r="O1861">
        <v>0</v>
      </c>
      <c r="P1861">
        <v>0</v>
      </c>
      <c r="Q1861" t="s">
        <v>28</v>
      </c>
      <c r="R1861" t="s">
        <v>29</v>
      </c>
      <c r="S1861" t="s">
        <v>5068</v>
      </c>
      <c r="T1861" t="s">
        <v>5069</v>
      </c>
    </row>
    <row r="1862" spans="1:20" x14ac:dyDescent="0.25">
      <c r="A1862" t="s">
        <v>5070</v>
      </c>
      <c r="B1862" t="str">
        <f>"2421"</f>
        <v>2421</v>
      </c>
      <c r="C1862" t="str">
        <f>"274682421"</f>
        <v>274682421</v>
      </c>
      <c r="D1862" t="s">
        <v>2987</v>
      </c>
      <c r="E1862" t="s">
        <v>5071</v>
      </c>
      <c r="F1862" t="s">
        <v>219</v>
      </c>
      <c r="G1862" s="1">
        <v>24001</v>
      </c>
      <c r="H1862" s="1">
        <v>40917</v>
      </c>
      <c r="I1862" t="str">
        <f>"15"</f>
        <v>15</v>
      </c>
      <c r="J1862" t="s">
        <v>36</v>
      </c>
      <c r="L1862" t="s">
        <v>37</v>
      </c>
      <c r="M1862" t="s">
        <v>143</v>
      </c>
      <c r="N1862" s="1">
        <v>41617</v>
      </c>
      <c r="O1862">
        <v>185.9</v>
      </c>
      <c r="P1862">
        <v>-185.9</v>
      </c>
      <c r="Q1862" t="s">
        <v>37</v>
      </c>
      <c r="R1862" t="s">
        <v>51</v>
      </c>
      <c r="S1862" s="2" t="s">
        <v>1140</v>
      </c>
      <c r="T1862" t="s">
        <v>1141</v>
      </c>
    </row>
    <row r="1863" spans="1:20" x14ac:dyDescent="0.25">
      <c r="A1863" t="s">
        <v>5072</v>
      </c>
      <c r="B1863" t="str">
        <f>"6924"</f>
        <v>6924</v>
      </c>
      <c r="C1863" t="str">
        <f>"291546924"</f>
        <v>291546924</v>
      </c>
      <c r="D1863" t="s">
        <v>4299</v>
      </c>
      <c r="E1863" t="s">
        <v>1981</v>
      </c>
      <c r="F1863" t="s">
        <v>44</v>
      </c>
      <c r="G1863" s="1">
        <v>19713</v>
      </c>
      <c r="H1863" s="1">
        <v>40917</v>
      </c>
      <c r="I1863" t="str">
        <f>"01"</f>
        <v>01</v>
      </c>
      <c r="J1863" t="s">
        <v>116</v>
      </c>
      <c r="K1863" t="s">
        <v>510</v>
      </c>
      <c r="L1863" t="s">
        <v>37</v>
      </c>
      <c r="M1863" t="s">
        <v>117</v>
      </c>
      <c r="N1863" s="1">
        <v>41617</v>
      </c>
      <c r="O1863">
        <v>6477.12</v>
      </c>
      <c r="P1863">
        <v>1619.28</v>
      </c>
      <c r="Q1863" t="s">
        <v>37</v>
      </c>
      <c r="R1863" t="s">
        <v>110</v>
      </c>
      <c r="S1863" t="s">
        <v>4707</v>
      </c>
      <c r="T1863" t="s">
        <v>4708</v>
      </c>
    </row>
    <row r="1864" spans="1:20" x14ac:dyDescent="0.25">
      <c r="A1864" t="s">
        <v>5073</v>
      </c>
      <c r="B1864" t="str">
        <f>"8022"</f>
        <v>8022</v>
      </c>
      <c r="C1864" t="str">
        <f>"300708022"</f>
        <v>300708022</v>
      </c>
      <c r="D1864" t="s">
        <v>5074</v>
      </c>
      <c r="E1864" t="s">
        <v>1435</v>
      </c>
      <c r="F1864" t="s">
        <v>345</v>
      </c>
      <c r="G1864" s="1">
        <v>26779</v>
      </c>
      <c r="H1864" s="1">
        <v>40917</v>
      </c>
      <c r="I1864" t="str">
        <f>"30"</f>
        <v>30</v>
      </c>
      <c r="J1864" t="s">
        <v>50</v>
      </c>
      <c r="K1864" t="s">
        <v>25</v>
      </c>
      <c r="L1864" t="s">
        <v>26</v>
      </c>
      <c r="M1864" t="s">
        <v>27</v>
      </c>
      <c r="N1864" s="1">
        <v>18629</v>
      </c>
      <c r="O1864">
        <v>0</v>
      </c>
      <c r="P1864">
        <v>0</v>
      </c>
      <c r="Q1864" t="s">
        <v>37</v>
      </c>
      <c r="R1864" t="s">
        <v>71</v>
      </c>
      <c r="S1864" t="s">
        <v>2790</v>
      </c>
      <c r="T1864" t="s">
        <v>2791</v>
      </c>
    </row>
    <row r="1865" spans="1:20" x14ac:dyDescent="0.25">
      <c r="A1865" t="s">
        <v>5075</v>
      </c>
      <c r="B1865" t="str">
        <f>"0163"</f>
        <v>0163</v>
      </c>
      <c r="C1865" t="str">
        <f>"179580163"</f>
        <v>179580163</v>
      </c>
      <c r="D1865" t="s">
        <v>5076</v>
      </c>
      <c r="E1865" t="s">
        <v>5077</v>
      </c>
      <c r="F1865" t="s">
        <v>219</v>
      </c>
      <c r="G1865" s="1">
        <v>28407</v>
      </c>
      <c r="H1865" s="1">
        <v>40917</v>
      </c>
      <c r="I1865" t="str">
        <f>"08"</f>
        <v>08</v>
      </c>
      <c r="J1865" t="s">
        <v>265</v>
      </c>
      <c r="K1865" t="s">
        <v>98</v>
      </c>
      <c r="L1865" t="s">
        <v>37</v>
      </c>
      <c r="M1865" t="s">
        <v>99</v>
      </c>
      <c r="N1865" s="1">
        <v>41617</v>
      </c>
      <c r="O1865">
        <v>14801.8</v>
      </c>
      <c r="P1865">
        <v>3700.32</v>
      </c>
      <c r="Q1865" t="s">
        <v>28</v>
      </c>
      <c r="R1865" t="s">
        <v>51</v>
      </c>
      <c r="S1865" t="s">
        <v>1222</v>
      </c>
      <c r="T1865" t="s">
        <v>1223</v>
      </c>
    </row>
    <row r="1866" spans="1:20" x14ac:dyDescent="0.25">
      <c r="A1866" t="s">
        <v>5078</v>
      </c>
      <c r="B1866" t="str">
        <f>"6541"</f>
        <v>6541</v>
      </c>
      <c r="C1866" t="str">
        <f>"298866541"</f>
        <v>298866541</v>
      </c>
      <c r="D1866" t="s">
        <v>310</v>
      </c>
      <c r="E1866" t="s">
        <v>5079</v>
      </c>
      <c r="F1866" t="s">
        <v>264</v>
      </c>
      <c r="G1866" s="1">
        <v>32087</v>
      </c>
      <c r="H1866" s="1">
        <v>40917</v>
      </c>
      <c r="I1866" t="str">
        <f>"42"</f>
        <v>42</v>
      </c>
      <c r="J1866" t="s">
        <v>367</v>
      </c>
      <c r="K1866" t="s">
        <v>25</v>
      </c>
      <c r="L1866" t="s">
        <v>26</v>
      </c>
      <c r="M1866" t="s">
        <v>27</v>
      </c>
      <c r="N1866" s="1">
        <v>18629</v>
      </c>
      <c r="O1866">
        <v>0</v>
      </c>
      <c r="P1866">
        <v>0</v>
      </c>
      <c r="Q1866" t="s">
        <v>28</v>
      </c>
      <c r="R1866" t="s">
        <v>29</v>
      </c>
      <c r="S1866" t="s">
        <v>885</v>
      </c>
      <c r="T1866" t="s">
        <v>886</v>
      </c>
    </row>
    <row r="1867" spans="1:20" x14ac:dyDescent="0.25">
      <c r="A1867" t="s">
        <v>5080</v>
      </c>
      <c r="B1867" t="str">
        <f>"2822"</f>
        <v>2822</v>
      </c>
      <c r="C1867" t="str">
        <f>"069482822"</f>
        <v>069482822</v>
      </c>
      <c r="D1867" t="s">
        <v>5081</v>
      </c>
      <c r="E1867" t="s">
        <v>5082</v>
      </c>
      <c r="F1867" t="s">
        <v>37</v>
      </c>
      <c r="G1867" s="1">
        <v>19396</v>
      </c>
      <c r="H1867" s="1">
        <v>40917</v>
      </c>
      <c r="I1867" t="str">
        <f>"01"</f>
        <v>01</v>
      </c>
      <c r="J1867" t="s">
        <v>116</v>
      </c>
      <c r="K1867" t="s">
        <v>98</v>
      </c>
      <c r="L1867" t="s">
        <v>37</v>
      </c>
      <c r="M1867" t="s">
        <v>257</v>
      </c>
      <c r="N1867" s="1">
        <v>41617</v>
      </c>
      <c r="O1867">
        <v>10753.08</v>
      </c>
      <c r="P1867">
        <v>2688.4</v>
      </c>
      <c r="Q1867" t="s">
        <v>28</v>
      </c>
      <c r="R1867" t="s">
        <v>29</v>
      </c>
      <c r="S1867" t="s">
        <v>3543</v>
      </c>
      <c r="T1867" t="s">
        <v>3544</v>
      </c>
    </row>
    <row r="1868" spans="1:20" x14ac:dyDescent="0.25">
      <c r="A1868" t="s">
        <v>5083</v>
      </c>
      <c r="B1868" t="str">
        <f>"2541"</f>
        <v>2541</v>
      </c>
      <c r="C1868" t="str">
        <f>"284782541"</f>
        <v>284782541</v>
      </c>
      <c r="D1868" t="s">
        <v>5084</v>
      </c>
      <c r="E1868" t="s">
        <v>1071</v>
      </c>
      <c r="F1868" t="s">
        <v>93</v>
      </c>
      <c r="G1868" s="1">
        <v>29673</v>
      </c>
      <c r="H1868" s="1">
        <v>40917</v>
      </c>
      <c r="I1868" t="str">
        <f>"30"</f>
        <v>30</v>
      </c>
      <c r="J1868" t="s">
        <v>50</v>
      </c>
      <c r="K1868" t="s">
        <v>25</v>
      </c>
      <c r="L1868" t="s">
        <v>26</v>
      </c>
      <c r="M1868" t="s">
        <v>27</v>
      </c>
      <c r="N1868" s="1">
        <v>18629</v>
      </c>
      <c r="O1868">
        <v>0</v>
      </c>
      <c r="P1868">
        <v>0</v>
      </c>
      <c r="Q1868" t="s">
        <v>37</v>
      </c>
      <c r="R1868" t="s">
        <v>29</v>
      </c>
      <c r="S1868" t="s">
        <v>1795</v>
      </c>
      <c r="T1868" t="s">
        <v>1796</v>
      </c>
    </row>
    <row r="1869" spans="1:20" x14ac:dyDescent="0.25">
      <c r="A1869" t="s">
        <v>5085</v>
      </c>
      <c r="B1869" t="str">
        <f>"5264"</f>
        <v>5264</v>
      </c>
      <c r="C1869" t="str">
        <f>"301505264"</f>
        <v>301505264</v>
      </c>
      <c r="D1869" t="s">
        <v>5086</v>
      </c>
      <c r="E1869" t="s">
        <v>5087</v>
      </c>
      <c r="G1869" s="1">
        <v>21370</v>
      </c>
      <c r="H1869" s="1">
        <v>40911</v>
      </c>
      <c r="I1869" t="str">
        <f>"01"</f>
        <v>01</v>
      </c>
      <c r="J1869" t="s">
        <v>116</v>
      </c>
      <c r="K1869" t="s">
        <v>98</v>
      </c>
      <c r="L1869" t="s">
        <v>37</v>
      </c>
      <c r="M1869" t="s">
        <v>99</v>
      </c>
      <c r="N1869" s="1">
        <v>41617</v>
      </c>
      <c r="O1869">
        <v>14801.8</v>
      </c>
      <c r="P1869">
        <v>3700.32</v>
      </c>
      <c r="Q1869" t="s">
        <v>28</v>
      </c>
      <c r="R1869" t="s">
        <v>110</v>
      </c>
      <c r="S1869" t="s">
        <v>1046</v>
      </c>
      <c r="T1869" t="s">
        <v>1047</v>
      </c>
    </row>
    <row r="1870" spans="1:20" x14ac:dyDescent="0.25">
      <c r="A1870" t="s">
        <v>5088</v>
      </c>
      <c r="B1870" t="str">
        <f>"8571"</f>
        <v>8571</v>
      </c>
      <c r="C1870" t="str">
        <f>"260758571"</f>
        <v>260758571</v>
      </c>
      <c r="D1870" t="s">
        <v>1383</v>
      </c>
      <c r="E1870" t="s">
        <v>5089</v>
      </c>
      <c r="F1870" t="s">
        <v>97</v>
      </c>
      <c r="G1870" s="1">
        <v>33060</v>
      </c>
      <c r="H1870" s="1">
        <v>40911</v>
      </c>
      <c r="I1870" t="str">
        <f>"50"</f>
        <v>50</v>
      </c>
      <c r="J1870" t="s">
        <v>208</v>
      </c>
      <c r="K1870" t="s">
        <v>25</v>
      </c>
      <c r="L1870" t="s">
        <v>26</v>
      </c>
      <c r="M1870" t="s">
        <v>27</v>
      </c>
      <c r="N1870" s="1">
        <v>18629</v>
      </c>
      <c r="O1870">
        <v>0</v>
      </c>
      <c r="P1870">
        <v>0</v>
      </c>
      <c r="Q1870" t="s">
        <v>37</v>
      </c>
      <c r="R1870" t="s">
        <v>29</v>
      </c>
      <c r="S1870" t="s">
        <v>3671</v>
      </c>
      <c r="T1870" t="s">
        <v>3672</v>
      </c>
    </row>
    <row r="1871" spans="1:20" x14ac:dyDescent="0.25">
      <c r="A1871" t="s">
        <v>5090</v>
      </c>
      <c r="B1871" t="str">
        <f>"1983"</f>
        <v>1983</v>
      </c>
      <c r="C1871" t="str">
        <f>"273701983"</f>
        <v>273701983</v>
      </c>
      <c r="D1871" t="s">
        <v>5091</v>
      </c>
      <c r="E1871" t="s">
        <v>434</v>
      </c>
      <c r="G1871" s="1">
        <v>21972</v>
      </c>
      <c r="H1871" s="1">
        <v>40911</v>
      </c>
      <c r="I1871" t="str">
        <f>"12"</f>
        <v>12</v>
      </c>
      <c r="J1871" t="s">
        <v>245</v>
      </c>
      <c r="K1871" t="s">
        <v>98</v>
      </c>
      <c r="L1871" t="s">
        <v>37</v>
      </c>
      <c r="M1871" t="s">
        <v>99</v>
      </c>
      <c r="N1871" s="1">
        <v>41617</v>
      </c>
      <c r="O1871">
        <v>14801.8</v>
      </c>
      <c r="P1871">
        <v>3700.32</v>
      </c>
      <c r="Q1871" t="s">
        <v>28</v>
      </c>
      <c r="R1871" t="s">
        <v>100</v>
      </c>
      <c r="S1871" t="s">
        <v>1392</v>
      </c>
      <c r="T1871" t="s">
        <v>1393</v>
      </c>
    </row>
    <row r="1872" spans="1:20" x14ac:dyDescent="0.25">
      <c r="A1872" t="s">
        <v>5092</v>
      </c>
      <c r="B1872" t="str">
        <f>"9127"</f>
        <v>9127</v>
      </c>
      <c r="C1872" t="str">
        <f>"130509127"</f>
        <v>130509127</v>
      </c>
      <c r="D1872" t="s">
        <v>1798</v>
      </c>
      <c r="E1872" t="s">
        <v>35</v>
      </c>
      <c r="F1872" t="s">
        <v>44</v>
      </c>
      <c r="G1872" s="1">
        <v>24601</v>
      </c>
      <c r="H1872" s="1">
        <v>40911</v>
      </c>
      <c r="I1872" t="str">
        <f>"01"</f>
        <v>01</v>
      </c>
      <c r="J1872" t="s">
        <v>116</v>
      </c>
      <c r="K1872" t="s">
        <v>98</v>
      </c>
      <c r="L1872" t="s">
        <v>37</v>
      </c>
      <c r="M1872" t="s">
        <v>99</v>
      </c>
      <c r="N1872" s="1">
        <v>41617</v>
      </c>
      <c r="O1872">
        <v>14801.8</v>
      </c>
      <c r="P1872">
        <v>3700.32</v>
      </c>
      <c r="Q1872" t="s">
        <v>28</v>
      </c>
      <c r="R1872" t="s">
        <v>110</v>
      </c>
      <c r="S1872" t="s">
        <v>482</v>
      </c>
      <c r="T1872" t="s">
        <v>483</v>
      </c>
    </row>
    <row r="1873" spans="1:20" x14ac:dyDescent="0.25">
      <c r="A1873" t="s">
        <v>5093</v>
      </c>
      <c r="B1873" t="str">
        <f>"5705"</f>
        <v>5705</v>
      </c>
      <c r="C1873" t="str">
        <f>"290745705"</f>
        <v>290745705</v>
      </c>
      <c r="D1873" t="s">
        <v>2390</v>
      </c>
      <c r="E1873" t="s">
        <v>1381</v>
      </c>
      <c r="F1873" t="s">
        <v>69</v>
      </c>
      <c r="G1873" s="1">
        <v>27968</v>
      </c>
      <c r="H1873" s="1">
        <v>40911</v>
      </c>
      <c r="I1873" t="str">
        <f>"12"</f>
        <v>12</v>
      </c>
      <c r="J1873" t="s">
        <v>245</v>
      </c>
      <c r="K1873" t="s">
        <v>98</v>
      </c>
      <c r="L1873" t="s">
        <v>37</v>
      </c>
      <c r="M1873" t="s">
        <v>117</v>
      </c>
      <c r="N1873" s="1">
        <v>41617</v>
      </c>
      <c r="O1873">
        <v>4951.96</v>
      </c>
      <c r="P1873">
        <v>1237.8599999999999</v>
      </c>
      <c r="Q1873" t="s">
        <v>28</v>
      </c>
      <c r="R1873" t="s">
        <v>71</v>
      </c>
      <c r="S1873" t="s">
        <v>541</v>
      </c>
      <c r="T1873" t="s">
        <v>542</v>
      </c>
    </row>
    <row r="1874" spans="1:20" x14ac:dyDescent="0.25">
      <c r="A1874" t="s">
        <v>5094</v>
      </c>
      <c r="B1874" t="str">
        <f>"4126"</f>
        <v>4126</v>
      </c>
      <c r="C1874" t="str">
        <f>"301704126"</f>
        <v>301704126</v>
      </c>
      <c r="D1874" t="s">
        <v>114</v>
      </c>
      <c r="E1874" t="s">
        <v>2126</v>
      </c>
      <c r="F1874" t="s">
        <v>93</v>
      </c>
      <c r="G1874" s="1">
        <v>22945</v>
      </c>
      <c r="H1874" s="1">
        <v>40911</v>
      </c>
      <c r="I1874" t="str">
        <f>"15"</f>
        <v>15</v>
      </c>
      <c r="J1874" t="s">
        <v>36</v>
      </c>
      <c r="K1874" t="s">
        <v>98</v>
      </c>
      <c r="L1874" t="s">
        <v>37</v>
      </c>
      <c r="M1874" t="s">
        <v>257</v>
      </c>
      <c r="N1874" s="1">
        <v>41617</v>
      </c>
      <c r="O1874">
        <v>10753.08</v>
      </c>
      <c r="P1874">
        <v>2688.4</v>
      </c>
      <c r="Q1874" t="s">
        <v>37</v>
      </c>
      <c r="R1874" t="s">
        <v>110</v>
      </c>
      <c r="S1874" t="s">
        <v>929</v>
      </c>
      <c r="T1874" t="s">
        <v>930</v>
      </c>
    </row>
    <row r="1875" spans="1:20" x14ac:dyDescent="0.25">
      <c r="A1875" t="s">
        <v>5095</v>
      </c>
      <c r="B1875" t="str">
        <f>"5217"</f>
        <v>5217</v>
      </c>
      <c r="C1875" t="str">
        <f>"292885217"</f>
        <v>292885217</v>
      </c>
      <c r="D1875" t="s">
        <v>539</v>
      </c>
      <c r="E1875" t="s">
        <v>5096</v>
      </c>
      <c r="F1875" t="s">
        <v>264</v>
      </c>
      <c r="G1875" s="1">
        <v>28718</v>
      </c>
      <c r="H1875" s="1">
        <v>40910</v>
      </c>
      <c r="I1875" t="str">
        <f>"03"</f>
        <v>03</v>
      </c>
      <c r="J1875" t="s">
        <v>70</v>
      </c>
      <c r="K1875" t="s">
        <v>98</v>
      </c>
      <c r="L1875" t="s">
        <v>37</v>
      </c>
      <c r="M1875" t="s">
        <v>117</v>
      </c>
      <c r="N1875" s="1">
        <v>41617</v>
      </c>
      <c r="O1875">
        <v>4951.96</v>
      </c>
      <c r="P1875">
        <v>1237.8599999999999</v>
      </c>
      <c r="Q1875" t="s">
        <v>37</v>
      </c>
      <c r="R1875" t="s">
        <v>110</v>
      </c>
      <c r="S1875" t="s">
        <v>3017</v>
      </c>
      <c r="T1875" t="s">
        <v>3018</v>
      </c>
    </row>
    <row r="1876" spans="1:20" x14ac:dyDescent="0.25">
      <c r="A1876" t="s">
        <v>5097</v>
      </c>
      <c r="B1876" t="str">
        <f>"2261"</f>
        <v>2261</v>
      </c>
      <c r="C1876" t="str">
        <f>"282542261"</f>
        <v>282542261</v>
      </c>
      <c r="D1876" t="s">
        <v>4489</v>
      </c>
      <c r="E1876" t="s">
        <v>299</v>
      </c>
      <c r="F1876" t="s">
        <v>93</v>
      </c>
      <c r="G1876" s="1">
        <v>23845</v>
      </c>
      <c r="H1876" s="1">
        <v>40903</v>
      </c>
      <c r="I1876" t="str">
        <f>"51"</f>
        <v>51</v>
      </c>
      <c r="J1876" t="s">
        <v>471</v>
      </c>
      <c r="K1876" t="s">
        <v>25</v>
      </c>
      <c r="L1876" t="s">
        <v>26</v>
      </c>
      <c r="M1876" t="s">
        <v>27</v>
      </c>
      <c r="N1876" s="1">
        <v>18629</v>
      </c>
      <c r="O1876">
        <v>0</v>
      </c>
      <c r="P1876">
        <v>0</v>
      </c>
      <c r="Q1876" t="s">
        <v>37</v>
      </c>
      <c r="R1876" t="s">
        <v>29</v>
      </c>
      <c r="S1876" t="s">
        <v>1707</v>
      </c>
      <c r="T1876" t="s">
        <v>1708</v>
      </c>
    </row>
    <row r="1877" spans="1:20" x14ac:dyDescent="0.25">
      <c r="A1877" t="s">
        <v>5098</v>
      </c>
      <c r="B1877" t="str">
        <f>"1302"</f>
        <v>1302</v>
      </c>
      <c r="C1877" t="str">
        <f>"379941302"</f>
        <v>379941302</v>
      </c>
      <c r="D1877" t="s">
        <v>5099</v>
      </c>
      <c r="E1877" t="s">
        <v>3346</v>
      </c>
      <c r="G1877" s="1">
        <v>26220</v>
      </c>
      <c r="H1877" s="1">
        <v>40896</v>
      </c>
      <c r="I1877" t="str">
        <f>"12"</f>
        <v>12</v>
      </c>
      <c r="J1877" t="s">
        <v>245</v>
      </c>
      <c r="L1877" t="s">
        <v>37</v>
      </c>
      <c r="M1877" t="s">
        <v>143</v>
      </c>
      <c r="N1877" s="1">
        <v>41617</v>
      </c>
      <c r="O1877">
        <v>185.9</v>
      </c>
      <c r="P1877">
        <v>-185.9</v>
      </c>
      <c r="Q1877" t="s">
        <v>28</v>
      </c>
      <c r="R1877" t="s">
        <v>51</v>
      </c>
      <c r="S1877" s="2" t="s">
        <v>198</v>
      </c>
      <c r="T1877" t="s">
        <v>199</v>
      </c>
    </row>
    <row r="1878" spans="1:20" x14ac:dyDescent="0.25">
      <c r="A1878" t="s">
        <v>5100</v>
      </c>
      <c r="B1878" t="str">
        <f>"5211"</f>
        <v>5211</v>
      </c>
      <c r="C1878" t="str">
        <f>"290765211"</f>
        <v>290765211</v>
      </c>
      <c r="D1878" t="s">
        <v>3917</v>
      </c>
      <c r="E1878" t="s">
        <v>1074</v>
      </c>
      <c r="F1878" t="s">
        <v>69</v>
      </c>
      <c r="G1878" s="1">
        <v>25356</v>
      </c>
      <c r="H1878" s="1">
        <v>40889</v>
      </c>
      <c r="I1878" t="str">
        <f>"15"</f>
        <v>15</v>
      </c>
      <c r="J1878" t="s">
        <v>36</v>
      </c>
      <c r="K1878" t="s">
        <v>98</v>
      </c>
      <c r="L1878" t="s">
        <v>37</v>
      </c>
      <c r="M1878" t="s">
        <v>99</v>
      </c>
      <c r="N1878" s="1">
        <v>41617</v>
      </c>
      <c r="O1878">
        <v>14801.8</v>
      </c>
      <c r="P1878">
        <v>3700.32</v>
      </c>
      <c r="Q1878" t="s">
        <v>37</v>
      </c>
      <c r="R1878" t="s">
        <v>71</v>
      </c>
      <c r="S1878" t="s">
        <v>377</v>
      </c>
      <c r="T1878" t="s">
        <v>378</v>
      </c>
    </row>
    <row r="1879" spans="1:20" x14ac:dyDescent="0.25">
      <c r="A1879" t="s">
        <v>5101</v>
      </c>
      <c r="B1879" t="str">
        <f>"9637"</f>
        <v>9637</v>
      </c>
      <c r="C1879" t="str">
        <f>"531469637"</f>
        <v>531469637</v>
      </c>
      <c r="D1879" t="s">
        <v>5102</v>
      </c>
      <c r="E1879" t="s">
        <v>179</v>
      </c>
      <c r="F1879" t="s">
        <v>165</v>
      </c>
      <c r="G1879" s="1">
        <v>20191</v>
      </c>
      <c r="H1879" s="1">
        <v>40887</v>
      </c>
      <c r="I1879" t="str">
        <f>"51"</f>
        <v>51</v>
      </c>
      <c r="J1879" t="s">
        <v>471</v>
      </c>
      <c r="K1879" t="s">
        <v>25</v>
      </c>
      <c r="L1879" t="s">
        <v>26</v>
      </c>
      <c r="M1879" t="s">
        <v>27</v>
      </c>
      <c r="N1879" s="1">
        <v>18629</v>
      </c>
      <c r="O1879">
        <v>0</v>
      </c>
      <c r="P1879">
        <v>0</v>
      </c>
      <c r="Q1879" t="s">
        <v>28</v>
      </c>
      <c r="R1879" t="s">
        <v>71</v>
      </c>
      <c r="S1879" t="s">
        <v>600</v>
      </c>
      <c r="T1879" t="s">
        <v>601</v>
      </c>
    </row>
    <row r="1880" spans="1:20" x14ac:dyDescent="0.25">
      <c r="A1880" t="s">
        <v>5103</v>
      </c>
      <c r="B1880" t="str">
        <f>"8949"</f>
        <v>8949</v>
      </c>
      <c r="C1880" t="str">
        <f>"286528949"</f>
        <v>286528949</v>
      </c>
      <c r="D1880" t="s">
        <v>392</v>
      </c>
      <c r="E1880" t="s">
        <v>1813</v>
      </c>
      <c r="F1880" t="s">
        <v>97</v>
      </c>
      <c r="G1880" s="1">
        <v>19175</v>
      </c>
      <c r="H1880" s="1">
        <v>40875</v>
      </c>
      <c r="I1880" t="str">
        <f>"12"</f>
        <v>12</v>
      </c>
      <c r="J1880" t="s">
        <v>245</v>
      </c>
      <c r="K1880" t="s">
        <v>98</v>
      </c>
      <c r="L1880" t="s">
        <v>37</v>
      </c>
      <c r="M1880" t="s">
        <v>257</v>
      </c>
      <c r="N1880" s="1">
        <v>41617</v>
      </c>
      <c r="O1880">
        <v>10753.08</v>
      </c>
      <c r="P1880">
        <v>2688.4</v>
      </c>
      <c r="Q1880" t="s">
        <v>37</v>
      </c>
      <c r="R1880" t="s">
        <v>29</v>
      </c>
      <c r="S1880" t="s">
        <v>4694</v>
      </c>
      <c r="T1880" t="s">
        <v>4695</v>
      </c>
    </row>
    <row r="1881" spans="1:20" x14ac:dyDescent="0.25">
      <c r="A1881" t="s">
        <v>5104</v>
      </c>
      <c r="B1881" t="str">
        <f>"6921"</f>
        <v>6921</v>
      </c>
      <c r="C1881" t="str">
        <f>"273156921"</f>
        <v>273156921</v>
      </c>
      <c r="D1881" t="s">
        <v>5105</v>
      </c>
      <c r="E1881" t="s">
        <v>5106</v>
      </c>
      <c r="G1881" s="1">
        <v>31565</v>
      </c>
      <c r="H1881" s="1">
        <v>40875</v>
      </c>
      <c r="I1881" t="str">
        <f>"41"</f>
        <v>41</v>
      </c>
      <c r="J1881" t="s">
        <v>24</v>
      </c>
      <c r="K1881" t="s">
        <v>25</v>
      </c>
      <c r="L1881" t="s">
        <v>26</v>
      </c>
      <c r="M1881" t="s">
        <v>27</v>
      </c>
      <c r="N1881" s="1">
        <v>18629</v>
      </c>
      <c r="O1881">
        <v>0</v>
      </c>
      <c r="P1881">
        <v>0</v>
      </c>
      <c r="Q1881" t="s">
        <v>37</v>
      </c>
      <c r="R1881" t="s">
        <v>110</v>
      </c>
      <c r="S1881" t="s">
        <v>3667</v>
      </c>
      <c r="T1881" t="s">
        <v>3668</v>
      </c>
    </row>
    <row r="1882" spans="1:20" x14ac:dyDescent="0.25">
      <c r="A1882" t="s">
        <v>5107</v>
      </c>
      <c r="B1882" t="str">
        <f>"2443"</f>
        <v>2443</v>
      </c>
      <c r="C1882" t="str">
        <f>"275642443"</f>
        <v>275642443</v>
      </c>
      <c r="D1882" t="s">
        <v>5108</v>
      </c>
      <c r="E1882" t="s">
        <v>56</v>
      </c>
      <c r="G1882" s="1">
        <v>22043</v>
      </c>
      <c r="H1882" s="1">
        <v>40875</v>
      </c>
      <c r="I1882" t="str">
        <f>"15"</f>
        <v>15</v>
      </c>
      <c r="J1882" t="s">
        <v>36</v>
      </c>
      <c r="L1882" t="s">
        <v>37</v>
      </c>
      <c r="M1882" t="s">
        <v>143</v>
      </c>
      <c r="N1882" s="1">
        <v>41617</v>
      </c>
      <c r="O1882">
        <v>185.9</v>
      </c>
      <c r="P1882">
        <v>-185.9</v>
      </c>
      <c r="Q1882" t="s">
        <v>28</v>
      </c>
      <c r="R1882" t="s">
        <v>51</v>
      </c>
      <c r="S1882" s="2" t="s">
        <v>198</v>
      </c>
      <c r="T1882" t="s">
        <v>199</v>
      </c>
    </row>
    <row r="1883" spans="1:20" x14ac:dyDescent="0.25">
      <c r="A1883" t="s">
        <v>5109</v>
      </c>
      <c r="B1883" t="str">
        <f>"2367"</f>
        <v>2367</v>
      </c>
      <c r="C1883" t="str">
        <f>"288922367"</f>
        <v>288922367</v>
      </c>
      <c r="D1883" t="s">
        <v>5110</v>
      </c>
      <c r="E1883" t="s">
        <v>1907</v>
      </c>
      <c r="G1883" s="1">
        <v>32566</v>
      </c>
      <c r="H1883" s="1">
        <v>40875</v>
      </c>
      <c r="I1883" t="str">
        <f>"42"</f>
        <v>42</v>
      </c>
      <c r="J1883" t="s">
        <v>367</v>
      </c>
      <c r="K1883" t="s">
        <v>25</v>
      </c>
      <c r="L1883" t="s">
        <v>26</v>
      </c>
      <c r="M1883" t="s">
        <v>27</v>
      </c>
      <c r="N1883" s="1">
        <v>18629</v>
      </c>
      <c r="O1883">
        <v>0</v>
      </c>
      <c r="P1883">
        <v>0</v>
      </c>
      <c r="Q1883" t="s">
        <v>28</v>
      </c>
      <c r="R1883" t="s">
        <v>29</v>
      </c>
      <c r="S1883" t="s">
        <v>368</v>
      </c>
      <c r="T1883" t="s">
        <v>369</v>
      </c>
    </row>
    <row r="1884" spans="1:20" x14ac:dyDescent="0.25">
      <c r="A1884" t="s">
        <v>5111</v>
      </c>
      <c r="B1884" t="str">
        <f>"7384"</f>
        <v>7384</v>
      </c>
      <c r="C1884" t="str">
        <f>"293467384"</f>
        <v>293467384</v>
      </c>
      <c r="D1884" t="s">
        <v>5112</v>
      </c>
      <c r="E1884" t="s">
        <v>256</v>
      </c>
      <c r="F1884" t="s">
        <v>69</v>
      </c>
      <c r="G1884" s="1">
        <v>23843</v>
      </c>
      <c r="H1884" s="1">
        <v>40875</v>
      </c>
      <c r="I1884" t="str">
        <f>"05"</f>
        <v>05</v>
      </c>
      <c r="J1884" t="s">
        <v>58</v>
      </c>
      <c r="K1884" t="s">
        <v>98</v>
      </c>
      <c r="L1884" t="s">
        <v>37</v>
      </c>
      <c r="M1884" t="s">
        <v>99</v>
      </c>
      <c r="N1884" s="1">
        <v>41617</v>
      </c>
      <c r="O1884">
        <v>14801.8</v>
      </c>
      <c r="P1884">
        <v>3700.32</v>
      </c>
      <c r="Q1884" t="s">
        <v>37</v>
      </c>
      <c r="R1884" t="s">
        <v>71</v>
      </c>
      <c r="S1884" t="s">
        <v>522</v>
      </c>
      <c r="T1884" t="s">
        <v>523</v>
      </c>
    </row>
    <row r="1885" spans="1:20" x14ac:dyDescent="0.25">
      <c r="A1885" t="s">
        <v>5113</v>
      </c>
      <c r="B1885" t="str">
        <f>"5031"</f>
        <v>5031</v>
      </c>
      <c r="C1885" t="str">
        <f>"300865031"</f>
        <v>300865031</v>
      </c>
      <c r="D1885" t="s">
        <v>5114</v>
      </c>
      <c r="E1885" t="s">
        <v>5115</v>
      </c>
      <c r="G1885" s="1">
        <v>29986</v>
      </c>
      <c r="H1885" s="1">
        <v>40875</v>
      </c>
      <c r="I1885" t="str">
        <f>"30"</f>
        <v>30</v>
      </c>
      <c r="J1885" t="s">
        <v>50</v>
      </c>
      <c r="K1885" t="s">
        <v>25</v>
      </c>
      <c r="L1885" t="s">
        <v>26</v>
      </c>
      <c r="M1885" t="s">
        <v>27</v>
      </c>
      <c r="N1885" s="1">
        <v>18629</v>
      </c>
      <c r="O1885">
        <v>0</v>
      </c>
      <c r="P1885">
        <v>0</v>
      </c>
      <c r="Q1885" t="s">
        <v>37</v>
      </c>
      <c r="R1885" t="s">
        <v>100</v>
      </c>
      <c r="S1885" t="s">
        <v>655</v>
      </c>
      <c r="T1885" t="s">
        <v>656</v>
      </c>
    </row>
    <row r="1886" spans="1:20" x14ac:dyDescent="0.25">
      <c r="A1886" t="s">
        <v>5116</v>
      </c>
      <c r="B1886" t="str">
        <f>"3466"</f>
        <v>3466</v>
      </c>
      <c r="C1886" t="str">
        <f>"392963466"</f>
        <v>392963466</v>
      </c>
      <c r="D1886" t="s">
        <v>5117</v>
      </c>
      <c r="E1886" t="s">
        <v>466</v>
      </c>
      <c r="F1886" t="s">
        <v>239</v>
      </c>
      <c r="G1886" s="1">
        <v>28987</v>
      </c>
      <c r="H1886" s="1">
        <v>40873</v>
      </c>
      <c r="I1886" t="str">
        <f>"51"</f>
        <v>51</v>
      </c>
      <c r="J1886" t="s">
        <v>471</v>
      </c>
      <c r="K1886" t="s">
        <v>25</v>
      </c>
      <c r="L1886" t="s">
        <v>26</v>
      </c>
      <c r="M1886" t="s">
        <v>27</v>
      </c>
      <c r="N1886" s="1">
        <v>18629</v>
      </c>
      <c r="O1886">
        <v>0</v>
      </c>
      <c r="P1886">
        <v>0</v>
      </c>
      <c r="Q1886" t="s">
        <v>28</v>
      </c>
      <c r="R1886" t="s">
        <v>258</v>
      </c>
      <c r="S1886" t="s">
        <v>472</v>
      </c>
      <c r="T1886" t="s">
        <v>473</v>
      </c>
    </row>
    <row r="1887" spans="1:20" x14ac:dyDescent="0.25">
      <c r="A1887" t="s">
        <v>5118</v>
      </c>
      <c r="B1887" t="str">
        <f>"6220"</f>
        <v>6220</v>
      </c>
      <c r="C1887" t="str">
        <f>"300726220"</f>
        <v>300726220</v>
      </c>
      <c r="D1887" t="s">
        <v>5119</v>
      </c>
      <c r="E1887" t="s">
        <v>4848</v>
      </c>
      <c r="G1887" s="1">
        <v>25917</v>
      </c>
      <c r="H1887" s="1">
        <v>40869</v>
      </c>
      <c r="I1887" t="str">
        <f>"51"</f>
        <v>51</v>
      </c>
      <c r="J1887" t="s">
        <v>471</v>
      </c>
      <c r="K1887" t="s">
        <v>25</v>
      </c>
      <c r="L1887" t="s">
        <v>26</v>
      </c>
      <c r="M1887" t="s">
        <v>27</v>
      </c>
      <c r="N1887" s="1">
        <v>18629</v>
      </c>
      <c r="O1887">
        <v>0</v>
      </c>
      <c r="P1887">
        <v>0</v>
      </c>
      <c r="Q1887" t="s">
        <v>37</v>
      </c>
      <c r="R1887" t="s">
        <v>29</v>
      </c>
      <c r="S1887" t="s">
        <v>1427</v>
      </c>
      <c r="T1887" t="s">
        <v>1428</v>
      </c>
    </row>
    <row r="1888" spans="1:20" x14ac:dyDescent="0.25">
      <c r="A1888" t="s">
        <v>5120</v>
      </c>
      <c r="B1888" t="str">
        <f>"1356"</f>
        <v>1356</v>
      </c>
      <c r="C1888" t="str">
        <f>"285881356"</f>
        <v>285881356</v>
      </c>
      <c r="D1888" t="s">
        <v>1213</v>
      </c>
      <c r="E1888" t="s">
        <v>963</v>
      </c>
      <c r="F1888" t="s">
        <v>44</v>
      </c>
      <c r="G1888" s="1">
        <v>29568</v>
      </c>
      <c r="H1888" s="1">
        <v>40868</v>
      </c>
      <c r="I1888" t="str">
        <f>"33"</f>
        <v>33</v>
      </c>
      <c r="J1888" t="s">
        <v>45</v>
      </c>
      <c r="K1888" t="s">
        <v>25</v>
      </c>
      <c r="L1888" t="s">
        <v>26</v>
      </c>
      <c r="M1888" t="s">
        <v>27</v>
      </c>
      <c r="N1888" s="1">
        <v>18629</v>
      </c>
      <c r="O1888">
        <v>0</v>
      </c>
      <c r="P1888">
        <v>0</v>
      </c>
      <c r="Q1888" t="s">
        <v>37</v>
      </c>
      <c r="R1888" t="s">
        <v>599</v>
      </c>
      <c r="S1888" t="s">
        <v>600</v>
      </c>
      <c r="T1888" t="s">
        <v>601</v>
      </c>
    </row>
    <row r="1889" spans="1:20" x14ac:dyDescent="0.25">
      <c r="A1889" t="s">
        <v>5121</v>
      </c>
      <c r="B1889" t="str">
        <f>"5997"</f>
        <v>5997</v>
      </c>
      <c r="C1889" t="str">
        <f>"274485997"</f>
        <v>274485997</v>
      </c>
      <c r="D1889" t="s">
        <v>2919</v>
      </c>
      <c r="E1889" t="s">
        <v>1164</v>
      </c>
      <c r="G1889" s="1">
        <v>21547</v>
      </c>
      <c r="H1889" s="1">
        <v>40868</v>
      </c>
      <c r="I1889" t="str">
        <f>"42"</f>
        <v>42</v>
      </c>
      <c r="J1889" t="s">
        <v>367</v>
      </c>
      <c r="K1889" t="s">
        <v>25</v>
      </c>
      <c r="L1889" t="s">
        <v>26</v>
      </c>
      <c r="M1889" t="s">
        <v>27</v>
      </c>
      <c r="N1889" s="1">
        <v>18629</v>
      </c>
      <c r="O1889">
        <v>0</v>
      </c>
      <c r="P1889">
        <v>0</v>
      </c>
      <c r="Q1889" t="s">
        <v>28</v>
      </c>
      <c r="R1889" t="s">
        <v>599</v>
      </c>
      <c r="S1889" t="s">
        <v>5122</v>
      </c>
      <c r="T1889" t="s">
        <v>5123</v>
      </c>
    </row>
    <row r="1890" spans="1:20" x14ac:dyDescent="0.25">
      <c r="A1890" t="s">
        <v>5124</v>
      </c>
      <c r="B1890" t="str">
        <f>"2085"</f>
        <v>2085</v>
      </c>
      <c r="C1890" t="str">
        <f>"278882085"</f>
        <v>278882085</v>
      </c>
      <c r="D1890" t="s">
        <v>3614</v>
      </c>
      <c r="E1890" t="s">
        <v>1711</v>
      </c>
      <c r="F1890" t="s">
        <v>358</v>
      </c>
      <c r="G1890" s="1">
        <v>29926</v>
      </c>
      <c r="H1890" s="1">
        <v>40864</v>
      </c>
      <c r="I1890" t="str">
        <f>"51"</f>
        <v>51</v>
      </c>
      <c r="J1890" t="s">
        <v>471</v>
      </c>
      <c r="K1890" t="s">
        <v>25</v>
      </c>
      <c r="L1890" t="s">
        <v>26</v>
      </c>
      <c r="M1890" t="s">
        <v>27</v>
      </c>
      <c r="N1890" s="1">
        <v>18629</v>
      </c>
      <c r="O1890">
        <v>0</v>
      </c>
      <c r="P1890">
        <v>0</v>
      </c>
      <c r="Q1890" t="s">
        <v>37</v>
      </c>
      <c r="R1890" t="s">
        <v>71</v>
      </c>
      <c r="S1890" t="s">
        <v>5125</v>
      </c>
      <c r="T1890" t="s">
        <v>5126</v>
      </c>
    </row>
    <row r="1891" spans="1:20" x14ac:dyDescent="0.25">
      <c r="A1891" t="s">
        <v>5127</v>
      </c>
      <c r="B1891" t="str">
        <f>"1113"</f>
        <v>1113</v>
      </c>
      <c r="C1891" t="str">
        <f>"286111113"</f>
        <v>286111113</v>
      </c>
      <c r="D1891" t="s">
        <v>5128</v>
      </c>
      <c r="E1891" t="s">
        <v>5129</v>
      </c>
      <c r="G1891" s="1">
        <v>36892</v>
      </c>
      <c r="H1891" s="1">
        <v>40864</v>
      </c>
      <c r="I1891" t="str">
        <f>"60"</f>
        <v>60</v>
      </c>
      <c r="J1891" t="s">
        <v>5130</v>
      </c>
      <c r="K1891" t="s">
        <v>25</v>
      </c>
      <c r="L1891" t="s">
        <v>26</v>
      </c>
      <c r="M1891" t="s">
        <v>27</v>
      </c>
      <c r="N1891" s="1">
        <v>18629</v>
      </c>
      <c r="O1891">
        <v>0</v>
      </c>
      <c r="P1891">
        <v>0</v>
      </c>
      <c r="Q1891" t="s">
        <v>37</v>
      </c>
      <c r="R1891" t="s">
        <v>1015</v>
      </c>
      <c r="S1891" t="s">
        <v>39</v>
      </c>
      <c r="T1891" t="s">
        <v>40</v>
      </c>
    </row>
    <row r="1892" spans="1:20" x14ac:dyDescent="0.25">
      <c r="A1892" t="s">
        <v>5131</v>
      </c>
      <c r="B1892" t="str">
        <f>"8560"</f>
        <v>8560</v>
      </c>
      <c r="C1892" t="str">
        <f>"291808560"</f>
        <v>291808560</v>
      </c>
      <c r="D1892" t="s">
        <v>5132</v>
      </c>
      <c r="E1892" t="s">
        <v>2786</v>
      </c>
      <c r="F1892" t="s">
        <v>97</v>
      </c>
      <c r="G1892" s="1">
        <v>30561</v>
      </c>
      <c r="H1892" s="1">
        <v>40861</v>
      </c>
      <c r="I1892" t="str">
        <f>"05"</f>
        <v>05</v>
      </c>
      <c r="J1892" t="s">
        <v>58</v>
      </c>
      <c r="L1892" t="s">
        <v>37</v>
      </c>
      <c r="M1892" t="s">
        <v>143</v>
      </c>
      <c r="N1892" s="1">
        <v>41617</v>
      </c>
      <c r="O1892">
        <v>185.9</v>
      </c>
      <c r="P1892">
        <v>-185.9</v>
      </c>
      <c r="Q1892" t="s">
        <v>37</v>
      </c>
      <c r="R1892" t="s">
        <v>71</v>
      </c>
      <c r="S1892" t="s">
        <v>660</v>
      </c>
      <c r="T1892" t="s">
        <v>661</v>
      </c>
    </row>
    <row r="1893" spans="1:20" x14ac:dyDescent="0.25">
      <c r="A1893" t="s">
        <v>5133</v>
      </c>
      <c r="B1893" t="str">
        <f>"5376"</f>
        <v>5376</v>
      </c>
      <c r="C1893" t="str">
        <f>"286725376"</f>
        <v>286725376</v>
      </c>
      <c r="D1893" t="s">
        <v>5134</v>
      </c>
      <c r="E1893" t="s">
        <v>5135</v>
      </c>
      <c r="F1893" t="s">
        <v>1164</v>
      </c>
      <c r="G1893" s="1">
        <v>23156</v>
      </c>
      <c r="H1893" s="1">
        <v>40861</v>
      </c>
      <c r="I1893" t="str">
        <f>"01"</f>
        <v>01</v>
      </c>
      <c r="J1893" t="s">
        <v>116</v>
      </c>
      <c r="K1893" t="s">
        <v>98</v>
      </c>
      <c r="L1893" t="s">
        <v>37</v>
      </c>
      <c r="M1893" t="s">
        <v>257</v>
      </c>
      <c r="N1893" s="1">
        <v>41617</v>
      </c>
      <c r="O1893">
        <v>10753.08</v>
      </c>
      <c r="P1893">
        <v>2688.4</v>
      </c>
      <c r="Q1893" t="s">
        <v>28</v>
      </c>
      <c r="R1893" t="s">
        <v>110</v>
      </c>
      <c r="S1893" t="s">
        <v>1346</v>
      </c>
      <c r="T1893" t="s">
        <v>1347</v>
      </c>
    </row>
    <row r="1894" spans="1:20" x14ac:dyDescent="0.25">
      <c r="A1894" t="s">
        <v>5136</v>
      </c>
      <c r="B1894" t="str">
        <f>"9854"</f>
        <v>9854</v>
      </c>
      <c r="C1894" t="str">
        <f>"380729854"</f>
        <v>380729854</v>
      </c>
      <c r="D1894" t="s">
        <v>440</v>
      </c>
      <c r="E1894" t="s">
        <v>5137</v>
      </c>
      <c r="G1894" s="1">
        <v>21697</v>
      </c>
      <c r="H1894" s="1">
        <v>40861</v>
      </c>
      <c r="I1894" t="str">
        <f>"01"</f>
        <v>01</v>
      </c>
      <c r="J1894" t="s">
        <v>116</v>
      </c>
      <c r="K1894" t="s">
        <v>98</v>
      </c>
      <c r="L1894" t="s">
        <v>37</v>
      </c>
      <c r="M1894" t="s">
        <v>117</v>
      </c>
      <c r="N1894" s="1">
        <v>41617</v>
      </c>
      <c r="O1894">
        <v>4951.96</v>
      </c>
      <c r="P1894">
        <v>1237.8599999999999</v>
      </c>
      <c r="Q1894" t="s">
        <v>37</v>
      </c>
      <c r="R1894" t="s">
        <v>110</v>
      </c>
      <c r="S1894" t="s">
        <v>2071</v>
      </c>
      <c r="T1894" t="s">
        <v>2072</v>
      </c>
    </row>
    <row r="1895" spans="1:20" x14ac:dyDescent="0.25">
      <c r="A1895" t="s">
        <v>5138</v>
      </c>
      <c r="B1895" t="str">
        <f>"4404"</f>
        <v>4404</v>
      </c>
      <c r="C1895" t="str">
        <f>"301604404"</f>
        <v>301604404</v>
      </c>
      <c r="D1895" t="s">
        <v>5139</v>
      </c>
      <c r="E1895" t="s">
        <v>109</v>
      </c>
      <c r="G1895" s="1">
        <v>22596</v>
      </c>
      <c r="H1895" s="1">
        <v>40861</v>
      </c>
      <c r="I1895" t="str">
        <f>"03"</f>
        <v>03</v>
      </c>
      <c r="J1895" t="s">
        <v>70</v>
      </c>
      <c r="K1895" t="s">
        <v>98</v>
      </c>
      <c r="L1895" t="s">
        <v>37</v>
      </c>
      <c r="M1895" t="s">
        <v>99</v>
      </c>
      <c r="N1895" s="1">
        <v>41617</v>
      </c>
      <c r="O1895">
        <v>14801.8</v>
      </c>
      <c r="P1895">
        <v>3700.32</v>
      </c>
      <c r="Q1895" t="s">
        <v>37</v>
      </c>
      <c r="R1895" t="s">
        <v>51</v>
      </c>
      <c r="S1895" s="2" t="s">
        <v>1508</v>
      </c>
      <c r="T1895" t="s">
        <v>1509</v>
      </c>
    </row>
    <row r="1896" spans="1:20" x14ac:dyDescent="0.25">
      <c r="A1896" t="s">
        <v>5140</v>
      </c>
      <c r="B1896" t="str">
        <f>"3632"</f>
        <v>3632</v>
      </c>
      <c r="C1896" t="str">
        <f>"401723632"</f>
        <v>401723632</v>
      </c>
      <c r="D1896" t="s">
        <v>5141</v>
      </c>
      <c r="E1896" t="s">
        <v>33</v>
      </c>
      <c r="F1896" t="s">
        <v>174</v>
      </c>
      <c r="G1896" s="1">
        <v>20485</v>
      </c>
      <c r="H1896" s="1">
        <v>40854</v>
      </c>
      <c r="I1896" t="str">
        <f>"50"</f>
        <v>50</v>
      </c>
      <c r="J1896" t="s">
        <v>208</v>
      </c>
      <c r="K1896" t="s">
        <v>25</v>
      </c>
      <c r="L1896" t="s">
        <v>26</v>
      </c>
      <c r="M1896" t="s">
        <v>27</v>
      </c>
      <c r="N1896" s="1">
        <v>18629</v>
      </c>
      <c r="O1896">
        <v>0</v>
      </c>
      <c r="P1896">
        <v>0</v>
      </c>
      <c r="Q1896" t="s">
        <v>28</v>
      </c>
      <c r="R1896" t="s">
        <v>312</v>
      </c>
      <c r="S1896" t="s">
        <v>960</v>
      </c>
      <c r="T1896" t="s">
        <v>314</v>
      </c>
    </row>
    <row r="1897" spans="1:20" x14ac:dyDescent="0.25">
      <c r="A1897" t="s">
        <v>5142</v>
      </c>
      <c r="B1897" t="str">
        <f>"8473"</f>
        <v>8473</v>
      </c>
      <c r="C1897" t="str">
        <f>"292508473"</f>
        <v>292508473</v>
      </c>
      <c r="D1897" t="s">
        <v>907</v>
      </c>
      <c r="E1897" t="s">
        <v>5143</v>
      </c>
      <c r="F1897" t="s">
        <v>5144</v>
      </c>
      <c r="G1897" s="1">
        <v>18729</v>
      </c>
      <c r="H1897" s="1">
        <v>40854</v>
      </c>
      <c r="I1897" t="str">
        <f>"52"</f>
        <v>52</v>
      </c>
      <c r="J1897" t="s">
        <v>330</v>
      </c>
      <c r="K1897" t="s">
        <v>25</v>
      </c>
      <c r="L1897" t="s">
        <v>26</v>
      </c>
      <c r="M1897" t="s">
        <v>27</v>
      </c>
      <c r="N1897" s="1">
        <v>18629</v>
      </c>
      <c r="O1897">
        <v>0</v>
      </c>
      <c r="P1897">
        <v>0</v>
      </c>
      <c r="Q1897" t="s">
        <v>28</v>
      </c>
      <c r="R1897" t="s">
        <v>51</v>
      </c>
      <c r="S1897" s="2" t="s">
        <v>3548</v>
      </c>
      <c r="T1897" t="s">
        <v>3549</v>
      </c>
    </row>
    <row r="1898" spans="1:20" x14ac:dyDescent="0.25">
      <c r="A1898" t="s">
        <v>5145</v>
      </c>
      <c r="B1898" t="str">
        <f>"4424"</f>
        <v>4424</v>
      </c>
      <c r="C1898" t="str">
        <f>"302584424"</f>
        <v>302584424</v>
      </c>
      <c r="D1898" t="s">
        <v>5146</v>
      </c>
      <c r="E1898" t="s">
        <v>304</v>
      </c>
      <c r="F1898" t="s">
        <v>165</v>
      </c>
      <c r="G1898" s="1">
        <v>20491</v>
      </c>
      <c r="H1898" s="1">
        <v>40854</v>
      </c>
      <c r="I1898" t="str">
        <f>"52"</f>
        <v>52</v>
      </c>
      <c r="J1898" t="s">
        <v>330</v>
      </c>
      <c r="K1898" t="s">
        <v>25</v>
      </c>
      <c r="L1898" t="s">
        <v>26</v>
      </c>
      <c r="M1898" t="s">
        <v>27</v>
      </c>
      <c r="N1898" s="1">
        <v>18629</v>
      </c>
      <c r="O1898">
        <v>0</v>
      </c>
      <c r="P1898">
        <v>0</v>
      </c>
      <c r="Q1898" t="s">
        <v>28</v>
      </c>
      <c r="R1898" t="s">
        <v>258</v>
      </c>
      <c r="S1898" t="s">
        <v>1235</v>
      </c>
      <c r="T1898" t="s">
        <v>1236</v>
      </c>
    </row>
    <row r="1899" spans="1:20" x14ac:dyDescent="0.25">
      <c r="A1899" t="s">
        <v>5147</v>
      </c>
      <c r="B1899" t="str">
        <f>"6663"</f>
        <v>6663</v>
      </c>
      <c r="C1899" t="str">
        <f>"285586663"</f>
        <v>285586663</v>
      </c>
      <c r="D1899" t="s">
        <v>5148</v>
      </c>
      <c r="E1899" t="s">
        <v>2503</v>
      </c>
      <c r="F1899" t="s">
        <v>93</v>
      </c>
      <c r="G1899" s="1">
        <v>20514</v>
      </c>
      <c r="H1899" s="1">
        <v>40854</v>
      </c>
      <c r="I1899" t="str">
        <f>"33"</f>
        <v>33</v>
      </c>
      <c r="J1899" t="s">
        <v>45</v>
      </c>
      <c r="K1899" t="s">
        <v>25</v>
      </c>
      <c r="L1899" t="s">
        <v>26</v>
      </c>
      <c r="M1899" t="s">
        <v>27</v>
      </c>
      <c r="N1899" s="1">
        <v>18629</v>
      </c>
      <c r="O1899">
        <v>0</v>
      </c>
      <c r="P1899">
        <v>0</v>
      </c>
      <c r="Q1899" t="s">
        <v>37</v>
      </c>
      <c r="R1899" t="s">
        <v>71</v>
      </c>
      <c r="S1899" t="s">
        <v>600</v>
      </c>
      <c r="T1899" t="s">
        <v>601</v>
      </c>
    </row>
    <row r="1900" spans="1:20" x14ac:dyDescent="0.25">
      <c r="A1900" t="s">
        <v>5149</v>
      </c>
      <c r="B1900" t="str">
        <f>"3706"</f>
        <v>3706</v>
      </c>
      <c r="C1900" t="str">
        <f>"308543706"</f>
        <v>308543706</v>
      </c>
      <c r="D1900" t="s">
        <v>5150</v>
      </c>
      <c r="E1900" t="s">
        <v>322</v>
      </c>
      <c r="F1900" t="s">
        <v>329</v>
      </c>
      <c r="G1900" s="1">
        <v>19711</v>
      </c>
      <c r="H1900" s="1">
        <v>40851</v>
      </c>
      <c r="I1900" t="str">
        <f>"51"</f>
        <v>51</v>
      </c>
      <c r="J1900" t="s">
        <v>471</v>
      </c>
      <c r="K1900" t="s">
        <v>25</v>
      </c>
      <c r="L1900" t="s">
        <v>26</v>
      </c>
      <c r="M1900" t="s">
        <v>27</v>
      </c>
      <c r="N1900" s="1">
        <v>18629</v>
      </c>
      <c r="O1900">
        <v>0</v>
      </c>
      <c r="P1900">
        <v>0</v>
      </c>
      <c r="Q1900" t="s">
        <v>37</v>
      </c>
      <c r="R1900" t="s">
        <v>29</v>
      </c>
      <c r="S1900" t="s">
        <v>801</v>
      </c>
      <c r="T1900" t="s">
        <v>802</v>
      </c>
    </row>
    <row r="1901" spans="1:20" x14ac:dyDescent="0.25">
      <c r="A1901" t="s">
        <v>5151</v>
      </c>
      <c r="B1901" t="str">
        <f>"2870"</f>
        <v>2870</v>
      </c>
      <c r="C1901" t="str">
        <f>"294982870"</f>
        <v>294982870</v>
      </c>
      <c r="D1901" t="s">
        <v>5152</v>
      </c>
      <c r="E1901" t="s">
        <v>1164</v>
      </c>
      <c r="F1901" t="s">
        <v>282</v>
      </c>
      <c r="G1901" s="1">
        <v>20285</v>
      </c>
      <c r="H1901" s="1">
        <v>40848</v>
      </c>
      <c r="I1901" t="str">
        <f>"41"</f>
        <v>41</v>
      </c>
      <c r="J1901" t="s">
        <v>24</v>
      </c>
      <c r="K1901" t="s">
        <v>25</v>
      </c>
      <c r="L1901" t="s">
        <v>26</v>
      </c>
      <c r="M1901" t="s">
        <v>27</v>
      </c>
      <c r="N1901" s="1">
        <v>18629</v>
      </c>
      <c r="O1901">
        <v>0</v>
      </c>
      <c r="P1901">
        <v>0</v>
      </c>
      <c r="Q1901" t="s">
        <v>28</v>
      </c>
      <c r="R1901" t="s">
        <v>258</v>
      </c>
      <c r="S1901" t="s">
        <v>605</v>
      </c>
      <c r="T1901" t="s">
        <v>606</v>
      </c>
    </row>
    <row r="1902" spans="1:20" x14ac:dyDescent="0.25">
      <c r="A1902" t="s">
        <v>5153</v>
      </c>
      <c r="B1902" t="str">
        <f>"6290"</f>
        <v>6290</v>
      </c>
      <c r="C1902" t="str">
        <f>"300426290"</f>
        <v>300426290</v>
      </c>
      <c r="D1902" t="s">
        <v>5154</v>
      </c>
      <c r="E1902" t="s">
        <v>900</v>
      </c>
      <c r="F1902" t="s">
        <v>44</v>
      </c>
      <c r="G1902" s="1">
        <v>17562</v>
      </c>
      <c r="H1902" s="1">
        <v>40847</v>
      </c>
      <c r="I1902" t="str">
        <f>"51"</f>
        <v>51</v>
      </c>
      <c r="J1902" t="s">
        <v>471</v>
      </c>
      <c r="K1902" t="s">
        <v>25</v>
      </c>
      <c r="L1902" t="s">
        <v>26</v>
      </c>
      <c r="M1902" t="s">
        <v>27</v>
      </c>
      <c r="N1902" s="1">
        <v>18629</v>
      </c>
      <c r="O1902">
        <v>0</v>
      </c>
      <c r="P1902">
        <v>0</v>
      </c>
      <c r="Q1902" t="s">
        <v>37</v>
      </c>
      <c r="R1902" t="s">
        <v>29</v>
      </c>
      <c r="S1902" t="s">
        <v>138</v>
      </c>
      <c r="T1902" t="s">
        <v>139</v>
      </c>
    </row>
    <row r="1903" spans="1:20" x14ac:dyDescent="0.25">
      <c r="A1903" t="s">
        <v>5155</v>
      </c>
      <c r="B1903" t="str">
        <f>"1511"</f>
        <v>1511</v>
      </c>
      <c r="C1903" t="str">
        <f>"278701511"</f>
        <v>278701511</v>
      </c>
      <c r="D1903" t="s">
        <v>5156</v>
      </c>
      <c r="E1903" t="s">
        <v>1808</v>
      </c>
      <c r="F1903" t="s">
        <v>256</v>
      </c>
      <c r="G1903" s="1">
        <v>23061</v>
      </c>
      <c r="H1903" s="1">
        <v>40847</v>
      </c>
      <c r="I1903" t="str">
        <f>"30"</f>
        <v>30</v>
      </c>
      <c r="J1903" t="s">
        <v>50</v>
      </c>
      <c r="K1903" t="s">
        <v>25</v>
      </c>
      <c r="L1903" t="s">
        <v>26</v>
      </c>
      <c r="M1903" t="s">
        <v>27</v>
      </c>
      <c r="N1903" s="1">
        <v>18629</v>
      </c>
      <c r="O1903">
        <v>0</v>
      </c>
      <c r="P1903">
        <v>0</v>
      </c>
      <c r="Q1903" t="s">
        <v>37</v>
      </c>
      <c r="R1903" t="s">
        <v>29</v>
      </c>
      <c r="S1903" t="s">
        <v>240</v>
      </c>
      <c r="T1903" t="s">
        <v>241</v>
      </c>
    </row>
    <row r="1904" spans="1:20" x14ac:dyDescent="0.25">
      <c r="A1904" t="s">
        <v>5157</v>
      </c>
      <c r="B1904" t="str">
        <f>"5493"</f>
        <v>5493</v>
      </c>
      <c r="C1904" t="str">
        <f>"273025493"</f>
        <v>273025493</v>
      </c>
      <c r="D1904" t="s">
        <v>5158</v>
      </c>
      <c r="E1904" t="s">
        <v>5159</v>
      </c>
      <c r="F1904" t="s">
        <v>1350</v>
      </c>
      <c r="G1904" s="1">
        <v>30885</v>
      </c>
      <c r="H1904" s="1">
        <v>40847</v>
      </c>
      <c r="I1904" t="str">
        <f>"05"</f>
        <v>05</v>
      </c>
      <c r="J1904" t="s">
        <v>58</v>
      </c>
      <c r="K1904" t="s">
        <v>175</v>
      </c>
      <c r="L1904" t="s">
        <v>37</v>
      </c>
      <c r="M1904" t="s">
        <v>117</v>
      </c>
      <c r="N1904" s="1">
        <v>41617</v>
      </c>
      <c r="O1904">
        <v>5288.66</v>
      </c>
      <c r="P1904">
        <v>1322.1</v>
      </c>
      <c r="Q1904" t="s">
        <v>37</v>
      </c>
      <c r="R1904" t="s">
        <v>29</v>
      </c>
      <c r="S1904" t="s">
        <v>973</v>
      </c>
      <c r="T1904" t="s">
        <v>974</v>
      </c>
    </row>
    <row r="1905" spans="1:20" x14ac:dyDescent="0.25">
      <c r="A1905" t="s">
        <v>5160</v>
      </c>
      <c r="B1905" t="str">
        <f>"0540"</f>
        <v>0540</v>
      </c>
      <c r="C1905" t="str">
        <f>"286680540"</f>
        <v>286680540</v>
      </c>
      <c r="D1905" t="s">
        <v>5161</v>
      </c>
      <c r="E1905" t="s">
        <v>5162</v>
      </c>
      <c r="F1905" t="s">
        <v>122</v>
      </c>
      <c r="G1905" s="1">
        <v>22248</v>
      </c>
      <c r="H1905" s="1">
        <v>40847</v>
      </c>
      <c r="I1905" t="str">
        <f>"01"</f>
        <v>01</v>
      </c>
      <c r="J1905" t="s">
        <v>116</v>
      </c>
      <c r="K1905" t="s">
        <v>175</v>
      </c>
      <c r="L1905" t="s">
        <v>37</v>
      </c>
      <c r="M1905" t="s">
        <v>117</v>
      </c>
      <c r="N1905" s="1">
        <v>41617</v>
      </c>
      <c r="O1905">
        <v>5288.66</v>
      </c>
      <c r="P1905">
        <v>1322.1</v>
      </c>
      <c r="Q1905" t="s">
        <v>28</v>
      </c>
      <c r="R1905" t="s">
        <v>29</v>
      </c>
      <c r="S1905" t="s">
        <v>30</v>
      </c>
      <c r="T1905" t="s">
        <v>31</v>
      </c>
    </row>
    <row r="1906" spans="1:20" x14ac:dyDescent="0.25">
      <c r="A1906" t="s">
        <v>5163</v>
      </c>
      <c r="B1906" t="str">
        <f>"5208"</f>
        <v>5208</v>
      </c>
      <c r="C1906" t="str">
        <f>"270845208"</f>
        <v>270845208</v>
      </c>
      <c r="D1906" t="s">
        <v>5164</v>
      </c>
      <c r="E1906" t="s">
        <v>178</v>
      </c>
      <c r="F1906" t="s">
        <v>4373</v>
      </c>
      <c r="G1906" s="1">
        <v>30787</v>
      </c>
      <c r="H1906" s="1">
        <v>40847</v>
      </c>
      <c r="I1906" t="str">
        <f>"05"</f>
        <v>05</v>
      </c>
      <c r="J1906" t="s">
        <v>58</v>
      </c>
      <c r="L1906" t="s">
        <v>37</v>
      </c>
      <c r="M1906" t="s">
        <v>143</v>
      </c>
      <c r="N1906" s="1">
        <v>41617</v>
      </c>
      <c r="O1906">
        <v>185.9</v>
      </c>
      <c r="P1906">
        <v>-185.9</v>
      </c>
      <c r="Q1906" t="s">
        <v>28</v>
      </c>
      <c r="R1906" t="s">
        <v>71</v>
      </c>
      <c r="S1906" t="s">
        <v>373</v>
      </c>
      <c r="T1906" t="s">
        <v>374</v>
      </c>
    </row>
    <row r="1907" spans="1:20" x14ac:dyDescent="0.25">
      <c r="A1907" t="s">
        <v>5165</v>
      </c>
      <c r="B1907" t="str">
        <f>"6165"</f>
        <v>6165</v>
      </c>
      <c r="C1907" t="str">
        <f>"296706165"</f>
        <v>296706165</v>
      </c>
      <c r="D1907" t="s">
        <v>5166</v>
      </c>
      <c r="E1907" t="s">
        <v>448</v>
      </c>
      <c r="F1907" t="s">
        <v>28</v>
      </c>
      <c r="G1907" s="1">
        <v>27933</v>
      </c>
      <c r="H1907" s="1">
        <v>40847</v>
      </c>
      <c r="I1907" t="str">
        <f>"01"</f>
        <v>01</v>
      </c>
      <c r="J1907" t="s">
        <v>116</v>
      </c>
      <c r="K1907" t="s">
        <v>98</v>
      </c>
      <c r="L1907" t="s">
        <v>37</v>
      </c>
      <c r="M1907" t="s">
        <v>257</v>
      </c>
      <c r="N1907" s="1">
        <v>41617</v>
      </c>
      <c r="O1907">
        <v>10753.08</v>
      </c>
      <c r="P1907">
        <v>2688.4</v>
      </c>
      <c r="Q1907" t="s">
        <v>37</v>
      </c>
      <c r="R1907" t="s">
        <v>38</v>
      </c>
      <c r="S1907" t="s">
        <v>566</v>
      </c>
      <c r="T1907" t="s">
        <v>567</v>
      </c>
    </row>
    <row r="1908" spans="1:20" x14ac:dyDescent="0.25">
      <c r="A1908" t="s">
        <v>5167</v>
      </c>
      <c r="B1908" t="str">
        <f>"7565"</f>
        <v>7565</v>
      </c>
      <c r="C1908" t="str">
        <f>"046607565"</f>
        <v>046607565</v>
      </c>
      <c r="D1908" t="s">
        <v>3072</v>
      </c>
      <c r="E1908" t="s">
        <v>5168</v>
      </c>
      <c r="G1908" s="1">
        <v>26064</v>
      </c>
      <c r="H1908" s="1">
        <v>40847</v>
      </c>
      <c r="I1908" t="str">
        <f>"12"</f>
        <v>12</v>
      </c>
      <c r="J1908" t="s">
        <v>245</v>
      </c>
      <c r="K1908" t="s">
        <v>98</v>
      </c>
      <c r="L1908" t="s">
        <v>37</v>
      </c>
      <c r="M1908" t="s">
        <v>99</v>
      </c>
      <c r="N1908" s="1">
        <v>41617</v>
      </c>
      <c r="O1908">
        <v>14801.8</v>
      </c>
      <c r="P1908">
        <v>3700.32</v>
      </c>
      <c r="Q1908" t="s">
        <v>37</v>
      </c>
      <c r="R1908" t="s">
        <v>29</v>
      </c>
      <c r="S1908" t="s">
        <v>541</v>
      </c>
      <c r="T1908" t="s">
        <v>542</v>
      </c>
    </row>
    <row r="1909" spans="1:20" x14ac:dyDescent="0.25">
      <c r="A1909" t="s">
        <v>5169</v>
      </c>
      <c r="B1909" t="str">
        <f>"3163"</f>
        <v>3163</v>
      </c>
      <c r="C1909" t="str">
        <f>"294803163"</f>
        <v>294803163</v>
      </c>
      <c r="D1909" t="s">
        <v>452</v>
      </c>
      <c r="E1909" t="s">
        <v>2308</v>
      </c>
      <c r="G1909" s="1">
        <v>28026</v>
      </c>
      <c r="H1909" s="1">
        <v>40847</v>
      </c>
      <c r="I1909" t="str">
        <f>"03"</f>
        <v>03</v>
      </c>
      <c r="J1909" t="s">
        <v>70</v>
      </c>
      <c r="K1909" t="s">
        <v>98</v>
      </c>
      <c r="L1909" t="s">
        <v>37</v>
      </c>
      <c r="M1909" t="s">
        <v>257</v>
      </c>
      <c r="N1909" s="1">
        <v>41799</v>
      </c>
      <c r="O1909">
        <v>10753.08</v>
      </c>
      <c r="P1909">
        <v>2688.4</v>
      </c>
      <c r="Q1909" t="s">
        <v>37</v>
      </c>
      <c r="R1909" t="s">
        <v>38</v>
      </c>
      <c r="S1909" t="s">
        <v>1842</v>
      </c>
      <c r="T1909" t="s">
        <v>1843</v>
      </c>
    </row>
    <row r="1910" spans="1:20" x14ac:dyDescent="0.25">
      <c r="A1910" t="s">
        <v>5170</v>
      </c>
      <c r="B1910" t="str">
        <f>"7847"</f>
        <v>7847</v>
      </c>
      <c r="C1910" t="str">
        <f>"272647847"</f>
        <v>272647847</v>
      </c>
      <c r="D1910" t="s">
        <v>5171</v>
      </c>
      <c r="E1910" t="s">
        <v>1981</v>
      </c>
      <c r="G1910" s="1">
        <v>22612</v>
      </c>
      <c r="H1910" s="1">
        <v>40847</v>
      </c>
      <c r="I1910" t="str">
        <f>"30"</f>
        <v>30</v>
      </c>
      <c r="J1910" t="s">
        <v>50</v>
      </c>
      <c r="K1910" t="s">
        <v>25</v>
      </c>
      <c r="L1910" t="s">
        <v>26</v>
      </c>
      <c r="M1910" t="s">
        <v>27</v>
      </c>
      <c r="N1910" s="1">
        <v>18629</v>
      </c>
      <c r="O1910">
        <v>0</v>
      </c>
      <c r="P1910">
        <v>0</v>
      </c>
      <c r="Q1910" t="s">
        <v>37</v>
      </c>
      <c r="R1910" t="s">
        <v>51</v>
      </c>
      <c r="S1910" t="s">
        <v>4513</v>
      </c>
      <c r="T1910" t="s">
        <v>4514</v>
      </c>
    </row>
    <row r="1911" spans="1:20" x14ac:dyDescent="0.25">
      <c r="A1911" t="s">
        <v>5172</v>
      </c>
      <c r="B1911" t="str">
        <f>"7208"</f>
        <v>7208</v>
      </c>
      <c r="C1911" t="str">
        <f>"281567208"</f>
        <v>281567208</v>
      </c>
      <c r="D1911" t="s">
        <v>5173</v>
      </c>
      <c r="E1911" t="s">
        <v>5174</v>
      </c>
      <c r="G1911" s="1">
        <v>22006</v>
      </c>
      <c r="H1911" s="1">
        <v>40841</v>
      </c>
      <c r="I1911" t="str">
        <f>"51"</f>
        <v>51</v>
      </c>
      <c r="J1911" t="s">
        <v>471</v>
      </c>
      <c r="K1911" t="s">
        <v>25</v>
      </c>
      <c r="L1911" t="s">
        <v>26</v>
      </c>
      <c r="M1911" t="s">
        <v>27</v>
      </c>
      <c r="N1911" s="1">
        <v>18629</v>
      </c>
      <c r="O1911">
        <v>0</v>
      </c>
      <c r="P1911">
        <v>0</v>
      </c>
      <c r="Q1911" t="s">
        <v>37</v>
      </c>
      <c r="R1911" t="s">
        <v>29</v>
      </c>
      <c r="S1911" t="s">
        <v>5175</v>
      </c>
      <c r="T1911" t="s">
        <v>5176</v>
      </c>
    </row>
    <row r="1912" spans="1:20" x14ac:dyDescent="0.25">
      <c r="A1912" t="s">
        <v>5177</v>
      </c>
      <c r="B1912" t="str">
        <f>"3234"</f>
        <v>3234</v>
      </c>
      <c r="C1912" t="str">
        <f>"299863234"</f>
        <v>299863234</v>
      </c>
      <c r="D1912" t="s">
        <v>5178</v>
      </c>
      <c r="E1912" t="s">
        <v>969</v>
      </c>
      <c r="F1912" t="s">
        <v>219</v>
      </c>
      <c r="G1912" s="1">
        <v>28200</v>
      </c>
      <c r="H1912" s="1">
        <v>40841</v>
      </c>
      <c r="I1912" t="str">
        <f>"51"</f>
        <v>51</v>
      </c>
      <c r="J1912" t="s">
        <v>471</v>
      </c>
      <c r="K1912" t="s">
        <v>25</v>
      </c>
      <c r="L1912" t="s">
        <v>26</v>
      </c>
      <c r="M1912" t="s">
        <v>27</v>
      </c>
      <c r="N1912" s="1">
        <v>18629</v>
      </c>
      <c r="O1912">
        <v>0</v>
      </c>
      <c r="P1912">
        <v>0</v>
      </c>
      <c r="Q1912" t="s">
        <v>37</v>
      </c>
      <c r="R1912" t="s">
        <v>29</v>
      </c>
      <c r="S1912" t="s">
        <v>5179</v>
      </c>
      <c r="T1912" t="s">
        <v>5180</v>
      </c>
    </row>
    <row r="1913" spans="1:20" x14ac:dyDescent="0.25">
      <c r="A1913" t="s">
        <v>5181</v>
      </c>
      <c r="B1913" t="str">
        <f>"7997"</f>
        <v>7997</v>
      </c>
      <c r="C1913" t="str">
        <f>"290467997"</f>
        <v>290467997</v>
      </c>
      <c r="D1913" t="s">
        <v>5182</v>
      </c>
      <c r="E1913" t="s">
        <v>1071</v>
      </c>
      <c r="F1913" t="s">
        <v>93</v>
      </c>
      <c r="G1913" s="1">
        <v>17410</v>
      </c>
      <c r="H1913" s="1">
        <v>40840</v>
      </c>
      <c r="I1913" t="str">
        <f>"51"</f>
        <v>51</v>
      </c>
      <c r="J1913" t="s">
        <v>471</v>
      </c>
      <c r="K1913" t="s">
        <v>25</v>
      </c>
      <c r="L1913" t="s">
        <v>26</v>
      </c>
      <c r="M1913" t="s">
        <v>27</v>
      </c>
      <c r="N1913" s="1">
        <v>18629</v>
      </c>
      <c r="O1913">
        <v>0</v>
      </c>
      <c r="P1913">
        <v>0</v>
      </c>
      <c r="Q1913" t="s">
        <v>37</v>
      </c>
      <c r="R1913" t="s">
        <v>312</v>
      </c>
      <c r="S1913" t="s">
        <v>960</v>
      </c>
      <c r="T1913" t="s">
        <v>314</v>
      </c>
    </row>
    <row r="1914" spans="1:20" x14ac:dyDescent="0.25">
      <c r="A1914" t="s">
        <v>5183</v>
      </c>
      <c r="B1914" t="str">
        <f>"9781"</f>
        <v>9781</v>
      </c>
      <c r="C1914" t="str">
        <f>"269649781"</f>
        <v>269649781</v>
      </c>
      <c r="D1914" t="s">
        <v>5184</v>
      </c>
      <c r="E1914" t="s">
        <v>35</v>
      </c>
      <c r="F1914" t="s">
        <v>26</v>
      </c>
      <c r="G1914" s="1">
        <v>21211</v>
      </c>
      <c r="H1914" s="1">
        <v>40838</v>
      </c>
      <c r="I1914" t="str">
        <f>"52"</f>
        <v>52</v>
      </c>
      <c r="J1914" t="s">
        <v>330</v>
      </c>
      <c r="K1914" t="s">
        <v>25</v>
      </c>
      <c r="L1914" t="s">
        <v>26</v>
      </c>
      <c r="M1914" t="s">
        <v>27</v>
      </c>
      <c r="N1914" s="1">
        <v>18629</v>
      </c>
      <c r="O1914">
        <v>0</v>
      </c>
      <c r="P1914">
        <v>0</v>
      </c>
      <c r="Q1914" t="s">
        <v>28</v>
      </c>
      <c r="R1914" t="s">
        <v>258</v>
      </c>
      <c r="S1914" t="s">
        <v>336</v>
      </c>
      <c r="T1914" t="s">
        <v>337</v>
      </c>
    </row>
    <row r="1915" spans="1:20" x14ac:dyDescent="0.25">
      <c r="A1915" t="s">
        <v>5185</v>
      </c>
      <c r="B1915" t="str">
        <f>"5291"</f>
        <v>5291</v>
      </c>
      <c r="C1915" t="str">
        <f>"275545291"</f>
        <v>275545291</v>
      </c>
      <c r="D1915" t="s">
        <v>5186</v>
      </c>
      <c r="E1915" t="s">
        <v>5187</v>
      </c>
      <c r="G1915" s="1">
        <v>24735</v>
      </c>
      <c r="H1915" s="1">
        <v>40833</v>
      </c>
      <c r="I1915" t="str">
        <f>"01"</f>
        <v>01</v>
      </c>
      <c r="J1915" t="s">
        <v>116</v>
      </c>
      <c r="K1915" t="s">
        <v>98</v>
      </c>
      <c r="L1915" t="s">
        <v>37</v>
      </c>
      <c r="M1915" t="s">
        <v>99</v>
      </c>
      <c r="N1915" s="1">
        <v>41617</v>
      </c>
      <c r="O1915">
        <v>14801.8</v>
      </c>
      <c r="P1915">
        <v>3700.32</v>
      </c>
      <c r="Q1915" t="s">
        <v>37</v>
      </c>
      <c r="R1915" t="s">
        <v>38</v>
      </c>
      <c r="S1915" t="s">
        <v>39</v>
      </c>
      <c r="T1915" t="s">
        <v>40</v>
      </c>
    </row>
    <row r="1916" spans="1:20" x14ac:dyDescent="0.25">
      <c r="A1916" t="s">
        <v>5188</v>
      </c>
      <c r="B1916" t="str">
        <f>"5378"</f>
        <v>5378</v>
      </c>
      <c r="C1916" t="str">
        <f>"547115378"</f>
        <v>547115378</v>
      </c>
      <c r="D1916" t="s">
        <v>1631</v>
      </c>
      <c r="E1916" t="s">
        <v>5189</v>
      </c>
      <c r="F1916" t="s">
        <v>93</v>
      </c>
      <c r="G1916" s="1">
        <v>24483</v>
      </c>
      <c r="H1916" s="1">
        <v>40833</v>
      </c>
      <c r="I1916" t="str">
        <f>"01"</f>
        <v>01</v>
      </c>
      <c r="J1916" t="s">
        <v>116</v>
      </c>
      <c r="K1916" t="s">
        <v>98</v>
      </c>
      <c r="L1916" t="s">
        <v>37</v>
      </c>
      <c r="M1916" t="s">
        <v>117</v>
      </c>
      <c r="N1916" s="1">
        <v>41617</v>
      </c>
      <c r="O1916">
        <v>4951.96</v>
      </c>
      <c r="P1916">
        <v>1237.8599999999999</v>
      </c>
      <c r="Q1916" t="s">
        <v>28</v>
      </c>
      <c r="R1916" t="s">
        <v>71</v>
      </c>
      <c r="S1916" t="s">
        <v>209</v>
      </c>
      <c r="T1916" t="s">
        <v>210</v>
      </c>
    </row>
    <row r="1917" spans="1:20" x14ac:dyDescent="0.25">
      <c r="A1917" t="s">
        <v>5190</v>
      </c>
      <c r="B1917" t="str">
        <f>"1990"</f>
        <v>1990</v>
      </c>
      <c r="C1917" t="str">
        <f>"268661990"</f>
        <v>268661990</v>
      </c>
      <c r="D1917" t="s">
        <v>5191</v>
      </c>
      <c r="E1917" t="s">
        <v>227</v>
      </c>
      <c r="F1917" t="s">
        <v>97</v>
      </c>
      <c r="G1917" s="1">
        <v>26576</v>
      </c>
      <c r="H1917" s="1">
        <v>40833</v>
      </c>
      <c r="I1917" t="str">
        <f>"30"</f>
        <v>30</v>
      </c>
      <c r="J1917" t="s">
        <v>50</v>
      </c>
      <c r="K1917" t="s">
        <v>25</v>
      </c>
      <c r="L1917" t="s">
        <v>26</v>
      </c>
      <c r="M1917" t="s">
        <v>27</v>
      </c>
      <c r="N1917" s="1">
        <v>18629</v>
      </c>
      <c r="O1917">
        <v>0</v>
      </c>
      <c r="P1917">
        <v>0</v>
      </c>
      <c r="Q1917" t="s">
        <v>28</v>
      </c>
      <c r="R1917" t="s">
        <v>29</v>
      </c>
      <c r="S1917" t="s">
        <v>5192</v>
      </c>
      <c r="T1917" t="s">
        <v>5193</v>
      </c>
    </row>
    <row r="1918" spans="1:20" x14ac:dyDescent="0.25">
      <c r="A1918" t="s">
        <v>5194</v>
      </c>
      <c r="B1918" t="str">
        <f>"0510"</f>
        <v>0510</v>
      </c>
      <c r="C1918" t="str">
        <f>"281840510"</f>
        <v>281840510</v>
      </c>
      <c r="D1918" t="s">
        <v>5195</v>
      </c>
      <c r="E1918" t="s">
        <v>5196</v>
      </c>
      <c r="G1918" s="1">
        <v>15463</v>
      </c>
      <c r="H1918" s="1">
        <v>40827</v>
      </c>
      <c r="I1918" t="str">
        <f>"33"</f>
        <v>33</v>
      </c>
      <c r="J1918" t="s">
        <v>45</v>
      </c>
      <c r="K1918" t="s">
        <v>25</v>
      </c>
      <c r="L1918" t="s">
        <v>26</v>
      </c>
      <c r="M1918" t="s">
        <v>27</v>
      </c>
      <c r="N1918" s="1">
        <v>18629</v>
      </c>
      <c r="O1918">
        <v>0</v>
      </c>
      <c r="P1918">
        <v>0</v>
      </c>
      <c r="Q1918" t="s">
        <v>28</v>
      </c>
      <c r="R1918" t="s">
        <v>71</v>
      </c>
      <c r="S1918" t="s">
        <v>955</v>
      </c>
      <c r="T1918" t="s">
        <v>956</v>
      </c>
    </row>
    <row r="1919" spans="1:20" x14ac:dyDescent="0.25">
      <c r="A1919" t="s">
        <v>5197</v>
      </c>
      <c r="B1919" t="str">
        <f>"9344"</f>
        <v>9344</v>
      </c>
      <c r="C1919" t="str">
        <f>"293789344"</f>
        <v>293789344</v>
      </c>
      <c r="D1919" t="s">
        <v>5198</v>
      </c>
      <c r="E1919" t="s">
        <v>4531</v>
      </c>
      <c r="F1919" t="s">
        <v>556</v>
      </c>
      <c r="G1919" s="1">
        <v>29350</v>
      </c>
      <c r="H1919" s="1">
        <v>40826</v>
      </c>
      <c r="I1919" t="str">
        <f>"33"</f>
        <v>33</v>
      </c>
      <c r="J1919" t="s">
        <v>45</v>
      </c>
      <c r="K1919" t="s">
        <v>25</v>
      </c>
      <c r="L1919" t="s">
        <v>26</v>
      </c>
      <c r="M1919" t="s">
        <v>27</v>
      </c>
      <c r="N1919" s="1">
        <v>18629</v>
      </c>
      <c r="O1919">
        <v>0</v>
      </c>
      <c r="P1919">
        <v>0</v>
      </c>
      <c r="Q1919" t="s">
        <v>28</v>
      </c>
      <c r="R1919" t="s">
        <v>71</v>
      </c>
      <c r="S1919" t="s">
        <v>757</v>
      </c>
      <c r="T1919" t="s">
        <v>758</v>
      </c>
    </row>
    <row r="1920" spans="1:20" x14ac:dyDescent="0.25">
      <c r="A1920" t="s">
        <v>5199</v>
      </c>
      <c r="B1920" t="str">
        <f>"2688"</f>
        <v>2688</v>
      </c>
      <c r="C1920" t="str">
        <f>"268722688"</f>
        <v>268722688</v>
      </c>
      <c r="D1920" t="s">
        <v>5200</v>
      </c>
      <c r="E1920" t="s">
        <v>1287</v>
      </c>
      <c r="F1920" t="s">
        <v>97</v>
      </c>
      <c r="G1920" s="1">
        <v>22346</v>
      </c>
      <c r="H1920" s="1">
        <v>40822</v>
      </c>
      <c r="I1920" t="str">
        <f>"51"</f>
        <v>51</v>
      </c>
      <c r="J1920" t="s">
        <v>471</v>
      </c>
      <c r="K1920" t="s">
        <v>25</v>
      </c>
      <c r="L1920" t="s">
        <v>26</v>
      </c>
      <c r="M1920" t="s">
        <v>27</v>
      </c>
      <c r="N1920" s="1">
        <v>18629</v>
      </c>
      <c r="O1920">
        <v>0</v>
      </c>
      <c r="P1920">
        <v>0</v>
      </c>
      <c r="Q1920" t="s">
        <v>37</v>
      </c>
      <c r="R1920" t="s">
        <v>29</v>
      </c>
      <c r="S1920" t="s">
        <v>1494</v>
      </c>
      <c r="T1920" t="s">
        <v>1495</v>
      </c>
    </row>
    <row r="1921" spans="1:20" x14ac:dyDescent="0.25">
      <c r="A1921" t="s">
        <v>5201</v>
      </c>
      <c r="B1921" t="str">
        <f>"9856"</f>
        <v>9856</v>
      </c>
      <c r="C1921" t="str">
        <f>"163449856"</f>
        <v>163449856</v>
      </c>
      <c r="D1921" t="s">
        <v>5202</v>
      </c>
      <c r="E1921" t="s">
        <v>832</v>
      </c>
      <c r="F1921" t="s">
        <v>37</v>
      </c>
      <c r="G1921" s="1">
        <v>19483</v>
      </c>
      <c r="H1921" s="1">
        <v>40820</v>
      </c>
      <c r="I1921" t="str">
        <f>"41"</f>
        <v>41</v>
      </c>
      <c r="J1921" t="s">
        <v>24</v>
      </c>
      <c r="K1921" t="s">
        <v>25</v>
      </c>
      <c r="L1921" t="s">
        <v>26</v>
      </c>
      <c r="M1921" t="s">
        <v>27</v>
      </c>
      <c r="N1921" s="1">
        <v>18629</v>
      </c>
      <c r="O1921">
        <v>0</v>
      </c>
      <c r="P1921">
        <v>0</v>
      </c>
      <c r="Q1921" t="s">
        <v>28</v>
      </c>
      <c r="R1921" t="s">
        <v>29</v>
      </c>
      <c r="S1921" t="s">
        <v>3566</v>
      </c>
      <c r="T1921" t="s">
        <v>3567</v>
      </c>
    </row>
    <row r="1922" spans="1:20" x14ac:dyDescent="0.25">
      <c r="A1922" t="s">
        <v>5203</v>
      </c>
      <c r="B1922" t="str">
        <f>"8906"</f>
        <v>8906</v>
      </c>
      <c r="C1922" t="str">
        <f>"293568906"</f>
        <v>293568906</v>
      </c>
      <c r="D1922" t="s">
        <v>2079</v>
      </c>
      <c r="E1922" t="s">
        <v>304</v>
      </c>
      <c r="F1922" t="s">
        <v>282</v>
      </c>
      <c r="G1922" s="1">
        <v>20464</v>
      </c>
      <c r="H1922" s="1">
        <v>40819</v>
      </c>
      <c r="I1922" t="str">
        <f>"08"</f>
        <v>08</v>
      </c>
      <c r="J1922" t="s">
        <v>265</v>
      </c>
      <c r="K1922" t="s">
        <v>98</v>
      </c>
      <c r="L1922" t="s">
        <v>37</v>
      </c>
      <c r="M1922" t="s">
        <v>99</v>
      </c>
      <c r="N1922" s="1">
        <v>41617</v>
      </c>
      <c r="O1922">
        <v>14801.8</v>
      </c>
      <c r="P1922">
        <v>3700.32</v>
      </c>
      <c r="Q1922" t="s">
        <v>28</v>
      </c>
      <c r="R1922" t="s">
        <v>51</v>
      </c>
      <c r="S1922" t="s">
        <v>650</v>
      </c>
      <c r="T1922" t="s">
        <v>651</v>
      </c>
    </row>
    <row r="1923" spans="1:20" x14ac:dyDescent="0.25">
      <c r="A1923" t="s">
        <v>5204</v>
      </c>
      <c r="B1923" t="str">
        <f>"4551"</f>
        <v>4551</v>
      </c>
      <c r="C1923" t="str">
        <f>"296704551"</f>
        <v>296704551</v>
      </c>
      <c r="D1923" t="s">
        <v>5205</v>
      </c>
      <c r="E1923" t="s">
        <v>822</v>
      </c>
      <c r="F1923" t="s">
        <v>165</v>
      </c>
      <c r="G1923" s="1">
        <v>22336</v>
      </c>
      <c r="H1923" s="1">
        <v>40819</v>
      </c>
      <c r="I1923" t="str">
        <f>"15"</f>
        <v>15</v>
      </c>
      <c r="J1923" t="s">
        <v>36</v>
      </c>
      <c r="K1923" t="s">
        <v>98</v>
      </c>
      <c r="L1923" t="s">
        <v>37</v>
      </c>
      <c r="M1923" t="s">
        <v>99</v>
      </c>
      <c r="N1923" s="1">
        <v>41617</v>
      </c>
      <c r="O1923">
        <v>14801.8</v>
      </c>
      <c r="P1923">
        <v>3700.32</v>
      </c>
      <c r="Q1923" t="s">
        <v>37</v>
      </c>
      <c r="R1923" t="s">
        <v>71</v>
      </c>
      <c r="S1923" t="s">
        <v>373</v>
      </c>
      <c r="T1923" t="s">
        <v>374</v>
      </c>
    </row>
    <row r="1924" spans="1:20" x14ac:dyDescent="0.25">
      <c r="A1924" t="s">
        <v>5206</v>
      </c>
      <c r="B1924" t="str">
        <f>"6074"</f>
        <v>6074</v>
      </c>
      <c r="C1924" t="str">
        <f>"274646074"</f>
        <v>274646074</v>
      </c>
      <c r="D1924" t="s">
        <v>5207</v>
      </c>
      <c r="E1924" t="s">
        <v>769</v>
      </c>
      <c r="F1924" t="s">
        <v>97</v>
      </c>
      <c r="G1924" s="1">
        <v>23520</v>
      </c>
      <c r="H1924" s="1">
        <v>40819</v>
      </c>
      <c r="I1924" t="str">
        <f>"15"</f>
        <v>15</v>
      </c>
      <c r="J1924" t="s">
        <v>36</v>
      </c>
      <c r="K1924" t="s">
        <v>98</v>
      </c>
      <c r="L1924" t="s">
        <v>37</v>
      </c>
      <c r="M1924" t="s">
        <v>99</v>
      </c>
      <c r="N1924" s="1">
        <v>41617</v>
      </c>
      <c r="O1924">
        <v>14801.8</v>
      </c>
      <c r="P1924">
        <v>3700.32</v>
      </c>
      <c r="Q1924" t="s">
        <v>37</v>
      </c>
      <c r="R1924" t="s">
        <v>258</v>
      </c>
      <c r="S1924" t="s">
        <v>527</v>
      </c>
      <c r="T1924" t="s">
        <v>528</v>
      </c>
    </row>
    <row r="1925" spans="1:20" x14ac:dyDescent="0.25">
      <c r="A1925" t="s">
        <v>5208</v>
      </c>
      <c r="B1925" t="str">
        <f>"4255"</f>
        <v>4255</v>
      </c>
      <c r="C1925" t="str">
        <f>"165704255"</f>
        <v>165704255</v>
      </c>
      <c r="D1925" t="s">
        <v>5209</v>
      </c>
      <c r="E1925" t="s">
        <v>2126</v>
      </c>
      <c r="F1925" t="s">
        <v>93</v>
      </c>
      <c r="G1925" s="1">
        <v>32163</v>
      </c>
      <c r="H1925" s="1">
        <v>40817</v>
      </c>
      <c r="I1925" t="str">
        <f>"52"</f>
        <v>52</v>
      </c>
      <c r="J1925" t="s">
        <v>330</v>
      </c>
      <c r="K1925" t="s">
        <v>25</v>
      </c>
      <c r="L1925" t="s">
        <v>26</v>
      </c>
      <c r="M1925" t="s">
        <v>27</v>
      </c>
      <c r="N1925" s="1">
        <v>18629</v>
      </c>
      <c r="O1925">
        <v>0</v>
      </c>
      <c r="P1925">
        <v>0</v>
      </c>
      <c r="Q1925" t="s">
        <v>37</v>
      </c>
      <c r="R1925" t="s">
        <v>29</v>
      </c>
      <c r="S1925" t="s">
        <v>4000</v>
      </c>
      <c r="T1925" t="s">
        <v>4001</v>
      </c>
    </row>
    <row r="1926" spans="1:20" x14ac:dyDescent="0.25">
      <c r="A1926" t="s">
        <v>5210</v>
      </c>
      <c r="B1926" t="str">
        <f>"2228"</f>
        <v>2228</v>
      </c>
      <c r="C1926" t="str">
        <f>"317922228"</f>
        <v>317922228</v>
      </c>
      <c r="D1926" t="s">
        <v>5211</v>
      </c>
      <c r="E1926" t="s">
        <v>4556</v>
      </c>
      <c r="F1926" t="s">
        <v>49</v>
      </c>
      <c r="G1926" s="1">
        <v>29917</v>
      </c>
      <c r="H1926" s="1">
        <v>40817</v>
      </c>
      <c r="I1926" t="str">
        <f>"03"</f>
        <v>03</v>
      </c>
      <c r="J1926" t="s">
        <v>70</v>
      </c>
      <c r="K1926" t="s">
        <v>98</v>
      </c>
      <c r="L1926" t="s">
        <v>37</v>
      </c>
      <c r="M1926" t="s">
        <v>99</v>
      </c>
      <c r="N1926" s="1">
        <v>41617</v>
      </c>
      <c r="O1926">
        <v>14801.8</v>
      </c>
      <c r="P1926">
        <v>3700.32</v>
      </c>
      <c r="Q1926" t="s">
        <v>37</v>
      </c>
      <c r="R1926" t="s">
        <v>258</v>
      </c>
      <c r="S1926" t="s">
        <v>472</v>
      </c>
      <c r="T1926" t="s">
        <v>473</v>
      </c>
    </row>
    <row r="1927" spans="1:20" x14ac:dyDescent="0.25">
      <c r="A1927" t="s">
        <v>5212</v>
      </c>
      <c r="B1927" t="str">
        <f>"8523"</f>
        <v>8523</v>
      </c>
      <c r="C1927" t="str">
        <f>"286888523"</f>
        <v>286888523</v>
      </c>
      <c r="D1927" t="s">
        <v>5213</v>
      </c>
      <c r="E1927" t="s">
        <v>372</v>
      </c>
      <c r="G1927" s="1">
        <v>26960</v>
      </c>
      <c r="H1927" s="1">
        <v>40814</v>
      </c>
      <c r="I1927" t="str">
        <f>"52"</f>
        <v>52</v>
      </c>
      <c r="J1927" t="s">
        <v>330</v>
      </c>
      <c r="K1927" t="s">
        <v>25</v>
      </c>
      <c r="L1927" t="s">
        <v>26</v>
      </c>
      <c r="M1927" t="s">
        <v>27</v>
      </c>
      <c r="N1927" s="1">
        <v>18629</v>
      </c>
      <c r="O1927">
        <v>0</v>
      </c>
      <c r="P1927">
        <v>0</v>
      </c>
      <c r="Q1927" t="s">
        <v>37</v>
      </c>
      <c r="R1927" t="s">
        <v>312</v>
      </c>
      <c r="S1927" t="s">
        <v>2038</v>
      </c>
      <c r="T1927" t="s">
        <v>2039</v>
      </c>
    </row>
    <row r="1928" spans="1:20" x14ac:dyDescent="0.25">
      <c r="A1928" t="s">
        <v>5214</v>
      </c>
      <c r="B1928" t="str">
        <f>"7878"</f>
        <v>7878</v>
      </c>
      <c r="C1928" t="str">
        <f>"275907878"</f>
        <v>275907878</v>
      </c>
      <c r="D1928" t="s">
        <v>128</v>
      </c>
      <c r="E1928" t="s">
        <v>5215</v>
      </c>
      <c r="F1928" t="s">
        <v>5216</v>
      </c>
      <c r="G1928" s="1">
        <v>30436</v>
      </c>
      <c r="H1928" s="1">
        <v>40812</v>
      </c>
      <c r="I1928" t="str">
        <f>"33"</f>
        <v>33</v>
      </c>
      <c r="J1928" t="s">
        <v>45</v>
      </c>
      <c r="K1928" t="s">
        <v>25</v>
      </c>
      <c r="L1928" t="s">
        <v>26</v>
      </c>
      <c r="M1928" t="s">
        <v>27</v>
      </c>
      <c r="N1928" s="1">
        <v>18629</v>
      </c>
      <c r="O1928">
        <v>0</v>
      </c>
      <c r="P1928">
        <v>0</v>
      </c>
      <c r="Q1928" t="s">
        <v>37</v>
      </c>
      <c r="R1928" t="s">
        <v>100</v>
      </c>
      <c r="S1928" t="s">
        <v>757</v>
      </c>
      <c r="T1928" t="s">
        <v>758</v>
      </c>
    </row>
    <row r="1929" spans="1:20" x14ac:dyDescent="0.25">
      <c r="A1929" t="s">
        <v>5217</v>
      </c>
      <c r="B1929" t="str">
        <f>"5560"</f>
        <v>5560</v>
      </c>
      <c r="C1929" t="str">
        <f>"301825560"</f>
        <v>301825560</v>
      </c>
      <c r="D1929" t="s">
        <v>5218</v>
      </c>
      <c r="E1929" t="s">
        <v>56</v>
      </c>
      <c r="F1929" t="s">
        <v>1104</v>
      </c>
      <c r="G1929" s="1">
        <v>31131</v>
      </c>
      <c r="H1929" s="1">
        <v>40812</v>
      </c>
      <c r="I1929" t="str">
        <f>"03"</f>
        <v>03</v>
      </c>
      <c r="J1929" t="s">
        <v>70</v>
      </c>
      <c r="K1929" t="s">
        <v>98</v>
      </c>
      <c r="L1929" t="s">
        <v>37</v>
      </c>
      <c r="M1929" t="s">
        <v>117</v>
      </c>
      <c r="N1929" s="1">
        <v>41617</v>
      </c>
      <c r="O1929">
        <v>4951.96</v>
      </c>
      <c r="P1929">
        <v>1237.8599999999999</v>
      </c>
      <c r="Q1929" t="s">
        <v>28</v>
      </c>
      <c r="R1929" t="s">
        <v>38</v>
      </c>
      <c r="S1929" t="s">
        <v>5219</v>
      </c>
      <c r="T1929" t="s">
        <v>5220</v>
      </c>
    </row>
    <row r="1930" spans="1:20" x14ac:dyDescent="0.25">
      <c r="A1930" t="s">
        <v>5221</v>
      </c>
      <c r="B1930" t="str">
        <f>"0938"</f>
        <v>0938</v>
      </c>
      <c r="C1930" t="str">
        <f>"291640938"</f>
        <v>291640938</v>
      </c>
      <c r="D1930" t="s">
        <v>5222</v>
      </c>
      <c r="E1930" t="s">
        <v>1453</v>
      </c>
      <c r="F1930" t="s">
        <v>264</v>
      </c>
      <c r="G1930" s="1">
        <v>22210</v>
      </c>
      <c r="H1930" s="1">
        <v>40812</v>
      </c>
      <c r="I1930" t="str">
        <f>"53"</f>
        <v>53</v>
      </c>
      <c r="J1930" t="s">
        <v>917</v>
      </c>
      <c r="K1930" t="s">
        <v>25</v>
      </c>
      <c r="L1930" t="s">
        <v>26</v>
      </c>
      <c r="M1930" t="s">
        <v>27</v>
      </c>
      <c r="N1930" s="1">
        <v>18629</v>
      </c>
      <c r="O1930">
        <v>0</v>
      </c>
      <c r="P1930">
        <v>0</v>
      </c>
      <c r="Q1930" t="s">
        <v>28</v>
      </c>
      <c r="R1930" t="s">
        <v>312</v>
      </c>
      <c r="S1930" t="s">
        <v>2054</v>
      </c>
      <c r="T1930" t="s">
        <v>2055</v>
      </c>
    </row>
    <row r="1931" spans="1:20" x14ac:dyDescent="0.25">
      <c r="A1931" t="s">
        <v>5223</v>
      </c>
      <c r="B1931" t="str">
        <f>"2810"</f>
        <v>2810</v>
      </c>
      <c r="C1931" t="str">
        <f>"339582810"</f>
        <v>339582810</v>
      </c>
      <c r="D1931" t="s">
        <v>5224</v>
      </c>
      <c r="E1931" t="s">
        <v>122</v>
      </c>
      <c r="F1931" t="s">
        <v>438</v>
      </c>
      <c r="G1931" s="1">
        <v>21601</v>
      </c>
      <c r="H1931" s="1">
        <v>40807</v>
      </c>
      <c r="I1931" t="str">
        <f>"53"</f>
        <v>53</v>
      </c>
      <c r="J1931" t="s">
        <v>917</v>
      </c>
      <c r="K1931" t="s">
        <v>25</v>
      </c>
      <c r="L1931" t="s">
        <v>26</v>
      </c>
      <c r="M1931" t="s">
        <v>27</v>
      </c>
      <c r="N1931" s="1">
        <v>18629</v>
      </c>
      <c r="O1931">
        <v>0</v>
      </c>
      <c r="P1931">
        <v>0</v>
      </c>
      <c r="Q1931" t="s">
        <v>28</v>
      </c>
      <c r="R1931" t="s">
        <v>312</v>
      </c>
      <c r="S1931" t="s">
        <v>3583</v>
      </c>
      <c r="T1931" t="s">
        <v>3584</v>
      </c>
    </row>
    <row r="1932" spans="1:20" x14ac:dyDescent="0.25">
      <c r="A1932" t="s">
        <v>5225</v>
      </c>
      <c r="B1932" t="str">
        <f>"5916"</f>
        <v>5916</v>
      </c>
      <c r="C1932" t="str">
        <f>"212645916"</f>
        <v>212645916</v>
      </c>
      <c r="D1932" t="s">
        <v>5226</v>
      </c>
      <c r="E1932" t="s">
        <v>35</v>
      </c>
      <c r="G1932" s="1">
        <v>19195</v>
      </c>
      <c r="H1932" s="1">
        <v>40805</v>
      </c>
      <c r="I1932" t="str">
        <f>"01"</f>
        <v>01</v>
      </c>
      <c r="J1932" t="s">
        <v>116</v>
      </c>
      <c r="K1932" t="s">
        <v>98</v>
      </c>
      <c r="L1932" t="s">
        <v>37</v>
      </c>
      <c r="M1932" t="s">
        <v>99</v>
      </c>
      <c r="N1932" s="1">
        <v>41617</v>
      </c>
      <c r="O1932">
        <v>14801.8</v>
      </c>
      <c r="P1932">
        <v>3700.32</v>
      </c>
      <c r="Q1932" t="s">
        <v>28</v>
      </c>
      <c r="R1932" t="s">
        <v>110</v>
      </c>
      <c r="S1932" t="s">
        <v>1346</v>
      </c>
      <c r="T1932" t="s">
        <v>1347</v>
      </c>
    </row>
    <row r="1933" spans="1:20" x14ac:dyDescent="0.25">
      <c r="A1933" t="s">
        <v>5227</v>
      </c>
      <c r="B1933" t="str">
        <f>"0833"</f>
        <v>0833</v>
      </c>
      <c r="C1933" t="str">
        <f>"181520833"</f>
        <v>181520833</v>
      </c>
      <c r="D1933" t="s">
        <v>5228</v>
      </c>
      <c r="E1933" t="s">
        <v>1744</v>
      </c>
      <c r="G1933" s="1">
        <v>26803</v>
      </c>
      <c r="H1933" s="1">
        <v>40805</v>
      </c>
      <c r="I1933" t="str">
        <f>"05"</f>
        <v>05</v>
      </c>
      <c r="J1933" t="s">
        <v>58</v>
      </c>
      <c r="K1933" t="s">
        <v>175</v>
      </c>
      <c r="L1933" t="s">
        <v>37</v>
      </c>
      <c r="M1933" t="s">
        <v>117</v>
      </c>
      <c r="N1933" s="1">
        <v>41617</v>
      </c>
      <c r="O1933">
        <v>5288.66</v>
      </c>
      <c r="P1933">
        <v>1322.1</v>
      </c>
      <c r="Q1933" t="s">
        <v>37</v>
      </c>
      <c r="R1933" t="s">
        <v>71</v>
      </c>
      <c r="S1933" t="s">
        <v>737</v>
      </c>
      <c r="T1933" t="s">
        <v>738</v>
      </c>
    </row>
    <row r="1934" spans="1:20" x14ac:dyDescent="0.25">
      <c r="A1934" t="s">
        <v>5229</v>
      </c>
      <c r="B1934" t="str">
        <f>"6377"</f>
        <v>6377</v>
      </c>
      <c r="C1934" t="str">
        <f>"294826377"</f>
        <v>294826377</v>
      </c>
      <c r="D1934" t="s">
        <v>5230</v>
      </c>
      <c r="E1934" t="s">
        <v>5231</v>
      </c>
      <c r="G1934" s="1">
        <v>26467</v>
      </c>
      <c r="H1934" s="1">
        <v>40805</v>
      </c>
      <c r="I1934" t="str">
        <f>"08"</f>
        <v>08</v>
      </c>
      <c r="J1934" t="s">
        <v>265</v>
      </c>
      <c r="L1934" t="s">
        <v>37</v>
      </c>
      <c r="M1934" t="s">
        <v>143</v>
      </c>
      <c r="N1934" s="1">
        <v>41617</v>
      </c>
      <c r="O1934">
        <v>185.9</v>
      </c>
      <c r="P1934">
        <v>-185.9</v>
      </c>
      <c r="Q1934" t="s">
        <v>28</v>
      </c>
      <c r="R1934" t="s">
        <v>29</v>
      </c>
      <c r="S1934" t="s">
        <v>885</v>
      </c>
      <c r="T1934" t="s">
        <v>886</v>
      </c>
    </row>
    <row r="1935" spans="1:20" x14ac:dyDescent="0.25">
      <c r="A1935" t="s">
        <v>5232</v>
      </c>
      <c r="B1935" t="str">
        <f>"5743"</f>
        <v>5743</v>
      </c>
      <c r="C1935" t="str">
        <f>"141585743"</f>
        <v>141585743</v>
      </c>
      <c r="D1935" t="s">
        <v>5233</v>
      </c>
      <c r="E1935" t="s">
        <v>1067</v>
      </c>
      <c r="G1935" s="1">
        <v>21770</v>
      </c>
      <c r="H1935" s="1">
        <v>40803</v>
      </c>
      <c r="I1935" t="str">
        <f>"52"</f>
        <v>52</v>
      </c>
      <c r="J1935" t="s">
        <v>330</v>
      </c>
      <c r="K1935" t="s">
        <v>25</v>
      </c>
      <c r="L1935" t="s">
        <v>26</v>
      </c>
      <c r="M1935" t="s">
        <v>27</v>
      </c>
      <c r="N1935" s="1">
        <v>18629</v>
      </c>
      <c r="O1935">
        <v>0</v>
      </c>
      <c r="P1935">
        <v>0</v>
      </c>
      <c r="Q1935" t="s">
        <v>28</v>
      </c>
      <c r="R1935" t="s">
        <v>258</v>
      </c>
      <c r="S1935" s="2" t="s">
        <v>362</v>
      </c>
      <c r="T1935" t="s">
        <v>363</v>
      </c>
    </row>
    <row r="1936" spans="1:20" x14ac:dyDescent="0.25">
      <c r="A1936" t="s">
        <v>5234</v>
      </c>
      <c r="B1936" t="str">
        <f>"6235"</f>
        <v>6235</v>
      </c>
      <c r="C1936" t="str">
        <f>"276686235"</f>
        <v>276686235</v>
      </c>
      <c r="D1936" t="s">
        <v>5235</v>
      </c>
      <c r="E1936" t="s">
        <v>1813</v>
      </c>
      <c r="F1936" t="s">
        <v>93</v>
      </c>
      <c r="G1936" s="1">
        <v>22185</v>
      </c>
      <c r="H1936" s="1">
        <v>40802</v>
      </c>
      <c r="I1936" t="str">
        <f>"52"</f>
        <v>52</v>
      </c>
      <c r="J1936" t="s">
        <v>330</v>
      </c>
      <c r="K1936" t="s">
        <v>25</v>
      </c>
      <c r="L1936" t="s">
        <v>26</v>
      </c>
      <c r="M1936" t="s">
        <v>27</v>
      </c>
      <c r="N1936" s="1">
        <v>18629</v>
      </c>
      <c r="O1936">
        <v>0</v>
      </c>
      <c r="P1936">
        <v>0</v>
      </c>
      <c r="Q1936" t="s">
        <v>37</v>
      </c>
      <c r="R1936" t="s">
        <v>51</v>
      </c>
      <c r="S1936" s="2" t="s">
        <v>362</v>
      </c>
      <c r="T1936" t="s">
        <v>363</v>
      </c>
    </row>
    <row r="1937" spans="1:20" x14ac:dyDescent="0.25">
      <c r="A1937" t="s">
        <v>5236</v>
      </c>
      <c r="B1937" t="str">
        <f>"0562"</f>
        <v>0562</v>
      </c>
      <c r="C1937" t="str">
        <f>"275170562"</f>
        <v>275170562</v>
      </c>
      <c r="D1937" t="s">
        <v>5237</v>
      </c>
      <c r="E1937" t="s">
        <v>5238</v>
      </c>
      <c r="F1937" t="s">
        <v>372</v>
      </c>
      <c r="G1937" s="1">
        <v>26270</v>
      </c>
      <c r="H1937" s="1">
        <v>40800</v>
      </c>
      <c r="I1937" t="str">
        <f>"33"</f>
        <v>33</v>
      </c>
      <c r="J1937" t="s">
        <v>45</v>
      </c>
      <c r="K1937" t="s">
        <v>25</v>
      </c>
      <c r="L1937" t="s">
        <v>26</v>
      </c>
      <c r="M1937" t="s">
        <v>27</v>
      </c>
      <c r="N1937" s="1">
        <v>18629</v>
      </c>
      <c r="O1937">
        <v>0</v>
      </c>
      <c r="P1937">
        <v>0</v>
      </c>
      <c r="Q1937" t="s">
        <v>37</v>
      </c>
      <c r="R1937" t="s">
        <v>71</v>
      </c>
      <c r="S1937" t="s">
        <v>955</v>
      </c>
      <c r="T1937" t="s">
        <v>956</v>
      </c>
    </row>
    <row r="1938" spans="1:20" x14ac:dyDescent="0.25">
      <c r="A1938" t="s">
        <v>5239</v>
      </c>
      <c r="B1938" t="str">
        <f>"6892"</f>
        <v>6892</v>
      </c>
      <c r="C1938" t="str">
        <f>"272546892"</f>
        <v>272546892</v>
      </c>
      <c r="D1938" t="s">
        <v>5240</v>
      </c>
      <c r="E1938" t="s">
        <v>609</v>
      </c>
      <c r="F1938" t="s">
        <v>264</v>
      </c>
      <c r="G1938" s="1">
        <v>19745</v>
      </c>
      <c r="H1938" s="1">
        <v>40799</v>
      </c>
      <c r="I1938" t="str">
        <f>"52"</f>
        <v>52</v>
      </c>
      <c r="J1938" t="s">
        <v>330</v>
      </c>
      <c r="K1938" t="s">
        <v>25</v>
      </c>
      <c r="L1938" t="s">
        <v>26</v>
      </c>
      <c r="M1938" t="s">
        <v>27</v>
      </c>
      <c r="N1938" s="1">
        <v>18629</v>
      </c>
      <c r="O1938">
        <v>0</v>
      </c>
      <c r="P1938">
        <v>0</v>
      </c>
      <c r="Q1938" t="s">
        <v>28</v>
      </c>
      <c r="R1938" t="s">
        <v>71</v>
      </c>
      <c r="S1938" t="s">
        <v>402</v>
      </c>
      <c r="T1938" t="s">
        <v>403</v>
      </c>
    </row>
    <row r="1939" spans="1:20" x14ac:dyDescent="0.25">
      <c r="A1939" t="s">
        <v>5241</v>
      </c>
      <c r="B1939" t="str">
        <f>"0196"</f>
        <v>0196</v>
      </c>
      <c r="C1939" t="str">
        <f>"290500196"</f>
        <v>290500196</v>
      </c>
      <c r="D1939" t="s">
        <v>5242</v>
      </c>
      <c r="E1939" t="s">
        <v>2042</v>
      </c>
      <c r="G1939" s="1">
        <v>18511</v>
      </c>
      <c r="H1939" s="1">
        <v>40798</v>
      </c>
      <c r="I1939" t="str">
        <f>"41"</f>
        <v>41</v>
      </c>
      <c r="J1939" t="s">
        <v>24</v>
      </c>
      <c r="K1939" t="s">
        <v>25</v>
      </c>
      <c r="L1939" t="s">
        <v>26</v>
      </c>
      <c r="M1939" t="s">
        <v>27</v>
      </c>
      <c r="N1939" s="1">
        <v>18629</v>
      </c>
      <c r="O1939">
        <v>0</v>
      </c>
      <c r="P1939">
        <v>0</v>
      </c>
      <c r="Q1939" t="s">
        <v>37</v>
      </c>
      <c r="R1939" t="s">
        <v>51</v>
      </c>
      <c r="S1939" t="s">
        <v>527</v>
      </c>
      <c r="T1939" t="s">
        <v>528</v>
      </c>
    </row>
    <row r="1940" spans="1:20" x14ac:dyDescent="0.25">
      <c r="A1940" t="s">
        <v>5243</v>
      </c>
      <c r="B1940" t="str">
        <f>"6848"</f>
        <v>6848</v>
      </c>
      <c r="C1940" t="str">
        <f>"274646848"</f>
        <v>274646848</v>
      </c>
      <c r="D1940" t="s">
        <v>5244</v>
      </c>
      <c r="E1940" t="s">
        <v>3876</v>
      </c>
      <c r="F1940" t="s">
        <v>5245</v>
      </c>
      <c r="G1940" s="1">
        <v>23259</v>
      </c>
      <c r="H1940" s="1">
        <v>40798</v>
      </c>
      <c r="I1940" t="str">
        <f>"41"</f>
        <v>41</v>
      </c>
      <c r="J1940" t="s">
        <v>24</v>
      </c>
      <c r="K1940" t="s">
        <v>25</v>
      </c>
      <c r="L1940" t="s">
        <v>26</v>
      </c>
      <c r="M1940" t="s">
        <v>27</v>
      </c>
      <c r="N1940" s="1">
        <v>18629</v>
      </c>
      <c r="O1940">
        <v>0</v>
      </c>
      <c r="P1940">
        <v>0</v>
      </c>
      <c r="Q1940" t="s">
        <v>37</v>
      </c>
      <c r="R1940" t="s">
        <v>258</v>
      </c>
      <c r="S1940" t="s">
        <v>527</v>
      </c>
      <c r="T1940" t="s">
        <v>528</v>
      </c>
    </row>
    <row r="1941" spans="1:20" x14ac:dyDescent="0.25">
      <c r="A1941" t="s">
        <v>5246</v>
      </c>
      <c r="B1941" t="str">
        <f>"7460"</f>
        <v>7460</v>
      </c>
      <c r="C1941" t="str">
        <f>"798807460"</f>
        <v>798807460</v>
      </c>
      <c r="D1941" t="s">
        <v>5247</v>
      </c>
      <c r="E1941" t="s">
        <v>609</v>
      </c>
      <c r="F1941" t="s">
        <v>174</v>
      </c>
      <c r="G1941" s="1">
        <v>30576</v>
      </c>
      <c r="H1941" s="1">
        <v>40798</v>
      </c>
      <c r="I1941" t="str">
        <f>"51"</f>
        <v>51</v>
      </c>
      <c r="J1941" t="s">
        <v>471</v>
      </c>
      <c r="K1941" t="s">
        <v>25</v>
      </c>
      <c r="L1941" t="s">
        <v>26</v>
      </c>
      <c r="M1941" t="s">
        <v>27</v>
      </c>
      <c r="N1941" s="1">
        <v>18629</v>
      </c>
      <c r="O1941">
        <v>0</v>
      </c>
      <c r="P1941">
        <v>0</v>
      </c>
      <c r="Q1941" t="s">
        <v>28</v>
      </c>
      <c r="R1941" t="s">
        <v>71</v>
      </c>
      <c r="S1941" t="s">
        <v>2602</v>
      </c>
      <c r="T1941" t="s">
        <v>2603</v>
      </c>
    </row>
    <row r="1942" spans="1:20" x14ac:dyDescent="0.25">
      <c r="A1942" t="s">
        <v>5248</v>
      </c>
      <c r="B1942" t="str">
        <f>"5885"</f>
        <v>5885</v>
      </c>
      <c r="C1942" t="str">
        <f>"272345885"</f>
        <v>272345885</v>
      </c>
      <c r="D1942" t="s">
        <v>5249</v>
      </c>
      <c r="E1942" t="s">
        <v>2014</v>
      </c>
      <c r="F1942" t="s">
        <v>93</v>
      </c>
      <c r="G1942" s="1">
        <v>14198</v>
      </c>
      <c r="H1942" s="1">
        <v>40798</v>
      </c>
      <c r="I1942" t="str">
        <f>"41"</f>
        <v>41</v>
      </c>
      <c r="J1942" t="s">
        <v>24</v>
      </c>
      <c r="K1942" t="s">
        <v>25</v>
      </c>
      <c r="L1942" t="s">
        <v>26</v>
      </c>
      <c r="M1942" t="s">
        <v>27</v>
      </c>
      <c r="N1942" s="1">
        <v>18629</v>
      </c>
      <c r="O1942">
        <v>0</v>
      </c>
      <c r="P1942">
        <v>0</v>
      </c>
      <c r="Q1942" t="s">
        <v>37</v>
      </c>
      <c r="R1942" t="s">
        <v>71</v>
      </c>
      <c r="S1942" t="s">
        <v>2634</v>
      </c>
      <c r="T1942" t="s">
        <v>2635</v>
      </c>
    </row>
    <row r="1943" spans="1:20" x14ac:dyDescent="0.25">
      <c r="A1943" t="s">
        <v>5250</v>
      </c>
      <c r="B1943" t="str">
        <f>"5883"</f>
        <v>5883</v>
      </c>
      <c r="C1943" t="str">
        <f>"269545883"</f>
        <v>269545883</v>
      </c>
      <c r="D1943" t="s">
        <v>5251</v>
      </c>
      <c r="E1943" t="s">
        <v>5252</v>
      </c>
      <c r="F1943" t="s">
        <v>97</v>
      </c>
      <c r="G1943" s="1">
        <v>24681</v>
      </c>
      <c r="H1943" s="1">
        <v>40798</v>
      </c>
      <c r="I1943" t="str">
        <f>"51"</f>
        <v>51</v>
      </c>
      <c r="J1943" t="s">
        <v>471</v>
      </c>
      <c r="K1943" t="s">
        <v>25</v>
      </c>
      <c r="L1943" t="s">
        <v>26</v>
      </c>
      <c r="M1943" t="s">
        <v>27</v>
      </c>
      <c r="N1943" s="1">
        <v>18629</v>
      </c>
      <c r="O1943">
        <v>0</v>
      </c>
      <c r="P1943">
        <v>0</v>
      </c>
      <c r="Q1943" t="s">
        <v>37</v>
      </c>
      <c r="R1943" t="s">
        <v>71</v>
      </c>
      <c r="S1943" t="s">
        <v>157</v>
      </c>
      <c r="T1943" t="s">
        <v>158</v>
      </c>
    </row>
    <row r="1944" spans="1:20" x14ac:dyDescent="0.25">
      <c r="A1944" t="s">
        <v>5253</v>
      </c>
      <c r="B1944" t="str">
        <f>"2039"</f>
        <v>2039</v>
      </c>
      <c r="C1944" t="str">
        <f>"301762039"</f>
        <v>301762039</v>
      </c>
      <c r="D1944" t="s">
        <v>5254</v>
      </c>
      <c r="E1944" t="s">
        <v>5077</v>
      </c>
      <c r="F1944" t="s">
        <v>97</v>
      </c>
      <c r="G1944" s="1">
        <v>29321</v>
      </c>
      <c r="H1944" s="1">
        <v>40798</v>
      </c>
      <c r="I1944" t="str">
        <f>"51"</f>
        <v>51</v>
      </c>
      <c r="J1944" t="s">
        <v>471</v>
      </c>
      <c r="K1944" t="s">
        <v>25</v>
      </c>
      <c r="L1944" t="s">
        <v>26</v>
      </c>
      <c r="M1944" t="s">
        <v>27</v>
      </c>
      <c r="N1944" s="1">
        <v>18629</v>
      </c>
      <c r="O1944">
        <v>0</v>
      </c>
      <c r="P1944">
        <v>0</v>
      </c>
      <c r="Q1944" t="s">
        <v>28</v>
      </c>
      <c r="R1944" t="s">
        <v>100</v>
      </c>
      <c r="S1944" t="s">
        <v>2206</v>
      </c>
      <c r="T1944" t="s">
        <v>2207</v>
      </c>
    </row>
    <row r="1945" spans="1:20" x14ac:dyDescent="0.25">
      <c r="A1945" t="s">
        <v>5255</v>
      </c>
      <c r="B1945" t="str">
        <f>"9874"</f>
        <v>9874</v>
      </c>
      <c r="C1945" t="str">
        <f>"279809874"</f>
        <v>279809874</v>
      </c>
      <c r="D1945" t="s">
        <v>5256</v>
      </c>
      <c r="E1945" t="s">
        <v>941</v>
      </c>
      <c r="F1945" t="s">
        <v>69</v>
      </c>
      <c r="G1945" s="1">
        <v>29968</v>
      </c>
      <c r="H1945" s="1">
        <v>40798</v>
      </c>
      <c r="I1945" t="str">
        <f>"51"</f>
        <v>51</v>
      </c>
      <c r="J1945" t="s">
        <v>471</v>
      </c>
      <c r="K1945" t="s">
        <v>25</v>
      </c>
      <c r="L1945" t="s">
        <v>26</v>
      </c>
      <c r="M1945" t="s">
        <v>27</v>
      </c>
      <c r="N1945" s="1">
        <v>18629</v>
      </c>
      <c r="O1945">
        <v>0</v>
      </c>
      <c r="P1945">
        <v>0</v>
      </c>
      <c r="Q1945" t="s">
        <v>28</v>
      </c>
      <c r="R1945" t="s">
        <v>100</v>
      </c>
      <c r="S1945" t="s">
        <v>166</v>
      </c>
      <c r="T1945" t="s">
        <v>167</v>
      </c>
    </row>
    <row r="1946" spans="1:20" x14ac:dyDescent="0.25">
      <c r="A1946" t="s">
        <v>5257</v>
      </c>
      <c r="B1946" t="str">
        <f>"8236"</f>
        <v>8236</v>
      </c>
      <c r="C1946" t="str">
        <f>"290868236"</f>
        <v>290868236</v>
      </c>
      <c r="D1946" t="s">
        <v>5258</v>
      </c>
      <c r="E1946" t="s">
        <v>48</v>
      </c>
      <c r="G1946" s="1">
        <v>28668</v>
      </c>
      <c r="H1946" s="1">
        <v>40798</v>
      </c>
      <c r="I1946" t="str">
        <f>"20"</f>
        <v>20</v>
      </c>
      <c r="J1946" t="s">
        <v>123</v>
      </c>
      <c r="K1946" t="s">
        <v>98</v>
      </c>
      <c r="L1946" t="s">
        <v>37</v>
      </c>
      <c r="M1946" t="s">
        <v>257</v>
      </c>
      <c r="N1946" s="1">
        <v>41631</v>
      </c>
      <c r="O1946">
        <v>10753.16</v>
      </c>
      <c r="P1946">
        <v>2688.4</v>
      </c>
      <c r="Q1946" t="s">
        <v>37</v>
      </c>
      <c r="R1946" t="s">
        <v>29</v>
      </c>
      <c r="S1946" t="s">
        <v>185</v>
      </c>
      <c r="T1946" t="s">
        <v>186</v>
      </c>
    </row>
    <row r="1947" spans="1:20" x14ac:dyDescent="0.25">
      <c r="A1947" t="s">
        <v>5259</v>
      </c>
      <c r="B1947" t="str">
        <f>"4113"</f>
        <v>4113</v>
      </c>
      <c r="C1947" t="str">
        <f>"275504113"</f>
        <v>275504113</v>
      </c>
      <c r="D1947" t="s">
        <v>1341</v>
      </c>
      <c r="E1947" t="s">
        <v>122</v>
      </c>
      <c r="F1947" t="s">
        <v>1453</v>
      </c>
      <c r="G1947" s="1">
        <v>18374</v>
      </c>
      <c r="H1947" s="1">
        <v>40798</v>
      </c>
      <c r="I1947" t="str">
        <f>"51"</f>
        <v>51</v>
      </c>
      <c r="J1947" t="s">
        <v>471</v>
      </c>
      <c r="K1947" t="s">
        <v>25</v>
      </c>
      <c r="L1947" t="s">
        <v>26</v>
      </c>
      <c r="M1947" t="s">
        <v>27</v>
      </c>
      <c r="N1947" s="1">
        <v>18629</v>
      </c>
      <c r="O1947">
        <v>0</v>
      </c>
      <c r="P1947">
        <v>0</v>
      </c>
      <c r="Q1947" t="s">
        <v>28</v>
      </c>
      <c r="R1947" t="s">
        <v>71</v>
      </c>
      <c r="S1947" t="s">
        <v>3191</v>
      </c>
      <c r="T1947" t="s">
        <v>3192</v>
      </c>
    </row>
    <row r="1948" spans="1:20" x14ac:dyDescent="0.25">
      <c r="A1948" t="s">
        <v>5260</v>
      </c>
      <c r="B1948" t="str">
        <f>"6044"</f>
        <v>6044</v>
      </c>
      <c r="C1948" t="str">
        <f>"297526044"</f>
        <v>297526044</v>
      </c>
      <c r="D1948" t="s">
        <v>5261</v>
      </c>
      <c r="E1948" t="s">
        <v>214</v>
      </c>
      <c r="F1948" t="s">
        <v>97</v>
      </c>
      <c r="G1948" s="1">
        <v>19243</v>
      </c>
      <c r="H1948" s="1">
        <v>40798</v>
      </c>
      <c r="I1948" t="str">
        <f>"33"</f>
        <v>33</v>
      </c>
      <c r="J1948" t="s">
        <v>45</v>
      </c>
      <c r="K1948" t="s">
        <v>25</v>
      </c>
      <c r="L1948" t="s">
        <v>26</v>
      </c>
      <c r="M1948" t="s">
        <v>27</v>
      </c>
      <c r="N1948" s="1">
        <v>18629</v>
      </c>
      <c r="O1948">
        <v>0</v>
      </c>
      <c r="P1948">
        <v>0</v>
      </c>
      <c r="Q1948" t="s">
        <v>28</v>
      </c>
      <c r="R1948" t="s">
        <v>100</v>
      </c>
      <c r="S1948" t="s">
        <v>757</v>
      </c>
      <c r="T1948" t="s">
        <v>758</v>
      </c>
    </row>
    <row r="1949" spans="1:20" x14ac:dyDescent="0.25">
      <c r="A1949" t="s">
        <v>5262</v>
      </c>
      <c r="B1949" t="str">
        <f>"8395"</f>
        <v>8395</v>
      </c>
      <c r="C1949" t="str">
        <f>"268928395"</f>
        <v>268928395</v>
      </c>
      <c r="D1949" t="s">
        <v>5263</v>
      </c>
      <c r="E1949" t="s">
        <v>1007</v>
      </c>
      <c r="F1949" t="s">
        <v>28</v>
      </c>
      <c r="G1949" s="1">
        <v>30870</v>
      </c>
      <c r="H1949" s="1">
        <v>40798</v>
      </c>
      <c r="I1949" t="str">
        <f>"51"</f>
        <v>51</v>
      </c>
      <c r="J1949" t="s">
        <v>471</v>
      </c>
      <c r="K1949" t="s">
        <v>25</v>
      </c>
      <c r="L1949" t="s">
        <v>26</v>
      </c>
      <c r="M1949" t="s">
        <v>27</v>
      </c>
      <c r="N1949" s="1">
        <v>18629</v>
      </c>
      <c r="O1949">
        <v>0</v>
      </c>
      <c r="P1949">
        <v>0</v>
      </c>
      <c r="Q1949" t="s">
        <v>37</v>
      </c>
      <c r="R1949" t="s">
        <v>100</v>
      </c>
      <c r="S1949" t="s">
        <v>1526</v>
      </c>
      <c r="T1949" t="s">
        <v>1527</v>
      </c>
    </row>
    <row r="1950" spans="1:20" x14ac:dyDescent="0.25">
      <c r="A1950" t="s">
        <v>5264</v>
      </c>
      <c r="B1950" t="str">
        <f>"8785"</f>
        <v>8785</v>
      </c>
      <c r="C1950" t="str">
        <f>"288468785"</f>
        <v>288468785</v>
      </c>
      <c r="D1950" t="s">
        <v>5265</v>
      </c>
      <c r="E1950" t="s">
        <v>1381</v>
      </c>
      <c r="F1950" t="s">
        <v>165</v>
      </c>
      <c r="G1950" s="1">
        <v>17907</v>
      </c>
      <c r="H1950" s="1">
        <v>40798</v>
      </c>
      <c r="I1950" t="str">
        <f>"51"</f>
        <v>51</v>
      </c>
      <c r="J1950" t="s">
        <v>471</v>
      </c>
      <c r="K1950" t="s">
        <v>25</v>
      </c>
      <c r="L1950" t="s">
        <v>26</v>
      </c>
      <c r="M1950" t="s">
        <v>27</v>
      </c>
      <c r="N1950" s="1">
        <v>18629</v>
      </c>
      <c r="O1950">
        <v>0</v>
      </c>
      <c r="P1950">
        <v>0</v>
      </c>
      <c r="Q1950" t="s">
        <v>28</v>
      </c>
      <c r="R1950" t="s">
        <v>51</v>
      </c>
      <c r="S1950" s="2" t="s">
        <v>2202</v>
      </c>
      <c r="T1950" t="s">
        <v>2203</v>
      </c>
    </row>
    <row r="1951" spans="1:20" x14ac:dyDescent="0.25">
      <c r="A1951" t="s">
        <v>5266</v>
      </c>
      <c r="B1951" t="str">
        <f>"2205"</f>
        <v>2205</v>
      </c>
      <c r="C1951" t="str">
        <f>"300702205"</f>
        <v>300702205</v>
      </c>
      <c r="D1951" t="s">
        <v>5267</v>
      </c>
      <c r="E1951" t="s">
        <v>22</v>
      </c>
      <c r="F1951" t="s">
        <v>345</v>
      </c>
      <c r="G1951" s="1">
        <v>27980</v>
      </c>
      <c r="H1951" s="1">
        <v>40798</v>
      </c>
      <c r="I1951" t="str">
        <f>"41"</f>
        <v>41</v>
      </c>
      <c r="J1951" t="s">
        <v>24</v>
      </c>
      <c r="K1951" t="s">
        <v>25</v>
      </c>
      <c r="L1951" t="s">
        <v>26</v>
      </c>
      <c r="M1951" t="s">
        <v>27</v>
      </c>
      <c r="N1951" s="1">
        <v>18629</v>
      </c>
      <c r="O1951">
        <v>0</v>
      </c>
      <c r="P1951">
        <v>0</v>
      </c>
      <c r="Q1951" t="s">
        <v>28</v>
      </c>
      <c r="R1951" t="s">
        <v>258</v>
      </c>
      <c r="S1951" t="s">
        <v>527</v>
      </c>
      <c r="T1951" t="s">
        <v>528</v>
      </c>
    </row>
    <row r="1952" spans="1:20" x14ac:dyDescent="0.25">
      <c r="A1952" t="s">
        <v>5268</v>
      </c>
      <c r="B1952" t="str">
        <f>"4088"</f>
        <v>4088</v>
      </c>
      <c r="C1952" t="str">
        <f>"272824088"</f>
        <v>272824088</v>
      </c>
      <c r="D1952" t="s">
        <v>5269</v>
      </c>
      <c r="E1952" t="s">
        <v>5270</v>
      </c>
      <c r="F1952" t="s">
        <v>97</v>
      </c>
      <c r="G1952" s="1">
        <v>29049</v>
      </c>
      <c r="H1952" s="1">
        <v>40798</v>
      </c>
      <c r="I1952" t="str">
        <f>"51"</f>
        <v>51</v>
      </c>
      <c r="J1952" t="s">
        <v>471</v>
      </c>
      <c r="K1952" t="s">
        <v>25</v>
      </c>
      <c r="L1952" t="s">
        <v>26</v>
      </c>
      <c r="M1952" t="s">
        <v>27</v>
      </c>
      <c r="N1952" s="1">
        <v>18629</v>
      </c>
      <c r="O1952">
        <v>0</v>
      </c>
      <c r="P1952">
        <v>0</v>
      </c>
      <c r="Q1952" t="s">
        <v>28</v>
      </c>
      <c r="R1952" t="s">
        <v>100</v>
      </c>
      <c r="S1952" t="s">
        <v>1462</v>
      </c>
      <c r="T1952" t="s">
        <v>1463</v>
      </c>
    </row>
    <row r="1953" spans="1:20" x14ac:dyDescent="0.25">
      <c r="A1953" t="s">
        <v>5271</v>
      </c>
      <c r="B1953" t="str">
        <f>"8723"</f>
        <v>8723</v>
      </c>
      <c r="C1953" t="str">
        <f>"289668723"</f>
        <v>289668723</v>
      </c>
      <c r="D1953" t="s">
        <v>5272</v>
      </c>
      <c r="E1953" t="s">
        <v>109</v>
      </c>
      <c r="F1953" t="s">
        <v>28</v>
      </c>
      <c r="G1953" s="1">
        <v>23392</v>
      </c>
      <c r="H1953" s="1">
        <v>40798</v>
      </c>
      <c r="I1953" t="str">
        <f>"41"</f>
        <v>41</v>
      </c>
      <c r="J1953" t="s">
        <v>24</v>
      </c>
      <c r="K1953" t="s">
        <v>25</v>
      </c>
      <c r="L1953" t="s">
        <v>26</v>
      </c>
      <c r="M1953" t="s">
        <v>27</v>
      </c>
      <c r="N1953" s="1">
        <v>18629</v>
      </c>
      <c r="O1953">
        <v>0</v>
      </c>
      <c r="P1953">
        <v>0</v>
      </c>
      <c r="Q1953" t="s">
        <v>37</v>
      </c>
      <c r="R1953" t="s">
        <v>29</v>
      </c>
      <c r="S1953" t="s">
        <v>615</v>
      </c>
      <c r="T1953" t="s">
        <v>616</v>
      </c>
    </row>
    <row r="1954" spans="1:20" x14ac:dyDescent="0.25">
      <c r="A1954" t="s">
        <v>5273</v>
      </c>
      <c r="B1954" t="str">
        <f>"7493"</f>
        <v>7493</v>
      </c>
      <c r="C1954" t="str">
        <f>"275567493"</f>
        <v>275567493</v>
      </c>
      <c r="D1954" t="s">
        <v>5274</v>
      </c>
      <c r="E1954" t="s">
        <v>448</v>
      </c>
      <c r="F1954" t="s">
        <v>93</v>
      </c>
      <c r="G1954" s="1">
        <v>20364</v>
      </c>
      <c r="H1954" s="1">
        <v>40798</v>
      </c>
      <c r="I1954" t="str">
        <f>"51"</f>
        <v>51</v>
      </c>
      <c r="J1954" t="s">
        <v>471</v>
      </c>
      <c r="K1954" t="s">
        <v>25</v>
      </c>
      <c r="L1954" t="s">
        <v>26</v>
      </c>
      <c r="M1954" t="s">
        <v>27</v>
      </c>
      <c r="N1954" s="1">
        <v>18629</v>
      </c>
      <c r="O1954">
        <v>0</v>
      </c>
      <c r="P1954">
        <v>0</v>
      </c>
      <c r="Q1954" t="s">
        <v>37</v>
      </c>
      <c r="R1954" t="s">
        <v>100</v>
      </c>
      <c r="S1954" t="s">
        <v>1526</v>
      </c>
      <c r="T1954" t="s">
        <v>1527</v>
      </c>
    </row>
    <row r="1955" spans="1:20" x14ac:dyDescent="0.25">
      <c r="A1955" t="s">
        <v>5275</v>
      </c>
      <c r="B1955" t="str">
        <f>"7649"</f>
        <v>7649</v>
      </c>
      <c r="C1955" t="str">
        <f>"443137649"</f>
        <v>443137649</v>
      </c>
      <c r="D1955" t="s">
        <v>2657</v>
      </c>
      <c r="E1955" t="s">
        <v>5276</v>
      </c>
      <c r="G1955" s="1">
        <v>27064</v>
      </c>
      <c r="H1955" s="1">
        <v>40798</v>
      </c>
      <c r="I1955" t="str">
        <f>"51"</f>
        <v>51</v>
      </c>
      <c r="J1955" t="s">
        <v>471</v>
      </c>
      <c r="K1955" t="s">
        <v>25</v>
      </c>
      <c r="L1955" t="s">
        <v>26</v>
      </c>
      <c r="M1955" t="s">
        <v>27</v>
      </c>
      <c r="N1955" s="1">
        <v>18629</v>
      </c>
      <c r="O1955">
        <v>0</v>
      </c>
      <c r="P1955">
        <v>0</v>
      </c>
      <c r="Q1955" t="s">
        <v>28</v>
      </c>
      <c r="R1955" t="s">
        <v>100</v>
      </c>
      <c r="S1955" t="s">
        <v>2206</v>
      </c>
      <c r="T1955" t="s">
        <v>2207</v>
      </c>
    </row>
    <row r="1956" spans="1:20" x14ac:dyDescent="0.25">
      <c r="A1956" t="s">
        <v>5277</v>
      </c>
      <c r="B1956" t="str">
        <f>"6672"</f>
        <v>6672</v>
      </c>
      <c r="C1956" t="str">
        <f>"337806672"</f>
        <v>337806672</v>
      </c>
      <c r="D1956" t="s">
        <v>5278</v>
      </c>
      <c r="E1956" t="s">
        <v>5279</v>
      </c>
      <c r="G1956" s="1">
        <v>32029</v>
      </c>
      <c r="H1956" s="1">
        <v>40796</v>
      </c>
      <c r="I1956" t="str">
        <f>"52"</f>
        <v>52</v>
      </c>
      <c r="J1956" t="s">
        <v>330</v>
      </c>
      <c r="K1956" t="s">
        <v>25</v>
      </c>
      <c r="L1956" t="s">
        <v>26</v>
      </c>
      <c r="M1956" t="s">
        <v>27</v>
      </c>
      <c r="N1956" s="1">
        <v>18629</v>
      </c>
      <c r="O1956">
        <v>0</v>
      </c>
      <c r="P1956">
        <v>0</v>
      </c>
      <c r="Q1956" t="s">
        <v>37</v>
      </c>
      <c r="R1956" t="s">
        <v>29</v>
      </c>
      <c r="S1956" t="s">
        <v>4000</v>
      </c>
      <c r="T1956" t="s">
        <v>4001</v>
      </c>
    </row>
    <row r="1957" spans="1:20" x14ac:dyDescent="0.25">
      <c r="A1957" t="s">
        <v>5280</v>
      </c>
      <c r="B1957" t="str">
        <f>"2886"</f>
        <v>2886</v>
      </c>
      <c r="C1957" t="str">
        <f>"241232886"</f>
        <v>241232886</v>
      </c>
      <c r="D1957" t="s">
        <v>5281</v>
      </c>
      <c r="E1957" t="s">
        <v>5282</v>
      </c>
      <c r="F1957" t="s">
        <v>5283</v>
      </c>
      <c r="G1957" s="1">
        <v>27396</v>
      </c>
      <c r="H1957" s="1">
        <v>40794</v>
      </c>
      <c r="I1957" t="str">
        <f>"51"</f>
        <v>51</v>
      </c>
      <c r="J1957" t="s">
        <v>471</v>
      </c>
      <c r="K1957" t="s">
        <v>25</v>
      </c>
      <c r="L1957" t="s">
        <v>26</v>
      </c>
      <c r="M1957" t="s">
        <v>27</v>
      </c>
      <c r="N1957" s="1">
        <v>18629</v>
      </c>
      <c r="O1957">
        <v>0</v>
      </c>
      <c r="P1957">
        <v>0</v>
      </c>
      <c r="Q1957" t="s">
        <v>37</v>
      </c>
      <c r="R1957" t="s">
        <v>29</v>
      </c>
      <c r="S1957" t="s">
        <v>138</v>
      </c>
      <c r="T1957" t="s">
        <v>139</v>
      </c>
    </row>
    <row r="1958" spans="1:20" x14ac:dyDescent="0.25">
      <c r="A1958" t="s">
        <v>5284</v>
      </c>
      <c r="B1958" t="str">
        <f>"8743"</f>
        <v>8743</v>
      </c>
      <c r="C1958" t="str">
        <f>"278548743"</f>
        <v>278548743</v>
      </c>
      <c r="D1958" t="s">
        <v>5285</v>
      </c>
      <c r="E1958" t="s">
        <v>430</v>
      </c>
      <c r="F1958" t="s">
        <v>44</v>
      </c>
      <c r="G1958" s="1">
        <v>19757</v>
      </c>
      <c r="H1958" s="1">
        <v>40794</v>
      </c>
      <c r="I1958" t="str">
        <f>"51"</f>
        <v>51</v>
      </c>
      <c r="J1958" t="s">
        <v>471</v>
      </c>
      <c r="K1958" t="s">
        <v>25</v>
      </c>
      <c r="L1958" t="s">
        <v>26</v>
      </c>
      <c r="M1958" t="s">
        <v>27</v>
      </c>
      <c r="N1958" s="1">
        <v>18629</v>
      </c>
      <c r="O1958">
        <v>0</v>
      </c>
      <c r="P1958">
        <v>0</v>
      </c>
      <c r="Q1958" t="s">
        <v>28</v>
      </c>
      <c r="R1958" t="s">
        <v>29</v>
      </c>
      <c r="S1958" t="s">
        <v>1555</v>
      </c>
      <c r="T1958" t="s">
        <v>1556</v>
      </c>
    </row>
    <row r="1959" spans="1:20" x14ac:dyDescent="0.25">
      <c r="A1959" t="s">
        <v>5286</v>
      </c>
      <c r="B1959" t="str">
        <f>"1811"</f>
        <v>1811</v>
      </c>
      <c r="C1959" t="str">
        <f>"285061811"</f>
        <v>285061811</v>
      </c>
      <c r="D1959" t="s">
        <v>5287</v>
      </c>
      <c r="E1959" t="s">
        <v>5288</v>
      </c>
      <c r="G1959" s="1">
        <v>26360</v>
      </c>
      <c r="H1959" s="1">
        <v>40792</v>
      </c>
      <c r="I1959" t="str">
        <f>"33"</f>
        <v>33</v>
      </c>
      <c r="J1959" t="s">
        <v>45</v>
      </c>
      <c r="K1959" t="s">
        <v>25</v>
      </c>
      <c r="L1959" t="s">
        <v>26</v>
      </c>
      <c r="M1959" t="s">
        <v>27</v>
      </c>
      <c r="N1959" s="1">
        <v>18629</v>
      </c>
      <c r="O1959">
        <v>0</v>
      </c>
      <c r="P1959">
        <v>0</v>
      </c>
      <c r="Q1959" t="s">
        <v>37</v>
      </c>
      <c r="R1959" t="s">
        <v>51</v>
      </c>
      <c r="S1959" t="s">
        <v>795</v>
      </c>
      <c r="T1959" t="s">
        <v>796</v>
      </c>
    </row>
    <row r="1960" spans="1:20" x14ac:dyDescent="0.25">
      <c r="A1960" t="s">
        <v>5289</v>
      </c>
      <c r="B1960" t="str">
        <f>"8810"</f>
        <v>8810</v>
      </c>
      <c r="C1960" t="str">
        <f>"299608810"</f>
        <v>299608810</v>
      </c>
      <c r="D1960" t="s">
        <v>5290</v>
      </c>
      <c r="E1960" t="s">
        <v>1055</v>
      </c>
      <c r="F1960" t="s">
        <v>219</v>
      </c>
      <c r="G1960" s="1">
        <v>24563</v>
      </c>
      <c r="H1960" s="1">
        <v>40792</v>
      </c>
      <c r="I1960" t="str">
        <f>"51"</f>
        <v>51</v>
      </c>
      <c r="J1960" t="s">
        <v>471</v>
      </c>
      <c r="K1960" t="s">
        <v>25</v>
      </c>
      <c r="L1960" t="s">
        <v>26</v>
      </c>
      <c r="M1960" t="s">
        <v>27</v>
      </c>
      <c r="N1960" s="1">
        <v>18629</v>
      </c>
      <c r="O1960">
        <v>0</v>
      </c>
      <c r="P1960">
        <v>0</v>
      </c>
      <c r="Q1960" t="s">
        <v>28</v>
      </c>
      <c r="R1960" t="s">
        <v>29</v>
      </c>
      <c r="S1960" t="s">
        <v>2355</v>
      </c>
      <c r="T1960" t="s">
        <v>2356</v>
      </c>
    </row>
    <row r="1961" spans="1:20" x14ac:dyDescent="0.25">
      <c r="A1961" t="s">
        <v>5291</v>
      </c>
      <c r="B1961" t="str">
        <f>"8534"</f>
        <v>8534</v>
      </c>
      <c r="C1961" t="str">
        <f>"278868534"</f>
        <v>278868534</v>
      </c>
      <c r="D1961" t="s">
        <v>71</v>
      </c>
      <c r="E1961" t="s">
        <v>5292</v>
      </c>
      <c r="F1961" t="s">
        <v>165</v>
      </c>
      <c r="G1961" s="1">
        <v>29102</v>
      </c>
      <c r="H1961" s="1">
        <v>40792</v>
      </c>
      <c r="I1961" t="str">
        <f>"30"</f>
        <v>30</v>
      </c>
      <c r="J1961" t="s">
        <v>50</v>
      </c>
      <c r="K1961" t="s">
        <v>25</v>
      </c>
      <c r="L1961" t="s">
        <v>26</v>
      </c>
      <c r="M1961" t="s">
        <v>27</v>
      </c>
      <c r="N1961" s="1">
        <v>18629</v>
      </c>
      <c r="O1961">
        <v>0</v>
      </c>
      <c r="P1961">
        <v>0</v>
      </c>
      <c r="Q1961" t="s">
        <v>37</v>
      </c>
      <c r="R1961" t="s">
        <v>29</v>
      </c>
      <c r="S1961" t="s">
        <v>3275</v>
      </c>
      <c r="T1961" t="s">
        <v>3276</v>
      </c>
    </row>
    <row r="1962" spans="1:20" x14ac:dyDescent="0.25">
      <c r="A1962" t="s">
        <v>5293</v>
      </c>
      <c r="B1962" t="str">
        <f>"0492"</f>
        <v>0492</v>
      </c>
      <c r="C1962" t="str">
        <f>"295880492"</f>
        <v>295880492</v>
      </c>
      <c r="D1962" t="s">
        <v>5294</v>
      </c>
      <c r="E1962" t="s">
        <v>5295</v>
      </c>
      <c r="F1962" t="s">
        <v>26</v>
      </c>
      <c r="G1962" s="1">
        <v>21987</v>
      </c>
      <c r="H1962" s="1">
        <v>40791</v>
      </c>
      <c r="I1962" t="str">
        <f>"51"</f>
        <v>51</v>
      </c>
      <c r="J1962" t="s">
        <v>471</v>
      </c>
      <c r="K1962" t="s">
        <v>25</v>
      </c>
      <c r="L1962" t="s">
        <v>26</v>
      </c>
      <c r="M1962" t="s">
        <v>27</v>
      </c>
      <c r="N1962" s="1">
        <v>18629</v>
      </c>
      <c r="O1962">
        <v>0</v>
      </c>
      <c r="P1962">
        <v>0</v>
      </c>
      <c r="Q1962" t="s">
        <v>28</v>
      </c>
      <c r="R1962" t="s">
        <v>258</v>
      </c>
      <c r="S1962" t="s">
        <v>472</v>
      </c>
      <c r="T1962" t="s">
        <v>473</v>
      </c>
    </row>
    <row r="1963" spans="1:20" x14ac:dyDescent="0.25">
      <c r="A1963" t="s">
        <v>5296</v>
      </c>
      <c r="B1963" t="str">
        <f>"3458"</f>
        <v>3458</v>
      </c>
      <c r="C1963" t="str">
        <f>"271723458"</f>
        <v>271723458</v>
      </c>
      <c r="D1963" t="s">
        <v>5297</v>
      </c>
      <c r="E1963" t="s">
        <v>2786</v>
      </c>
      <c r="F1963" t="s">
        <v>44</v>
      </c>
      <c r="G1963" s="1">
        <v>23686</v>
      </c>
      <c r="H1963" s="1">
        <v>40791</v>
      </c>
      <c r="I1963" t="str">
        <f>"05"</f>
        <v>05</v>
      </c>
      <c r="J1963" t="s">
        <v>58</v>
      </c>
      <c r="L1963" t="s">
        <v>37</v>
      </c>
      <c r="M1963" t="s">
        <v>143</v>
      </c>
      <c r="N1963" s="1">
        <v>41617</v>
      </c>
      <c r="O1963">
        <v>185.9</v>
      </c>
      <c r="P1963">
        <v>-185.9</v>
      </c>
      <c r="Q1963" t="s">
        <v>37</v>
      </c>
      <c r="R1963" t="s">
        <v>29</v>
      </c>
      <c r="S1963" t="s">
        <v>3275</v>
      </c>
      <c r="T1963" t="s">
        <v>3276</v>
      </c>
    </row>
    <row r="1964" spans="1:20" x14ac:dyDescent="0.25">
      <c r="A1964" t="s">
        <v>5298</v>
      </c>
      <c r="B1964" t="str">
        <f>"0857"</f>
        <v>0857</v>
      </c>
      <c r="C1964" t="str">
        <f>"275420857"</f>
        <v>275420857</v>
      </c>
      <c r="D1964" t="s">
        <v>5299</v>
      </c>
      <c r="E1964" t="s">
        <v>756</v>
      </c>
      <c r="F1964" t="s">
        <v>28</v>
      </c>
      <c r="G1964" s="1">
        <v>20287</v>
      </c>
      <c r="H1964" s="1">
        <v>40791</v>
      </c>
      <c r="I1964" t="str">
        <f>"05"</f>
        <v>05</v>
      </c>
      <c r="J1964" t="s">
        <v>58</v>
      </c>
      <c r="K1964" t="s">
        <v>98</v>
      </c>
      <c r="L1964" t="s">
        <v>37</v>
      </c>
      <c r="M1964" t="s">
        <v>257</v>
      </c>
      <c r="N1964" s="1">
        <v>41617</v>
      </c>
      <c r="O1964">
        <v>10753.08</v>
      </c>
      <c r="P1964">
        <v>2688.4</v>
      </c>
      <c r="Q1964" t="s">
        <v>37</v>
      </c>
      <c r="R1964" t="s">
        <v>71</v>
      </c>
      <c r="S1964" t="s">
        <v>209</v>
      </c>
      <c r="T1964" t="s">
        <v>210</v>
      </c>
    </row>
    <row r="1965" spans="1:20" x14ac:dyDescent="0.25">
      <c r="A1965" t="s">
        <v>5300</v>
      </c>
      <c r="B1965" t="str">
        <f>"3903"</f>
        <v>3903</v>
      </c>
      <c r="C1965" t="str">
        <f>"090543903"</f>
        <v>090543903</v>
      </c>
      <c r="D1965" t="s">
        <v>3558</v>
      </c>
      <c r="E1965" t="s">
        <v>3372</v>
      </c>
      <c r="F1965" t="s">
        <v>93</v>
      </c>
      <c r="G1965" s="1">
        <v>22230</v>
      </c>
      <c r="H1965" s="1">
        <v>40788</v>
      </c>
      <c r="I1965" t="str">
        <f>"51"</f>
        <v>51</v>
      </c>
      <c r="J1965" t="s">
        <v>471</v>
      </c>
      <c r="K1965" t="s">
        <v>25</v>
      </c>
      <c r="L1965" t="s">
        <v>26</v>
      </c>
      <c r="M1965" t="s">
        <v>27</v>
      </c>
      <c r="N1965" s="1">
        <v>18629</v>
      </c>
      <c r="O1965">
        <v>0</v>
      </c>
      <c r="P1965">
        <v>0</v>
      </c>
      <c r="Q1965" t="s">
        <v>37</v>
      </c>
      <c r="R1965" t="s">
        <v>29</v>
      </c>
      <c r="S1965" t="s">
        <v>138</v>
      </c>
      <c r="T1965" t="s">
        <v>139</v>
      </c>
    </row>
    <row r="1966" spans="1:20" x14ac:dyDescent="0.25">
      <c r="A1966" t="s">
        <v>5301</v>
      </c>
      <c r="B1966" t="str">
        <f>"5436"</f>
        <v>5436</v>
      </c>
      <c r="C1966" t="str">
        <f>"275925436"</f>
        <v>275925436</v>
      </c>
      <c r="D1966" t="s">
        <v>5302</v>
      </c>
      <c r="E1966" t="s">
        <v>5303</v>
      </c>
      <c r="F1966" t="s">
        <v>165</v>
      </c>
      <c r="G1966" s="1">
        <v>24114</v>
      </c>
      <c r="H1966" s="1">
        <v>40788</v>
      </c>
      <c r="I1966" t="str">
        <f>"51"</f>
        <v>51</v>
      </c>
      <c r="J1966" t="s">
        <v>471</v>
      </c>
      <c r="K1966" t="s">
        <v>25</v>
      </c>
      <c r="L1966" t="s">
        <v>26</v>
      </c>
      <c r="M1966" t="s">
        <v>27</v>
      </c>
      <c r="N1966" s="1">
        <v>18629</v>
      </c>
      <c r="O1966">
        <v>0</v>
      </c>
      <c r="P1966">
        <v>0</v>
      </c>
      <c r="Q1966" t="s">
        <v>37</v>
      </c>
      <c r="R1966" t="s">
        <v>29</v>
      </c>
      <c r="S1966" t="s">
        <v>138</v>
      </c>
      <c r="T1966" t="s">
        <v>139</v>
      </c>
    </row>
    <row r="1967" spans="1:20" x14ac:dyDescent="0.25">
      <c r="A1967" t="s">
        <v>5304</v>
      </c>
      <c r="B1967" t="str">
        <f>"0233"</f>
        <v>0233</v>
      </c>
      <c r="C1967" t="str">
        <f>"286560233"</f>
        <v>286560233</v>
      </c>
      <c r="D1967" t="s">
        <v>1171</v>
      </c>
      <c r="E1967" t="s">
        <v>5305</v>
      </c>
      <c r="G1967" s="1">
        <v>21345</v>
      </c>
      <c r="H1967" s="1">
        <v>40785</v>
      </c>
      <c r="I1967" t="str">
        <f>"51"</f>
        <v>51</v>
      </c>
      <c r="J1967" t="s">
        <v>471</v>
      </c>
      <c r="K1967" t="s">
        <v>25</v>
      </c>
      <c r="L1967" t="s">
        <v>26</v>
      </c>
      <c r="M1967" t="s">
        <v>27</v>
      </c>
      <c r="N1967" s="1">
        <v>18629</v>
      </c>
      <c r="O1967">
        <v>0</v>
      </c>
      <c r="P1967">
        <v>0</v>
      </c>
      <c r="Q1967" t="s">
        <v>37</v>
      </c>
      <c r="R1967" t="s">
        <v>29</v>
      </c>
      <c r="S1967" t="s">
        <v>138</v>
      </c>
      <c r="T1967" t="s">
        <v>139</v>
      </c>
    </row>
    <row r="1968" spans="1:20" x14ac:dyDescent="0.25">
      <c r="A1968" t="s">
        <v>5306</v>
      </c>
      <c r="B1968" t="str">
        <f>"1432"</f>
        <v>1432</v>
      </c>
      <c r="C1968" t="str">
        <f>"287941432"</f>
        <v>287941432</v>
      </c>
      <c r="D1968" t="s">
        <v>3002</v>
      </c>
      <c r="E1968" t="s">
        <v>1546</v>
      </c>
      <c r="G1968" s="1">
        <v>33547</v>
      </c>
      <c r="H1968" s="1">
        <v>40785</v>
      </c>
      <c r="I1968" t="str">
        <f>"41"</f>
        <v>41</v>
      </c>
      <c r="J1968" t="s">
        <v>24</v>
      </c>
      <c r="K1968" t="s">
        <v>25</v>
      </c>
      <c r="L1968" t="s">
        <v>26</v>
      </c>
      <c r="M1968" t="s">
        <v>27</v>
      </c>
      <c r="N1968" s="1">
        <v>18629</v>
      </c>
      <c r="O1968">
        <v>0</v>
      </c>
      <c r="P1968">
        <v>0</v>
      </c>
      <c r="Q1968" t="s">
        <v>37</v>
      </c>
      <c r="R1968" t="s">
        <v>71</v>
      </c>
      <c r="S1968" t="s">
        <v>505</v>
      </c>
      <c r="T1968" t="s">
        <v>506</v>
      </c>
    </row>
    <row r="1969" spans="1:20" x14ac:dyDescent="0.25">
      <c r="A1969" t="s">
        <v>5307</v>
      </c>
      <c r="B1969" t="str">
        <f>"5717"</f>
        <v>5717</v>
      </c>
      <c r="C1969" t="str">
        <f>"282025717"</f>
        <v>282025717</v>
      </c>
      <c r="D1969" t="s">
        <v>5173</v>
      </c>
      <c r="E1969" t="s">
        <v>5308</v>
      </c>
      <c r="G1969" s="1">
        <v>23754</v>
      </c>
      <c r="H1969" s="1">
        <v>40784</v>
      </c>
      <c r="I1969" t="str">
        <f>"20"</f>
        <v>20</v>
      </c>
      <c r="J1969" t="s">
        <v>123</v>
      </c>
      <c r="K1969" t="s">
        <v>98</v>
      </c>
      <c r="L1969" t="s">
        <v>37</v>
      </c>
      <c r="M1969" t="s">
        <v>257</v>
      </c>
      <c r="N1969" s="1">
        <v>41631</v>
      </c>
      <c r="O1969">
        <v>10753.16</v>
      </c>
      <c r="P1969">
        <v>2688.4</v>
      </c>
      <c r="Q1969" t="s">
        <v>28</v>
      </c>
      <c r="R1969" t="s">
        <v>29</v>
      </c>
      <c r="S1969" t="s">
        <v>1572</v>
      </c>
      <c r="T1969" t="s">
        <v>1573</v>
      </c>
    </row>
    <row r="1970" spans="1:20" x14ac:dyDescent="0.25">
      <c r="A1970" t="s">
        <v>5309</v>
      </c>
      <c r="B1970" t="str">
        <f>"9148"</f>
        <v>9148</v>
      </c>
      <c r="C1970" t="str">
        <f>"293849148"</f>
        <v>293849148</v>
      </c>
      <c r="D1970" t="s">
        <v>5310</v>
      </c>
      <c r="E1970" t="s">
        <v>5311</v>
      </c>
      <c r="F1970" t="s">
        <v>93</v>
      </c>
      <c r="G1970" s="1">
        <v>31593</v>
      </c>
      <c r="H1970" s="1">
        <v>40784</v>
      </c>
      <c r="I1970" t="str">
        <f>"51"</f>
        <v>51</v>
      </c>
      <c r="J1970" t="s">
        <v>471</v>
      </c>
      <c r="K1970" t="s">
        <v>25</v>
      </c>
      <c r="L1970" t="s">
        <v>26</v>
      </c>
      <c r="M1970" t="s">
        <v>27</v>
      </c>
      <c r="N1970" s="1">
        <v>18629</v>
      </c>
      <c r="O1970">
        <v>0</v>
      </c>
      <c r="P1970">
        <v>0</v>
      </c>
      <c r="Q1970" t="s">
        <v>37</v>
      </c>
      <c r="R1970" t="s">
        <v>29</v>
      </c>
      <c r="S1970" t="s">
        <v>138</v>
      </c>
      <c r="T1970" t="s">
        <v>139</v>
      </c>
    </row>
    <row r="1971" spans="1:20" x14ac:dyDescent="0.25">
      <c r="A1971" t="s">
        <v>5312</v>
      </c>
      <c r="B1971" t="str">
        <f>"9263"</f>
        <v>9263</v>
      </c>
      <c r="C1971" t="str">
        <f>"165529263"</f>
        <v>165529263</v>
      </c>
      <c r="D1971" t="s">
        <v>5313</v>
      </c>
      <c r="E1971" t="s">
        <v>5314</v>
      </c>
      <c r="F1971" t="s">
        <v>93</v>
      </c>
      <c r="G1971" s="1">
        <v>24856</v>
      </c>
      <c r="H1971" s="1">
        <v>40784</v>
      </c>
      <c r="I1971" t="str">
        <f>"50"</f>
        <v>50</v>
      </c>
      <c r="J1971" t="s">
        <v>208</v>
      </c>
      <c r="K1971" t="s">
        <v>25</v>
      </c>
      <c r="L1971" t="s">
        <v>26</v>
      </c>
      <c r="M1971" t="s">
        <v>27</v>
      </c>
      <c r="N1971" s="1">
        <v>18629</v>
      </c>
      <c r="O1971">
        <v>0</v>
      </c>
      <c r="P1971">
        <v>0</v>
      </c>
      <c r="Q1971" t="s">
        <v>37</v>
      </c>
      <c r="R1971" t="s">
        <v>71</v>
      </c>
      <c r="S1971" t="s">
        <v>610</v>
      </c>
      <c r="T1971" t="s">
        <v>611</v>
      </c>
    </row>
    <row r="1972" spans="1:20" x14ac:dyDescent="0.25">
      <c r="A1972" t="s">
        <v>5315</v>
      </c>
      <c r="B1972" t="str">
        <f>"1548"</f>
        <v>1548</v>
      </c>
      <c r="C1972" t="str">
        <f>"102441548"</f>
        <v>102441548</v>
      </c>
      <c r="D1972" t="s">
        <v>4093</v>
      </c>
      <c r="E1972" t="s">
        <v>5316</v>
      </c>
      <c r="F1972" t="s">
        <v>28</v>
      </c>
      <c r="G1972" s="1">
        <v>19137</v>
      </c>
      <c r="H1972" s="1">
        <v>40784</v>
      </c>
      <c r="I1972" t="str">
        <f t="shared" ref="I1972:I1984" si="39">"51"</f>
        <v>51</v>
      </c>
      <c r="J1972" t="s">
        <v>471</v>
      </c>
      <c r="K1972" t="s">
        <v>25</v>
      </c>
      <c r="L1972" t="s">
        <v>26</v>
      </c>
      <c r="M1972" t="s">
        <v>27</v>
      </c>
      <c r="N1972" s="1">
        <v>18629</v>
      </c>
      <c r="O1972">
        <v>0</v>
      </c>
      <c r="P1972">
        <v>0</v>
      </c>
      <c r="Q1972" t="s">
        <v>37</v>
      </c>
      <c r="R1972" t="s">
        <v>29</v>
      </c>
      <c r="S1972" t="s">
        <v>1494</v>
      </c>
      <c r="T1972" t="s">
        <v>1495</v>
      </c>
    </row>
    <row r="1973" spans="1:20" x14ac:dyDescent="0.25">
      <c r="A1973" t="s">
        <v>5317</v>
      </c>
      <c r="B1973" t="str">
        <f>"6615"</f>
        <v>6615</v>
      </c>
      <c r="C1973" t="str">
        <f>"296886615"</f>
        <v>296886615</v>
      </c>
      <c r="D1973" t="s">
        <v>5318</v>
      </c>
      <c r="E1973" t="s">
        <v>4325</v>
      </c>
      <c r="F1973" t="s">
        <v>438</v>
      </c>
      <c r="G1973" s="1">
        <v>32317</v>
      </c>
      <c r="H1973" s="1">
        <v>40784</v>
      </c>
      <c r="I1973" t="str">
        <f t="shared" si="39"/>
        <v>51</v>
      </c>
      <c r="J1973" t="s">
        <v>471</v>
      </c>
      <c r="K1973" t="s">
        <v>25</v>
      </c>
      <c r="L1973" t="s">
        <v>26</v>
      </c>
      <c r="M1973" t="s">
        <v>27</v>
      </c>
      <c r="N1973" s="1">
        <v>18629</v>
      </c>
      <c r="O1973">
        <v>0</v>
      </c>
      <c r="P1973">
        <v>0</v>
      </c>
      <c r="Q1973" t="s">
        <v>28</v>
      </c>
      <c r="R1973" t="s">
        <v>29</v>
      </c>
      <c r="S1973" t="s">
        <v>2781</v>
      </c>
      <c r="T1973" t="s">
        <v>2782</v>
      </c>
    </row>
    <row r="1974" spans="1:20" x14ac:dyDescent="0.25">
      <c r="A1974" t="s">
        <v>5319</v>
      </c>
      <c r="B1974" t="str">
        <f>"4526"</f>
        <v>4526</v>
      </c>
      <c r="C1974" t="str">
        <f>"029324526"</f>
        <v>029324526</v>
      </c>
      <c r="D1974" t="s">
        <v>5320</v>
      </c>
      <c r="E1974" t="s">
        <v>2950</v>
      </c>
      <c r="F1974" t="s">
        <v>97</v>
      </c>
      <c r="G1974" s="1">
        <v>16055</v>
      </c>
      <c r="H1974" s="1">
        <v>40784</v>
      </c>
      <c r="I1974" t="str">
        <f t="shared" si="39"/>
        <v>51</v>
      </c>
      <c r="J1974" t="s">
        <v>471</v>
      </c>
      <c r="K1974" t="s">
        <v>25</v>
      </c>
      <c r="L1974" t="s">
        <v>26</v>
      </c>
      <c r="M1974" t="s">
        <v>27</v>
      </c>
      <c r="N1974" s="1">
        <v>18629</v>
      </c>
      <c r="O1974">
        <v>0</v>
      </c>
      <c r="P1974">
        <v>0</v>
      </c>
      <c r="Q1974" t="s">
        <v>37</v>
      </c>
      <c r="R1974" t="s">
        <v>71</v>
      </c>
      <c r="S1974" t="s">
        <v>2458</v>
      </c>
      <c r="T1974" t="s">
        <v>2459</v>
      </c>
    </row>
    <row r="1975" spans="1:20" x14ac:dyDescent="0.25">
      <c r="A1975" t="s">
        <v>5321</v>
      </c>
      <c r="B1975" t="str">
        <f>"9935"</f>
        <v>9935</v>
      </c>
      <c r="C1975" t="str">
        <f>"302889935"</f>
        <v>302889935</v>
      </c>
      <c r="D1975" t="s">
        <v>5322</v>
      </c>
      <c r="E1975" t="s">
        <v>1074</v>
      </c>
      <c r="F1975" t="s">
        <v>93</v>
      </c>
      <c r="G1975" s="1">
        <v>31184</v>
      </c>
      <c r="H1975" s="1">
        <v>40784</v>
      </c>
      <c r="I1975" t="str">
        <f t="shared" si="39"/>
        <v>51</v>
      </c>
      <c r="J1975" t="s">
        <v>471</v>
      </c>
      <c r="K1975" t="s">
        <v>25</v>
      </c>
      <c r="L1975" t="s">
        <v>26</v>
      </c>
      <c r="M1975" t="s">
        <v>27</v>
      </c>
      <c r="N1975" s="1">
        <v>18629</v>
      </c>
      <c r="O1975">
        <v>0</v>
      </c>
      <c r="P1975">
        <v>0</v>
      </c>
      <c r="Q1975" t="s">
        <v>37</v>
      </c>
      <c r="R1975" t="s">
        <v>71</v>
      </c>
      <c r="S1975" t="s">
        <v>157</v>
      </c>
      <c r="T1975" t="s">
        <v>158</v>
      </c>
    </row>
    <row r="1976" spans="1:20" x14ac:dyDescent="0.25">
      <c r="A1976" t="s">
        <v>5323</v>
      </c>
      <c r="B1976" t="str">
        <f>"3254"</f>
        <v>3254</v>
      </c>
      <c r="C1976" t="str">
        <f>"293463254"</f>
        <v>293463254</v>
      </c>
      <c r="D1976" t="s">
        <v>5077</v>
      </c>
      <c r="E1976" t="s">
        <v>769</v>
      </c>
      <c r="G1976" s="1">
        <v>18369</v>
      </c>
      <c r="H1976" s="1">
        <v>40784</v>
      </c>
      <c r="I1976" t="str">
        <f t="shared" si="39"/>
        <v>51</v>
      </c>
      <c r="J1976" t="s">
        <v>471</v>
      </c>
      <c r="K1976" t="s">
        <v>25</v>
      </c>
      <c r="L1976" t="s">
        <v>26</v>
      </c>
      <c r="M1976" t="s">
        <v>27</v>
      </c>
      <c r="N1976" s="1">
        <v>18629</v>
      </c>
      <c r="O1976">
        <v>0</v>
      </c>
      <c r="P1976">
        <v>0</v>
      </c>
      <c r="Q1976" t="s">
        <v>37</v>
      </c>
      <c r="R1976" t="s">
        <v>29</v>
      </c>
      <c r="S1976" t="s">
        <v>151</v>
      </c>
      <c r="T1976" t="s">
        <v>152</v>
      </c>
    </row>
    <row r="1977" spans="1:20" x14ac:dyDescent="0.25">
      <c r="A1977" t="s">
        <v>5324</v>
      </c>
      <c r="B1977" t="str">
        <f>"2896"</f>
        <v>2896</v>
      </c>
      <c r="C1977" t="str">
        <f>"272842896"</f>
        <v>272842896</v>
      </c>
      <c r="D1977" t="s">
        <v>2016</v>
      </c>
      <c r="E1977" t="s">
        <v>1600</v>
      </c>
      <c r="F1977" t="s">
        <v>49</v>
      </c>
      <c r="G1977" s="1">
        <v>30596</v>
      </c>
      <c r="H1977" s="1">
        <v>40784</v>
      </c>
      <c r="I1977" t="str">
        <f t="shared" si="39"/>
        <v>51</v>
      </c>
      <c r="J1977" t="s">
        <v>471</v>
      </c>
      <c r="K1977" t="s">
        <v>25</v>
      </c>
      <c r="L1977" t="s">
        <v>26</v>
      </c>
      <c r="M1977" t="s">
        <v>27</v>
      </c>
      <c r="N1977" s="1">
        <v>18629</v>
      </c>
      <c r="O1977">
        <v>0</v>
      </c>
      <c r="P1977">
        <v>0</v>
      </c>
      <c r="Q1977" t="s">
        <v>37</v>
      </c>
      <c r="R1977" t="s">
        <v>29</v>
      </c>
      <c r="S1977" t="s">
        <v>138</v>
      </c>
      <c r="T1977" t="s">
        <v>139</v>
      </c>
    </row>
    <row r="1978" spans="1:20" x14ac:dyDescent="0.25">
      <c r="A1978" t="s">
        <v>5325</v>
      </c>
      <c r="B1978" t="str">
        <f>"5090"</f>
        <v>5090</v>
      </c>
      <c r="C1978" t="str">
        <f>"302865090"</f>
        <v>302865090</v>
      </c>
      <c r="D1978" t="s">
        <v>5326</v>
      </c>
      <c r="E1978" t="s">
        <v>3646</v>
      </c>
      <c r="F1978" t="s">
        <v>26</v>
      </c>
      <c r="G1978" s="1">
        <v>28552</v>
      </c>
      <c r="H1978" s="1">
        <v>40784</v>
      </c>
      <c r="I1978" t="str">
        <f t="shared" si="39"/>
        <v>51</v>
      </c>
      <c r="J1978" t="s">
        <v>471</v>
      </c>
      <c r="K1978" t="s">
        <v>25</v>
      </c>
      <c r="L1978" t="s">
        <v>26</v>
      </c>
      <c r="M1978" t="s">
        <v>27</v>
      </c>
      <c r="N1978" s="1">
        <v>18629</v>
      </c>
      <c r="O1978">
        <v>0</v>
      </c>
      <c r="P1978">
        <v>0</v>
      </c>
      <c r="Q1978" t="s">
        <v>28</v>
      </c>
      <c r="R1978" t="s">
        <v>71</v>
      </c>
      <c r="S1978" t="s">
        <v>157</v>
      </c>
      <c r="T1978" t="s">
        <v>158</v>
      </c>
    </row>
    <row r="1979" spans="1:20" x14ac:dyDescent="0.25">
      <c r="A1979" t="s">
        <v>5327</v>
      </c>
      <c r="B1979" t="str">
        <f>"8332"</f>
        <v>8332</v>
      </c>
      <c r="C1979" t="str">
        <f>"268788332"</f>
        <v>268788332</v>
      </c>
      <c r="D1979" t="s">
        <v>5328</v>
      </c>
      <c r="E1979" t="s">
        <v>5329</v>
      </c>
      <c r="F1979" t="s">
        <v>44</v>
      </c>
      <c r="G1979" s="1">
        <v>28949</v>
      </c>
      <c r="H1979" s="1">
        <v>40784</v>
      </c>
      <c r="I1979" t="str">
        <f t="shared" si="39"/>
        <v>51</v>
      </c>
      <c r="J1979" t="s">
        <v>471</v>
      </c>
      <c r="K1979" t="s">
        <v>25</v>
      </c>
      <c r="L1979" t="s">
        <v>26</v>
      </c>
      <c r="M1979" t="s">
        <v>27</v>
      </c>
      <c r="N1979" s="1">
        <v>18629</v>
      </c>
      <c r="O1979">
        <v>0</v>
      </c>
      <c r="P1979">
        <v>0</v>
      </c>
      <c r="Q1979" t="s">
        <v>37</v>
      </c>
      <c r="R1979" t="s">
        <v>51</v>
      </c>
      <c r="S1979" s="2" t="s">
        <v>2202</v>
      </c>
      <c r="T1979" t="s">
        <v>2203</v>
      </c>
    </row>
    <row r="1980" spans="1:20" x14ac:dyDescent="0.25">
      <c r="A1980" t="s">
        <v>5330</v>
      </c>
      <c r="B1980" t="str">
        <f>"0965"</f>
        <v>0965</v>
      </c>
      <c r="C1980" t="str">
        <f>"282540965"</f>
        <v>282540965</v>
      </c>
      <c r="D1980" t="s">
        <v>5331</v>
      </c>
      <c r="E1980" t="s">
        <v>2339</v>
      </c>
      <c r="F1980" t="s">
        <v>5332</v>
      </c>
      <c r="G1980" s="1">
        <v>20232</v>
      </c>
      <c r="H1980" s="1">
        <v>40784</v>
      </c>
      <c r="I1980" t="str">
        <f t="shared" si="39"/>
        <v>51</v>
      </c>
      <c r="J1980" t="s">
        <v>471</v>
      </c>
      <c r="K1980" t="s">
        <v>25</v>
      </c>
      <c r="L1980" t="s">
        <v>26</v>
      </c>
      <c r="M1980" t="s">
        <v>27</v>
      </c>
      <c r="N1980" s="1">
        <v>18629</v>
      </c>
      <c r="O1980">
        <v>0</v>
      </c>
      <c r="P1980">
        <v>0</v>
      </c>
      <c r="Q1980" t="s">
        <v>37</v>
      </c>
      <c r="R1980" t="s">
        <v>29</v>
      </c>
      <c r="S1980" t="s">
        <v>138</v>
      </c>
      <c r="T1980" t="s">
        <v>139</v>
      </c>
    </row>
    <row r="1981" spans="1:20" x14ac:dyDescent="0.25">
      <c r="A1981" t="s">
        <v>5333</v>
      </c>
      <c r="B1981" t="str">
        <f>"3198"</f>
        <v>3198</v>
      </c>
      <c r="C1981" t="str">
        <f>"461553198"</f>
        <v>461553198</v>
      </c>
      <c r="D1981" t="s">
        <v>5334</v>
      </c>
      <c r="E1981" t="s">
        <v>1999</v>
      </c>
      <c r="F1981" t="s">
        <v>69</v>
      </c>
      <c r="G1981" s="1">
        <v>26424</v>
      </c>
      <c r="H1981" s="1">
        <v>40784</v>
      </c>
      <c r="I1981" t="str">
        <f t="shared" si="39"/>
        <v>51</v>
      </c>
      <c r="J1981" t="s">
        <v>471</v>
      </c>
      <c r="K1981" t="s">
        <v>25</v>
      </c>
      <c r="L1981" t="s">
        <v>26</v>
      </c>
      <c r="M1981" t="s">
        <v>27</v>
      </c>
      <c r="N1981" s="1">
        <v>18629</v>
      </c>
      <c r="O1981">
        <v>0</v>
      </c>
      <c r="P1981">
        <v>0</v>
      </c>
      <c r="Q1981" t="s">
        <v>28</v>
      </c>
      <c r="R1981" t="s">
        <v>29</v>
      </c>
      <c r="S1981" t="s">
        <v>765</v>
      </c>
      <c r="T1981" t="s">
        <v>766</v>
      </c>
    </row>
    <row r="1982" spans="1:20" x14ac:dyDescent="0.25">
      <c r="A1982" t="s">
        <v>5335</v>
      </c>
      <c r="B1982" t="str">
        <f>"4075"</f>
        <v>4075</v>
      </c>
      <c r="C1982" t="str">
        <f>"286504075"</f>
        <v>286504075</v>
      </c>
      <c r="D1982" t="s">
        <v>5336</v>
      </c>
      <c r="E1982" t="s">
        <v>5337</v>
      </c>
      <c r="G1982" s="1">
        <v>23290</v>
      </c>
      <c r="H1982" s="1">
        <v>40784</v>
      </c>
      <c r="I1982" t="str">
        <f t="shared" si="39"/>
        <v>51</v>
      </c>
      <c r="J1982" t="s">
        <v>471</v>
      </c>
      <c r="K1982" t="s">
        <v>25</v>
      </c>
      <c r="L1982" t="s">
        <v>26</v>
      </c>
      <c r="M1982" t="s">
        <v>27</v>
      </c>
      <c r="N1982" s="1">
        <v>18629</v>
      </c>
      <c r="O1982">
        <v>0</v>
      </c>
      <c r="P1982">
        <v>0</v>
      </c>
      <c r="Q1982" t="s">
        <v>37</v>
      </c>
      <c r="R1982" t="s">
        <v>100</v>
      </c>
      <c r="S1982" t="s">
        <v>138</v>
      </c>
      <c r="T1982" t="s">
        <v>139</v>
      </c>
    </row>
    <row r="1983" spans="1:20" x14ac:dyDescent="0.25">
      <c r="A1983" t="s">
        <v>5338</v>
      </c>
      <c r="B1983" t="str">
        <f>"1906"</f>
        <v>1906</v>
      </c>
      <c r="C1983" t="str">
        <f>"270601906"</f>
        <v>270601906</v>
      </c>
      <c r="D1983" t="s">
        <v>1156</v>
      </c>
      <c r="E1983" t="s">
        <v>5339</v>
      </c>
      <c r="F1983" t="s">
        <v>28</v>
      </c>
      <c r="G1983" s="1">
        <v>20656</v>
      </c>
      <c r="H1983" s="1">
        <v>40784</v>
      </c>
      <c r="I1983" t="str">
        <f t="shared" si="39"/>
        <v>51</v>
      </c>
      <c r="J1983" t="s">
        <v>471</v>
      </c>
      <c r="K1983" t="s">
        <v>25</v>
      </c>
      <c r="L1983" t="s">
        <v>26</v>
      </c>
      <c r="M1983" t="s">
        <v>27</v>
      </c>
      <c r="N1983" s="1">
        <v>18629</v>
      </c>
      <c r="O1983">
        <v>0</v>
      </c>
      <c r="P1983">
        <v>0</v>
      </c>
      <c r="Q1983" t="s">
        <v>37</v>
      </c>
      <c r="R1983" t="s">
        <v>29</v>
      </c>
      <c r="S1983" t="s">
        <v>5340</v>
      </c>
      <c r="T1983" t="s">
        <v>5341</v>
      </c>
    </row>
    <row r="1984" spans="1:20" x14ac:dyDescent="0.25">
      <c r="A1984" t="s">
        <v>5342</v>
      </c>
      <c r="B1984" t="str">
        <f>"1405"</f>
        <v>1405</v>
      </c>
      <c r="C1984" t="str">
        <f>"546631405"</f>
        <v>546631405</v>
      </c>
      <c r="D1984" t="s">
        <v>5343</v>
      </c>
      <c r="E1984" t="s">
        <v>2354</v>
      </c>
      <c r="F1984" t="s">
        <v>239</v>
      </c>
      <c r="G1984" s="1">
        <v>27967</v>
      </c>
      <c r="H1984" s="1">
        <v>40784</v>
      </c>
      <c r="I1984" t="str">
        <f t="shared" si="39"/>
        <v>51</v>
      </c>
      <c r="J1984" t="s">
        <v>471</v>
      </c>
      <c r="K1984" t="s">
        <v>25</v>
      </c>
      <c r="L1984" t="s">
        <v>26</v>
      </c>
      <c r="M1984" t="s">
        <v>27</v>
      </c>
      <c r="N1984" s="1">
        <v>18629</v>
      </c>
      <c r="O1984">
        <v>0</v>
      </c>
      <c r="P1984">
        <v>0</v>
      </c>
      <c r="Q1984" t="s">
        <v>37</v>
      </c>
      <c r="R1984" t="s">
        <v>100</v>
      </c>
      <c r="S1984" t="s">
        <v>180</v>
      </c>
      <c r="T1984" t="s">
        <v>181</v>
      </c>
    </row>
    <row r="1985" spans="1:20" x14ac:dyDescent="0.25">
      <c r="A1985" t="s">
        <v>5344</v>
      </c>
      <c r="B1985" t="str">
        <f>"5682"</f>
        <v>5682</v>
      </c>
      <c r="C1985" t="str">
        <f>"273765682"</f>
        <v>273765682</v>
      </c>
      <c r="D1985" t="s">
        <v>5345</v>
      </c>
      <c r="E1985" t="s">
        <v>1468</v>
      </c>
      <c r="G1985" s="1">
        <v>29279</v>
      </c>
      <c r="H1985" s="1">
        <v>40784</v>
      </c>
      <c r="I1985" t="str">
        <f>"50"</f>
        <v>50</v>
      </c>
      <c r="J1985" t="s">
        <v>208</v>
      </c>
      <c r="K1985" t="s">
        <v>25</v>
      </c>
      <c r="L1985" t="s">
        <v>26</v>
      </c>
      <c r="M1985" t="s">
        <v>27</v>
      </c>
      <c r="N1985" s="1">
        <v>18629</v>
      </c>
      <c r="O1985">
        <v>0</v>
      </c>
      <c r="P1985">
        <v>0</v>
      </c>
      <c r="Q1985" t="s">
        <v>37</v>
      </c>
      <c r="R1985" t="s">
        <v>71</v>
      </c>
      <c r="S1985" t="s">
        <v>1547</v>
      </c>
      <c r="T1985" t="s">
        <v>1548</v>
      </c>
    </row>
    <row r="1986" spans="1:20" x14ac:dyDescent="0.25">
      <c r="A1986" t="s">
        <v>5346</v>
      </c>
      <c r="B1986" t="str">
        <f>"6597"</f>
        <v>6597</v>
      </c>
      <c r="C1986" t="str">
        <f>"292446597"</f>
        <v>292446597</v>
      </c>
      <c r="D1986" t="s">
        <v>5347</v>
      </c>
      <c r="E1986" t="s">
        <v>434</v>
      </c>
      <c r="F1986" t="s">
        <v>264</v>
      </c>
      <c r="G1986" s="1">
        <v>19364</v>
      </c>
      <c r="H1986" s="1">
        <v>40784</v>
      </c>
      <c r="I1986" t="str">
        <f t="shared" ref="I1986:I1993" si="40">"51"</f>
        <v>51</v>
      </c>
      <c r="J1986" t="s">
        <v>471</v>
      </c>
      <c r="K1986" t="s">
        <v>25</v>
      </c>
      <c r="L1986" t="s">
        <v>26</v>
      </c>
      <c r="M1986" t="s">
        <v>27</v>
      </c>
      <c r="N1986" s="1">
        <v>18629</v>
      </c>
      <c r="O1986">
        <v>0</v>
      </c>
      <c r="P1986">
        <v>0</v>
      </c>
      <c r="Q1986" t="s">
        <v>28</v>
      </c>
      <c r="R1986" t="s">
        <v>71</v>
      </c>
      <c r="S1986" t="s">
        <v>157</v>
      </c>
      <c r="T1986" t="s">
        <v>158</v>
      </c>
    </row>
    <row r="1987" spans="1:20" x14ac:dyDescent="0.25">
      <c r="A1987" t="s">
        <v>5348</v>
      </c>
      <c r="B1987" t="str">
        <f>"1791"</f>
        <v>1791</v>
      </c>
      <c r="C1987" t="str">
        <f>"288901791"</f>
        <v>288901791</v>
      </c>
      <c r="D1987" t="s">
        <v>5349</v>
      </c>
      <c r="E1987" t="s">
        <v>5350</v>
      </c>
      <c r="F1987" t="s">
        <v>2075</v>
      </c>
      <c r="G1987" s="1">
        <v>23286</v>
      </c>
      <c r="H1987" s="1">
        <v>40784</v>
      </c>
      <c r="I1987" t="str">
        <f t="shared" si="40"/>
        <v>51</v>
      </c>
      <c r="J1987" t="s">
        <v>471</v>
      </c>
      <c r="K1987" t="s">
        <v>25</v>
      </c>
      <c r="L1987" t="s">
        <v>26</v>
      </c>
      <c r="M1987" t="s">
        <v>27</v>
      </c>
      <c r="N1987" s="1">
        <v>18629</v>
      </c>
      <c r="O1987">
        <v>0</v>
      </c>
      <c r="P1987">
        <v>0</v>
      </c>
      <c r="Q1987" t="s">
        <v>28</v>
      </c>
      <c r="R1987" t="s">
        <v>51</v>
      </c>
      <c r="S1987" s="2" t="s">
        <v>2202</v>
      </c>
      <c r="T1987" t="s">
        <v>2203</v>
      </c>
    </row>
    <row r="1988" spans="1:20" x14ac:dyDescent="0.25">
      <c r="A1988" t="s">
        <v>5351</v>
      </c>
      <c r="B1988" t="str">
        <f>"9504"</f>
        <v>9504</v>
      </c>
      <c r="C1988" t="str">
        <f>"292869504"</f>
        <v>292869504</v>
      </c>
      <c r="D1988" t="s">
        <v>5352</v>
      </c>
      <c r="E1988" t="s">
        <v>1883</v>
      </c>
      <c r="F1988" t="s">
        <v>264</v>
      </c>
      <c r="G1988" s="1">
        <v>31654</v>
      </c>
      <c r="H1988" s="1">
        <v>40784</v>
      </c>
      <c r="I1988" t="str">
        <f t="shared" si="40"/>
        <v>51</v>
      </c>
      <c r="J1988" t="s">
        <v>471</v>
      </c>
      <c r="K1988" t="s">
        <v>25</v>
      </c>
      <c r="L1988" t="s">
        <v>26</v>
      </c>
      <c r="M1988" t="s">
        <v>27</v>
      </c>
      <c r="N1988" s="1">
        <v>18629</v>
      </c>
      <c r="O1988">
        <v>0</v>
      </c>
      <c r="P1988">
        <v>0</v>
      </c>
      <c r="Q1988" t="s">
        <v>37</v>
      </c>
      <c r="R1988" t="s">
        <v>71</v>
      </c>
      <c r="S1988" t="s">
        <v>2458</v>
      </c>
      <c r="T1988" t="s">
        <v>2459</v>
      </c>
    </row>
    <row r="1989" spans="1:20" x14ac:dyDescent="0.25">
      <c r="A1989" t="s">
        <v>5353</v>
      </c>
      <c r="B1989" t="str">
        <f>"5346"</f>
        <v>5346</v>
      </c>
      <c r="C1989" t="str">
        <f>"302135346"</f>
        <v>302135346</v>
      </c>
      <c r="D1989" t="s">
        <v>5354</v>
      </c>
      <c r="E1989" t="s">
        <v>5355</v>
      </c>
      <c r="G1989" s="1">
        <v>28451</v>
      </c>
      <c r="H1989" s="1">
        <v>40784</v>
      </c>
      <c r="I1989" t="str">
        <f t="shared" si="40"/>
        <v>51</v>
      </c>
      <c r="J1989" t="s">
        <v>471</v>
      </c>
      <c r="K1989" t="s">
        <v>25</v>
      </c>
      <c r="L1989" t="s">
        <v>26</v>
      </c>
      <c r="M1989" t="s">
        <v>27</v>
      </c>
      <c r="N1989" s="1">
        <v>18629</v>
      </c>
      <c r="O1989">
        <v>0</v>
      </c>
      <c r="P1989">
        <v>0</v>
      </c>
      <c r="Q1989" t="s">
        <v>37</v>
      </c>
      <c r="R1989" t="s">
        <v>29</v>
      </c>
      <c r="S1989" t="s">
        <v>1555</v>
      </c>
      <c r="T1989" t="s">
        <v>1556</v>
      </c>
    </row>
    <row r="1990" spans="1:20" x14ac:dyDescent="0.25">
      <c r="A1990" t="s">
        <v>5356</v>
      </c>
      <c r="B1990" t="str">
        <f>"8322"</f>
        <v>8322</v>
      </c>
      <c r="C1990" t="str">
        <f>"288828322"</f>
        <v>288828322</v>
      </c>
      <c r="D1990" t="s">
        <v>5357</v>
      </c>
      <c r="E1990" t="s">
        <v>619</v>
      </c>
      <c r="F1990" t="s">
        <v>69</v>
      </c>
      <c r="G1990" s="1">
        <v>28864</v>
      </c>
      <c r="H1990" s="1">
        <v>40784</v>
      </c>
      <c r="I1990" t="str">
        <f t="shared" si="40"/>
        <v>51</v>
      </c>
      <c r="J1990" t="s">
        <v>471</v>
      </c>
      <c r="K1990" t="s">
        <v>25</v>
      </c>
      <c r="L1990" t="s">
        <v>26</v>
      </c>
      <c r="M1990" t="s">
        <v>27</v>
      </c>
      <c r="N1990" s="1">
        <v>18629</v>
      </c>
      <c r="O1990">
        <v>0</v>
      </c>
      <c r="P1990">
        <v>0</v>
      </c>
      <c r="Q1990" t="s">
        <v>37</v>
      </c>
      <c r="R1990" t="s">
        <v>29</v>
      </c>
      <c r="S1990" t="s">
        <v>138</v>
      </c>
      <c r="T1990" t="s">
        <v>139</v>
      </c>
    </row>
    <row r="1991" spans="1:20" x14ac:dyDescent="0.25">
      <c r="A1991" t="s">
        <v>5358</v>
      </c>
      <c r="B1991" t="str">
        <f>"2987"</f>
        <v>2987</v>
      </c>
      <c r="C1991" t="str">
        <f>"256212987"</f>
        <v>256212987</v>
      </c>
      <c r="D1991" t="s">
        <v>5359</v>
      </c>
      <c r="E1991" t="s">
        <v>5360</v>
      </c>
      <c r="F1991" t="s">
        <v>44</v>
      </c>
      <c r="G1991" s="1">
        <v>25738</v>
      </c>
      <c r="H1991" s="1">
        <v>40784</v>
      </c>
      <c r="I1991" t="str">
        <f t="shared" si="40"/>
        <v>51</v>
      </c>
      <c r="J1991" t="s">
        <v>471</v>
      </c>
      <c r="K1991" t="s">
        <v>25</v>
      </c>
      <c r="L1991" t="s">
        <v>26</v>
      </c>
      <c r="M1991" t="s">
        <v>27</v>
      </c>
      <c r="N1991" s="1">
        <v>18629</v>
      </c>
      <c r="O1991">
        <v>0</v>
      </c>
      <c r="P1991">
        <v>0</v>
      </c>
      <c r="Q1991" t="s">
        <v>37</v>
      </c>
      <c r="R1991" t="s">
        <v>71</v>
      </c>
      <c r="S1991" t="s">
        <v>790</v>
      </c>
      <c r="T1991" t="s">
        <v>791</v>
      </c>
    </row>
    <row r="1992" spans="1:20" x14ac:dyDescent="0.25">
      <c r="A1992" t="s">
        <v>5361</v>
      </c>
      <c r="B1992" t="str">
        <f>"9337"</f>
        <v>9337</v>
      </c>
      <c r="C1992" t="str">
        <f>"301869337"</f>
        <v>301869337</v>
      </c>
      <c r="D1992" t="s">
        <v>5362</v>
      </c>
      <c r="E1992" t="s">
        <v>1172</v>
      </c>
      <c r="F1992" t="s">
        <v>264</v>
      </c>
      <c r="G1992" s="1">
        <v>27854</v>
      </c>
      <c r="H1992" s="1">
        <v>40784</v>
      </c>
      <c r="I1992" t="str">
        <f t="shared" si="40"/>
        <v>51</v>
      </c>
      <c r="J1992" t="s">
        <v>471</v>
      </c>
      <c r="K1992" t="s">
        <v>25</v>
      </c>
      <c r="L1992" t="s">
        <v>26</v>
      </c>
      <c r="M1992" t="s">
        <v>27</v>
      </c>
      <c r="N1992" s="1">
        <v>18629</v>
      </c>
      <c r="O1992">
        <v>0</v>
      </c>
      <c r="P1992">
        <v>0</v>
      </c>
      <c r="Q1992" t="s">
        <v>28</v>
      </c>
      <c r="R1992" t="s">
        <v>71</v>
      </c>
      <c r="S1992" t="s">
        <v>1474</v>
      </c>
      <c r="T1992" t="s">
        <v>1475</v>
      </c>
    </row>
    <row r="1993" spans="1:20" x14ac:dyDescent="0.25">
      <c r="A1993" t="s">
        <v>5363</v>
      </c>
      <c r="B1993" t="str">
        <f>"5828"</f>
        <v>5828</v>
      </c>
      <c r="C1993" t="str">
        <f>"277785828"</f>
        <v>277785828</v>
      </c>
      <c r="D1993" t="s">
        <v>2389</v>
      </c>
      <c r="E1993" t="s">
        <v>430</v>
      </c>
      <c r="F1993" t="s">
        <v>28</v>
      </c>
      <c r="G1993" s="1">
        <v>24338</v>
      </c>
      <c r="H1993" s="1">
        <v>40784</v>
      </c>
      <c r="I1993" t="str">
        <f t="shared" si="40"/>
        <v>51</v>
      </c>
      <c r="J1993" t="s">
        <v>471</v>
      </c>
      <c r="K1993" t="s">
        <v>25</v>
      </c>
      <c r="L1993" t="s">
        <v>26</v>
      </c>
      <c r="M1993" t="s">
        <v>27</v>
      </c>
      <c r="N1993" s="1">
        <v>18629</v>
      </c>
      <c r="O1993">
        <v>0</v>
      </c>
      <c r="P1993">
        <v>0</v>
      </c>
      <c r="Q1993" t="s">
        <v>28</v>
      </c>
      <c r="R1993" t="s">
        <v>29</v>
      </c>
      <c r="S1993" t="s">
        <v>138</v>
      </c>
      <c r="T1993" t="s">
        <v>139</v>
      </c>
    </row>
    <row r="1994" spans="1:20" x14ac:dyDescent="0.25">
      <c r="A1994" t="s">
        <v>5364</v>
      </c>
      <c r="B1994" t="str">
        <f>"7159"</f>
        <v>7159</v>
      </c>
      <c r="C1994" t="str">
        <f>"281727159"</f>
        <v>281727159</v>
      </c>
      <c r="D1994" t="s">
        <v>5365</v>
      </c>
      <c r="E1994" t="s">
        <v>109</v>
      </c>
      <c r="F1994" t="s">
        <v>97</v>
      </c>
      <c r="G1994" s="1">
        <v>24828</v>
      </c>
      <c r="H1994" s="1">
        <v>40784</v>
      </c>
      <c r="I1994" t="str">
        <f>"33"</f>
        <v>33</v>
      </c>
      <c r="J1994" t="s">
        <v>45</v>
      </c>
      <c r="K1994" t="s">
        <v>25</v>
      </c>
      <c r="L1994" t="s">
        <v>26</v>
      </c>
      <c r="M1994" t="s">
        <v>27</v>
      </c>
      <c r="N1994" s="1">
        <v>18629</v>
      </c>
      <c r="O1994">
        <v>0</v>
      </c>
      <c r="P1994">
        <v>0</v>
      </c>
      <c r="Q1994" t="s">
        <v>37</v>
      </c>
      <c r="R1994" t="s">
        <v>29</v>
      </c>
      <c r="S1994" t="s">
        <v>5366</v>
      </c>
      <c r="T1994" t="s">
        <v>5367</v>
      </c>
    </row>
    <row r="1995" spans="1:20" x14ac:dyDescent="0.25">
      <c r="A1995" t="s">
        <v>5368</v>
      </c>
      <c r="B1995" t="str">
        <f>"2905"</f>
        <v>2905</v>
      </c>
      <c r="C1995" t="str">
        <f>"286702905"</f>
        <v>286702905</v>
      </c>
      <c r="D1995" t="s">
        <v>5369</v>
      </c>
      <c r="E1995" t="s">
        <v>5303</v>
      </c>
      <c r="G1995" s="1">
        <v>22697</v>
      </c>
      <c r="H1995" s="1">
        <v>40784</v>
      </c>
      <c r="I1995" t="str">
        <f t="shared" ref="I1995:I2009" si="41">"51"</f>
        <v>51</v>
      </c>
      <c r="J1995" t="s">
        <v>471</v>
      </c>
      <c r="K1995" t="s">
        <v>25</v>
      </c>
      <c r="L1995" t="s">
        <v>26</v>
      </c>
      <c r="M1995" t="s">
        <v>27</v>
      </c>
      <c r="N1995" s="1">
        <v>18629</v>
      </c>
      <c r="O1995">
        <v>0</v>
      </c>
      <c r="P1995">
        <v>0</v>
      </c>
      <c r="Q1995" t="s">
        <v>37</v>
      </c>
      <c r="R1995" t="s">
        <v>29</v>
      </c>
      <c r="S1995" t="s">
        <v>138</v>
      </c>
      <c r="T1995" t="s">
        <v>139</v>
      </c>
    </row>
    <row r="1996" spans="1:20" x14ac:dyDescent="0.25">
      <c r="A1996" t="s">
        <v>5370</v>
      </c>
      <c r="B1996" t="str">
        <f>"5176"</f>
        <v>5176</v>
      </c>
      <c r="C1996" t="str">
        <f>"283885176"</f>
        <v>283885176</v>
      </c>
      <c r="D1996" t="s">
        <v>5371</v>
      </c>
      <c r="E1996" t="s">
        <v>5372</v>
      </c>
      <c r="F1996" t="s">
        <v>28</v>
      </c>
      <c r="G1996" s="1">
        <v>27382</v>
      </c>
      <c r="H1996" s="1">
        <v>40784</v>
      </c>
      <c r="I1996" t="str">
        <f t="shared" si="41"/>
        <v>51</v>
      </c>
      <c r="J1996" t="s">
        <v>471</v>
      </c>
      <c r="K1996" t="s">
        <v>25</v>
      </c>
      <c r="L1996" t="s">
        <v>26</v>
      </c>
      <c r="M1996" t="s">
        <v>27</v>
      </c>
      <c r="N1996" s="1">
        <v>18629</v>
      </c>
      <c r="O1996">
        <v>0</v>
      </c>
      <c r="P1996">
        <v>0</v>
      </c>
      <c r="Q1996" t="s">
        <v>37</v>
      </c>
      <c r="R1996" t="s">
        <v>71</v>
      </c>
      <c r="S1996" t="s">
        <v>2406</v>
      </c>
      <c r="T1996" t="s">
        <v>2407</v>
      </c>
    </row>
    <row r="1997" spans="1:20" x14ac:dyDescent="0.25">
      <c r="A1997" t="s">
        <v>5373</v>
      </c>
      <c r="B1997" t="str">
        <f>"4542"</f>
        <v>4542</v>
      </c>
      <c r="C1997" t="str">
        <f>"269584542"</f>
        <v>269584542</v>
      </c>
      <c r="D1997" t="s">
        <v>5374</v>
      </c>
      <c r="E1997" t="s">
        <v>1994</v>
      </c>
      <c r="F1997" t="s">
        <v>49</v>
      </c>
      <c r="G1997" s="1">
        <v>22140</v>
      </c>
      <c r="H1997" s="1">
        <v>40784</v>
      </c>
      <c r="I1997" t="str">
        <f t="shared" si="41"/>
        <v>51</v>
      </c>
      <c r="J1997" t="s">
        <v>471</v>
      </c>
      <c r="K1997" t="s">
        <v>25</v>
      </c>
      <c r="L1997" t="s">
        <v>26</v>
      </c>
      <c r="M1997" t="s">
        <v>27</v>
      </c>
      <c r="N1997" s="1">
        <v>18629</v>
      </c>
      <c r="O1997">
        <v>0</v>
      </c>
      <c r="P1997">
        <v>0</v>
      </c>
      <c r="Q1997" t="s">
        <v>37</v>
      </c>
      <c r="R1997" t="s">
        <v>29</v>
      </c>
      <c r="S1997" t="s">
        <v>717</v>
      </c>
      <c r="T1997" t="s">
        <v>718</v>
      </c>
    </row>
    <row r="1998" spans="1:20" x14ac:dyDescent="0.25">
      <c r="A1998" t="s">
        <v>5375</v>
      </c>
      <c r="B1998" t="str">
        <f>"1196"</f>
        <v>1196</v>
      </c>
      <c r="C1998" t="str">
        <f>"288461196"</f>
        <v>288461196</v>
      </c>
      <c r="D1998" t="s">
        <v>5376</v>
      </c>
      <c r="E1998" t="s">
        <v>1639</v>
      </c>
      <c r="F1998" t="s">
        <v>44</v>
      </c>
      <c r="G1998" s="1">
        <v>17968</v>
      </c>
      <c r="H1998" s="1">
        <v>40784</v>
      </c>
      <c r="I1998" t="str">
        <f t="shared" si="41"/>
        <v>51</v>
      </c>
      <c r="J1998" t="s">
        <v>471</v>
      </c>
      <c r="K1998" t="s">
        <v>25</v>
      </c>
      <c r="L1998" t="s">
        <v>26</v>
      </c>
      <c r="M1998" t="s">
        <v>27</v>
      </c>
      <c r="N1998" s="1">
        <v>18629</v>
      </c>
      <c r="O1998">
        <v>0</v>
      </c>
      <c r="P1998">
        <v>0</v>
      </c>
      <c r="Q1998" t="s">
        <v>28</v>
      </c>
      <c r="R1998" t="s">
        <v>71</v>
      </c>
      <c r="S1998" t="s">
        <v>2458</v>
      </c>
      <c r="T1998" t="s">
        <v>2459</v>
      </c>
    </row>
    <row r="1999" spans="1:20" x14ac:dyDescent="0.25">
      <c r="A1999" t="s">
        <v>5377</v>
      </c>
      <c r="B1999" t="str">
        <f>"8508"</f>
        <v>8508</v>
      </c>
      <c r="C1999" t="str">
        <f>"245498508"</f>
        <v>245498508</v>
      </c>
      <c r="D1999" t="s">
        <v>5378</v>
      </c>
      <c r="E1999" t="s">
        <v>704</v>
      </c>
      <c r="G1999" s="1">
        <v>25920</v>
      </c>
      <c r="H1999" s="1">
        <v>40784</v>
      </c>
      <c r="I1999" t="str">
        <f t="shared" si="41"/>
        <v>51</v>
      </c>
      <c r="J1999" t="s">
        <v>471</v>
      </c>
      <c r="K1999" t="s">
        <v>25</v>
      </c>
      <c r="L1999" t="s">
        <v>26</v>
      </c>
      <c r="M1999" t="s">
        <v>27</v>
      </c>
      <c r="N1999" s="1">
        <v>18629</v>
      </c>
      <c r="O1999">
        <v>0</v>
      </c>
      <c r="P1999">
        <v>0</v>
      </c>
      <c r="Q1999" t="s">
        <v>28</v>
      </c>
      <c r="R1999" t="s">
        <v>71</v>
      </c>
      <c r="S1999" t="s">
        <v>790</v>
      </c>
      <c r="T1999" t="s">
        <v>791</v>
      </c>
    </row>
    <row r="2000" spans="1:20" x14ac:dyDescent="0.25">
      <c r="A2000" t="s">
        <v>5379</v>
      </c>
      <c r="B2000" t="str">
        <f>"5400"</f>
        <v>5400</v>
      </c>
      <c r="C2000" t="str">
        <f>"220085400"</f>
        <v>220085400</v>
      </c>
      <c r="D2000" t="s">
        <v>5380</v>
      </c>
      <c r="E2000" t="s">
        <v>5381</v>
      </c>
      <c r="F2000" t="s">
        <v>97</v>
      </c>
      <c r="G2000" s="1">
        <v>19026</v>
      </c>
      <c r="H2000" s="1">
        <v>40784</v>
      </c>
      <c r="I2000" t="str">
        <f t="shared" si="41"/>
        <v>51</v>
      </c>
      <c r="J2000" t="s">
        <v>471</v>
      </c>
      <c r="K2000" t="s">
        <v>25</v>
      </c>
      <c r="L2000" t="s">
        <v>26</v>
      </c>
      <c r="M2000" t="s">
        <v>27</v>
      </c>
      <c r="N2000" s="1">
        <v>18629</v>
      </c>
      <c r="O2000">
        <v>0</v>
      </c>
      <c r="P2000">
        <v>0</v>
      </c>
      <c r="Q2000" t="s">
        <v>28</v>
      </c>
      <c r="R2000" t="s">
        <v>71</v>
      </c>
      <c r="S2000" t="s">
        <v>790</v>
      </c>
      <c r="T2000" t="s">
        <v>791</v>
      </c>
    </row>
    <row r="2001" spans="1:20" x14ac:dyDescent="0.25">
      <c r="A2001" t="s">
        <v>5382</v>
      </c>
      <c r="B2001" t="str">
        <f>"5669"</f>
        <v>5669</v>
      </c>
      <c r="C2001" t="str">
        <f>"384085669"</f>
        <v>384085669</v>
      </c>
      <c r="D2001" t="s">
        <v>1911</v>
      </c>
      <c r="E2001" t="s">
        <v>721</v>
      </c>
      <c r="F2001" t="s">
        <v>430</v>
      </c>
      <c r="G2001" s="1">
        <v>30948</v>
      </c>
      <c r="H2001" s="1">
        <v>40784</v>
      </c>
      <c r="I2001" t="str">
        <f t="shared" si="41"/>
        <v>51</v>
      </c>
      <c r="J2001" t="s">
        <v>471</v>
      </c>
      <c r="K2001" t="s">
        <v>25</v>
      </c>
      <c r="L2001" t="s">
        <v>26</v>
      </c>
      <c r="M2001" t="s">
        <v>27</v>
      </c>
      <c r="N2001" s="1">
        <v>18629</v>
      </c>
      <c r="O2001">
        <v>0</v>
      </c>
      <c r="P2001">
        <v>0</v>
      </c>
      <c r="Q2001" t="s">
        <v>28</v>
      </c>
      <c r="R2001" t="s">
        <v>29</v>
      </c>
      <c r="S2001" t="s">
        <v>1572</v>
      </c>
      <c r="T2001" t="s">
        <v>1573</v>
      </c>
    </row>
    <row r="2002" spans="1:20" x14ac:dyDescent="0.25">
      <c r="A2002" t="s">
        <v>5383</v>
      </c>
      <c r="B2002" t="str">
        <f>"1104"</f>
        <v>1104</v>
      </c>
      <c r="C2002" t="str">
        <f>"269761104"</f>
        <v>269761104</v>
      </c>
      <c r="D2002" t="s">
        <v>5384</v>
      </c>
      <c r="E2002" t="s">
        <v>649</v>
      </c>
      <c r="F2002" t="s">
        <v>28</v>
      </c>
      <c r="G2002" s="1">
        <v>25791</v>
      </c>
      <c r="H2002" s="1">
        <v>40784</v>
      </c>
      <c r="I2002" t="str">
        <f t="shared" si="41"/>
        <v>51</v>
      </c>
      <c r="J2002" t="s">
        <v>471</v>
      </c>
      <c r="K2002" t="s">
        <v>25</v>
      </c>
      <c r="L2002" t="s">
        <v>26</v>
      </c>
      <c r="M2002" t="s">
        <v>27</v>
      </c>
      <c r="N2002" s="1">
        <v>18629</v>
      </c>
      <c r="O2002">
        <v>0</v>
      </c>
      <c r="P2002">
        <v>0</v>
      </c>
      <c r="Q2002" t="s">
        <v>28</v>
      </c>
      <c r="R2002" t="s">
        <v>29</v>
      </c>
      <c r="S2002" t="s">
        <v>717</v>
      </c>
      <c r="T2002" t="s">
        <v>718</v>
      </c>
    </row>
    <row r="2003" spans="1:20" x14ac:dyDescent="0.25">
      <c r="A2003" t="s">
        <v>5385</v>
      </c>
      <c r="B2003" t="str">
        <f>"7731"</f>
        <v>7731</v>
      </c>
      <c r="C2003" t="str">
        <f>"302087731"</f>
        <v>302087731</v>
      </c>
      <c r="D2003" t="s">
        <v>5386</v>
      </c>
      <c r="E2003" t="s">
        <v>5387</v>
      </c>
      <c r="G2003" s="1">
        <v>26302</v>
      </c>
      <c r="H2003" s="1">
        <v>40784</v>
      </c>
      <c r="I2003" t="str">
        <f t="shared" si="41"/>
        <v>51</v>
      </c>
      <c r="J2003" t="s">
        <v>471</v>
      </c>
      <c r="K2003" t="s">
        <v>25</v>
      </c>
      <c r="L2003" t="s">
        <v>26</v>
      </c>
      <c r="M2003" t="s">
        <v>27</v>
      </c>
      <c r="N2003" s="1">
        <v>18629</v>
      </c>
      <c r="O2003">
        <v>0</v>
      </c>
      <c r="P2003">
        <v>0</v>
      </c>
      <c r="Q2003" t="s">
        <v>37</v>
      </c>
      <c r="R2003" t="s">
        <v>71</v>
      </c>
      <c r="S2003" t="s">
        <v>3191</v>
      </c>
      <c r="T2003" t="s">
        <v>3192</v>
      </c>
    </row>
    <row r="2004" spans="1:20" x14ac:dyDescent="0.25">
      <c r="A2004" t="s">
        <v>5388</v>
      </c>
      <c r="B2004" t="str">
        <f>"2992"</f>
        <v>2992</v>
      </c>
      <c r="C2004" t="str">
        <f>"273482992"</f>
        <v>273482992</v>
      </c>
      <c r="D2004" t="s">
        <v>5258</v>
      </c>
      <c r="E2004" t="s">
        <v>3802</v>
      </c>
      <c r="F2004" t="s">
        <v>97</v>
      </c>
      <c r="G2004" s="1">
        <v>20578</v>
      </c>
      <c r="H2004" s="1">
        <v>40784</v>
      </c>
      <c r="I2004" t="str">
        <f t="shared" si="41"/>
        <v>51</v>
      </c>
      <c r="J2004" t="s">
        <v>471</v>
      </c>
      <c r="K2004" t="s">
        <v>25</v>
      </c>
      <c r="L2004" t="s">
        <v>26</v>
      </c>
      <c r="M2004" t="s">
        <v>27</v>
      </c>
      <c r="N2004" s="1">
        <v>18629</v>
      </c>
      <c r="O2004">
        <v>0</v>
      </c>
      <c r="P2004">
        <v>0</v>
      </c>
      <c r="Q2004" t="s">
        <v>28</v>
      </c>
      <c r="R2004" t="s">
        <v>29</v>
      </c>
      <c r="S2004" t="s">
        <v>151</v>
      </c>
      <c r="T2004" t="s">
        <v>152</v>
      </c>
    </row>
    <row r="2005" spans="1:20" x14ac:dyDescent="0.25">
      <c r="A2005" t="s">
        <v>5389</v>
      </c>
      <c r="B2005" t="str">
        <f>"2331"</f>
        <v>2331</v>
      </c>
      <c r="C2005" t="str">
        <f>"289742331"</f>
        <v>289742331</v>
      </c>
      <c r="D2005" t="s">
        <v>5390</v>
      </c>
      <c r="E2005" t="s">
        <v>308</v>
      </c>
      <c r="F2005" t="s">
        <v>358</v>
      </c>
      <c r="G2005" s="1">
        <v>23184</v>
      </c>
      <c r="H2005" s="1">
        <v>40784</v>
      </c>
      <c r="I2005" t="str">
        <f t="shared" si="41"/>
        <v>51</v>
      </c>
      <c r="J2005" t="s">
        <v>471</v>
      </c>
      <c r="K2005" t="s">
        <v>25</v>
      </c>
      <c r="L2005" t="s">
        <v>26</v>
      </c>
      <c r="M2005" t="s">
        <v>27</v>
      </c>
      <c r="N2005" s="1">
        <v>18629</v>
      </c>
      <c r="O2005">
        <v>0</v>
      </c>
      <c r="P2005">
        <v>0</v>
      </c>
      <c r="Q2005" t="s">
        <v>37</v>
      </c>
      <c r="R2005" t="s">
        <v>71</v>
      </c>
      <c r="S2005" t="s">
        <v>157</v>
      </c>
      <c r="T2005" t="s">
        <v>158</v>
      </c>
    </row>
    <row r="2006" spans="1:20" x14ac:dyDescent="0.25">
      <c r="A2006" t="s">
        <v>5391</v>
      </c>
      <c r="B2006" t="str">
        <f>"9138"</f>
        <v>9138</v>
      </c>
      <c r="C2006" t="str">
        <f>"271809138"</f>
        <v>271809138</v>
      </c>
      <c r="D2006" t="s">
        <v>5392</v>
      </c>
      <c r="E2006" t="s">
        <v>106</v>
      </c>
      <c r="F2006" t="s">
        <v>26</v>
      </c>
      <c r="G2006" s="1">
        <v>30097</v>
      </c>
      <c r="H2006" s="1">
        <v>40784</v>
      </c>
      <c r="I2006" t="str">
        <f t="shared" si="41"/>
        <v>51</v>
      </c>
      <c r="J2006" t="s">
        <v>471</v>
      </c>
      <c r="K2006" t="s">
        <v>25</v>
      </c>
      <c r="L2006" t="s">
        <v>26</v>
      </c>
      <c r="M2006" t="s">
        <v>27</v>
      </c>
      <c r="N2006" s="1">
        <v>18629</v>
      </c>
      <c r="O2006">
        <v>0</v>
      </c>
      <c r="P2006">
        <v>0</v>
      </c>
      <c r="Q2006" t="s">
        <v>28</v>
      </c>
      <c r="R2006" t="s">
        <v>29</v>
      </c>
      <c r="S2006" t="s">
        <v>1572</v>
      </c>
      <c r="T2006" t="s">
        <v>1573</v>
      </c>
    </row>
    <row r="2007" spans="1:20" x14ac:dyDescent="0.25">
      <c r="A2007" t="s">
        <v>5393</v>
      </c>
      <c r="B2007" t="str">
        <f>"3662"</f>
        <v>3662</v>
      </c>
      <c r="C2007" t="str">
        <f>"273963662"</f>
        <v>273963662</v>
      </c>
      <c r="D2007" t="s">
        <v>5394</v>
      </c>
      <c r="E2007" t="s">
        <v>1666</v>
      </c>
      <c r="F2007" t="s">
        <v>93</v>
      </c>
      <c r="G2007" s="1">
        <v>32275</v>
      </c>
      <c r="H2007" s="1">
        <v>40784</v>
      </c>
      <c r="I2007" t="str">
        <f t="shared" si="41"/>
        <v>51</v>
      </c>
      <c r="J2007" t="s">
        <v>471</v>
      </c>
      <c r="K2007" t="s">
        <v>25</v>
      </c>
      <c r="L2007" t="s">
        <v>26</v>
      </c>
      <c r="M2007" t="s">
        <v>27</v>
      </c>
      <c r="N2007" s="1">
        <v>18629</v>
      </c>
      <c r="O2007">
        <v>0</v>
      </c>
      <c r="P2007">
        <v>0</v>
      </c>
      <c r="Q2007" t="s">
        <v>37</v>
      </c>
      <c r="R2007" t="s">
        <v>29</v>
      </c>
      <c r="S2007" s="2" t="s">
        <v>2524</v>
      </c>
      <c r="T2007" t="s">
        <v>2525</v>
      </c>
    </row>
    <row r="2008" spans="1:20" x14ac:dyDescent="0.25">
      <c r="A2008" t="s">
        <v>5395</v>
      </c>
      <c r="B2008" t="str">
        <f>"8107"</f>
        <v>8107</v>
      </c>
      <c r="C2008" t="str">
        <f>"284138107"</f>
        <v>284138107</v>
      </c>
      <c r="D2008" t="s">
        <v>5396</v>
      </c>
      <c r="E2008" t="s">
        <v>5397</v>
      </c>
      <c r="G2008" s="1">
        <v>30580</v>
      </c>
      <c r="H2008" s="1">
        <v>40784</v>
      </c>
      <c r="I2008" t="str">
        <f t="shared" si="41"/>
        <v>51</v>
      </c>
      <c r="J2008" t="s">
        <v>471</v>
      </c>
      <c r="K2008" t="s">
        <v>25</v>
      </c>
      <c r="L2008" t="s">
        <v>26</v>
      </c>
      <c r="M2008" t="s">
        <v>27</v>
      </c>
      <c r="N2008" s="1">
        <v>18629</v>
      </c>
      <c r="O2008">
        <v>0</v>
      </c>
      <c r="P2008">
        <v>0</v>
      </c>
      <c r="Q2008" t="s">
        <v>37</v>
      </c>
      <c r="R2008" t="s">
        <v>51</v>
      </c>
      <c r="S2008" s="2" t="s">
        <v>2393</v>
      </c>
      <c r="T2008" t="s">
        <v>2394</v>
      </c>
    </row>
    <row r="2009" spans="1:20" x14ac:dyDescent="0.25">
      <c r="A2009" t="s">
        <v>5398</v>
      </c>
      <c r="B2009" t="str">
        <f>"4284"</f>
        <v>4284</v>
      </c>
      <c r="C2009" t="str">
        <f>"297524284"</f>
        <v>297524284</v>
      </c>
      <c r="D2009" t="s">
        <v>5399</v>
      </c>
      <c r="E2009" t="s">
        <v>933</v>
      </c>
      <c r="F2009" t="s">
        <v>106</v>
      </c>
      <c r="G2009" s="1">
        <v>22548</v>
      </c>
      <c r="H2009" s="1">
        <v>40784</v>
      </c>
      <c r="I2009" t="str">
        <f t="shared" si="41"/>
        <v>51</v>
      </c>
      <c r="J2009" t="s">
        <v>471</v>
      </c>
      <c r="K2009" t="s">
        <v>25</v>
      </c>
      <c r="L2009" t="s">
        <v>26</v>
      </c>
      <c r="M2009" t="s">
        <v>27</v>
      </c>
      <c r="N2009" s="1">
        <v>18629</v>
      </c>
      <c r="O2009">
        <v>0</v>
      </c>
      <c r="P2009">
        <v>0</v>
      </c>
      <c r="Q2009" t="s">
        <v>28</v>
      </c>
      <c r="R2009" t="s">
        <v>71</v>
      </c>
      <c r="S2009" t="s">
        <v>157</v>
      </c>
      <c r="T2009" t="s">
        <v>158</v>
      </c>
    </row>
    <row r="2010" spans="1:20" x14ac:dyDescent="0.25">
      <c r="A2010" t="s">
        <v>5400</v>
      </c>
      <c r="B2010" t="str">
        <f>"0881"</f>
        <v>0881</v>
      </c>
      <c r="C2010" t="str">
        <f>"328660881"</f>
        <v>328660881</v>
      </c>
      <c r="D2010" t="s">
        <v>5401</v>
      </c>
      <c r="E2010" t="s">
        <v>499</v>
      </c>
      <c r="F2010" t="s">
        <v>219</v>
      </c>
      <c r="G2010" s="1">
        <v>26703</v>
      </c>
      <c r="H2010" s="1">
        <v>40784</v>
      </c>
      <c r="I2010" t="str">
        <f>"20"</f>
        <v>20</v>
      </c>
      <c r="J2010" t="s">
        <v>123</v>
      </c>
      <c r="K2010" t="s">
        <v>98</v>
      </c>
      <c r="L2010" t="s">
        <v>37</v>
      </c>
      <c r="M2010" t="s">
        <v>99</v>
      </c>
      <c r="N2010" s="1">
        <v>41631</v>
      </c>
      <c r="O2010">
        <v>14801.82</v>
      </c>
      <c r="P2010">
        <v>3700.4</v>
      </c>
      <c r="Q2010" t="s">
        <v>28</v>
      </c>
      <c r="R2010" t="s">
        <v>51</v>
      </c>
      <c r="S2010" s="2" t="s">
        <v>5402</v>
      </c>
      <c r="T2010" t="s">
        <v>5403</v>
      </c>
    </row>
    <row r="2011" spans="1:20" x14ac:dyDescent="0.25">
      <c r="A2011" t="s">
        <v>5404</v>
      </c>
      <c r="B2011" t="str">
        <f>"4957"</f>
        <v>4957</v>
      </c>
      <c r="C2011" t="str">
        <f>"093704957"</f>
        <v>093704957</v>
      </c>
      <c r="D2011" t="s">
        <v>5405</v>
      </c>
      <c r="E2011" t="s">
        <v>1435</v>
      </c>
      <c r="G2011" s="1">
        <v>31370</v>
      </c>
      <c r="H2011" s="1">
        <v>40784</v>
      </c>
      <c r="I2011" t="str">
        <f t="shared" ref="I2011:I2029" si="42">"51"</f>
        <v>51</v>
      </c>
      <c r="J2011" t="s">
        <v>471</v>
      </c>
      <c r="K2011" t="s">
        <v>25</v>
      </c>
      <c r="L2011" t="s">
        <v>26</v>
      </c>
      <c r="M2011" t="s">
        <v>27</v>
      </c>
      <c r="N2011" s="1">
        <v>18629</v>
      </c>
      <c r="O2011">
        <v>0</v>
      </c>
      <c r="P2011">
        <v>0</v>
      </c>
      <c r="Q2011" t="s">
        <v>37</v>
      </c>
      <c r="R2011" t="s">
        <v>51</v>
      </c>
      <c r="S2011" s="2" t="s">
        <v>1568</v>
      </c>
      <c r="T2011" t="s">
        <v>1569</v>
      </c>
    </row>
    <row r="2012" spans="1:20" x14ac:dyDescent="0.25">
      <c r="A2012" t="s">
        <v>5406</v>
      </c>
      <c r="B2012" t="str">
        <f>"3854"</f>
        <v>3854</v>
      </c>
      <c r="C2012" t="str">
        <f>"232763854"</f>
        <v>232763854</v>
      </c>
      <c r="D2012" t="s">
        <v>5407</v>
      </c>
      <c r="E2012" t="s">
        <v>1074</v>
      </c>
      <c r="F2012" t="s">
        <v>93</v>
      </c>
      <c r="G2012" s="1">
        <v>18115</v>
      </c>
      <c r="H2012" s="1">
        <v>40784</v>
      </c>
      <c r="I2012" t="str">
        <f t="shared" si="42"/>
        <v>51</v>
      </c>
      <c r="J2012" t="s">
        <v>471</v>
      </c>
      <c r="K2012" t="s">
        <v>25</v>
      </c>
      <c r="L2012" t="s">
        <v>26</v>
      </c>
      <c r="M2012" t="s">
        <v>27</v>
      </c>
      <c r="N2012" s="1">
        <v>18629</v>
      </c>
      <c r="O2012">
        <v>0</v>
      </c>
      <c r="P2012">
        <v>0</v>
      </c>
      <c r="Q2012" t="s">
        <v>37</v>
      </c>
      <c r="R2012" t="s">
        <v>71</v>
      </c>
      <c r="S2012" t="s">
        <v>2458</v>
      </c>
      <c r="T2012" t="s">
        <v>2459</v>
      </c>
    </row>
    <row r="2013" spans="1:20" x14ac:dyDescent="0.25">
      <c r="A2013" t="s">
        <v>5408</v>
      </c>
      <c r="B2013" t="str">
        <f>"5938"</f>
        <v>5938</v>
      </c>
      <c r="C2013" t="str">
        <f>"295665938"</f>
        <v>295665938</v>
      </c>
      <c r="D2013" t="s">
        <v>5409</v>
      </c>
      <c r="E2013" t="s">
        <v>463</v>
      </c>
      <c r="G2013" s="1">
        <v>21557</v>
      </c>
      <c r="H2013" s="1">
        <v>40784</v>
      </c>
      <c r="I2013" t="str">
        <f t="shared" si="42"/>
        <v>51</v>
      </c>
      <c r="J2013" t="s">
        <v>471</v>
      </c>
      <c r="K2013" t="s">
        <v>25</v>
      </c>
      <c r="L2013" t="s">
        <v>26</v>
      </c>
      <c r="M2013" t="s">
        <v>27</v>
      </c>
      <c r="N2013" s="1">
        <v>18629</v>
      </c>
      <c r="O2013">
        <v>0</v>
      </c>
      <c r="P2013">
        <v>0</v>
      </c>
      <c r="Q2013" t="s">
        <v>28</v>
      </c>
      <c r="R2013" t="s">
        <v>51</v>
      </c>
      <c r="S2013" s="2" t="s">
        <v>2524</v>
      </c>
      <c r="T2013" t="s">
        <v>2525</v>
      </c>
    </row>
    <row r="2014" spans="1:20" x14ac:dyDescent="0.25">
      <c r="A2014" t="s">
        <v>5410</v>
      </c>
      <c r="B2014" t="str">
        <f>"0574"</f>
        <v>0574</v>
      </c>
      <c r="C2014" t="str">
        <f>"272900574"</f>
        <v>272900574</v>
      </c>
      <c r="D2014" t="s">
        <v>5411</v>
      </c>
      <c r="E2014" t="s">
        <v>106</v>
      </c>
      <c r="F2014" t="s">
        <v>97</v>
      </c>
      <c r="G2014" s="1">
        <v>30472</v>
      </c>
      <c r="H2014" s="1">
        <v>40784</v>
      </c>
      <c r="I2014" t="str">
        <f t="shared" si="42"/>
        <v>51</v>
      </c>
      <c r="J2014" t="s">
        <v>471</v>
      </c>
      <c r="K2014" t="s">
        <v>25</v>
      </c>
      <c r="L2014" t="s">
        <v>26</v>
      </c>
      <c r="M2014" t="s">
        <v>27</v>
      </c>
      <c r="N2014" s="1">
        <v>18629</v>
      </c>
      <c r="O2014">
        <v>0</v>
      </c>
      <c r="P2014">
        <v>0</v>
      </c>
      <c r="Q2014" t="s">
        <v>28</v>
      </c>
      <c r="R2014" t="s">
        <v>51</v>
      </c>
      <c r="S2014" s="2" t="s">
        <v>2202</v>
      </c>
      <c r="T2014" t="s">
        <v>2203</v>
      </c>
    </row>
    <row r="2015" spans="1:20" x14ac:dyDescent="0.25">
      <c r="A2015" t="s">
        <v>5412</v>
      </c>
      <c r="B2015" t="str">
        <f>"1291"</f>
        <v>1291</v>
      </c>
      <c r="C2015" t="str">
        <f>"269641291"</f>
        <v>269641291</v>
      </c>
      <c r="D2015" t="s">
        <v>5413</v>
      </c>
      <c r="E2015" t="s">
        <v>5414</v>
      </c>
      <c r="F2015" t="s">
        <v>93</v>
      </c>
      <c r="G2015" s="1">
        <v>22607</v>
      </c>
      <c r="H2015" s="1">
        <v>40784</v>
      </c>
      <c r="I2015" t="str">
        <f t="shared" si="42"/>
        <v>51</v>
      </c>
      <c r="J2015" t="s">
        <v>471</v>
      </c>
      <c r="K2015" t="s">
        <v>25</v>
      </c>
      <c r="L2015" t="s">
        <v>26</v>
      </c>
      <c r="M2015" t="s">
        <v>27</v>
      </c>
      <c r="N2015" s="1">
        <v>18629</v>
      </c>
      <c r="O2015">
        <v>0</v>
      </c>
      <c r="P2015">
        <v>0</v>
      </c>
      <c r="Q2015" t="s">
        <v>28</v>
      </c>
      <c r="R2015" t="s">
        <v>29</v>
      </c>
      <c r="S2015" t="s">
        <v>717</v>
      </c>
      <c r="T2015" t="s">
        <v>718</v>
      </c>
    </row>
    <row r="2016" spans="1:20" x14ac:dyDescent="0.25">
      <c r="A2016" t="s">
        <v>5415</v>
      </c>
      <c r="B2016" t="str">
        <f>"5817"</f>
        <v>5817</v>
      </c>
      <c r="C2016" t="str">
        <f>"270765817"</f>
        <v>270765817</v>
      </c>
      <c r="D2016" t="s">
        <v>5416</v>
      </c>
      <c r="E2016" t="s">
        <v>2177</v>
      </c>
      <c r="F2016" t="s">
        <v>438</v>
      </c>
      <c r="G2016" s="1">
        <v>29268</v>
      </c>
      <c r="H2016" s="1">
        <v>40784</v>
      </c>
      <c r="I2016" t="str">
        <f t="shared" si="42"/>
        <v>51</v>
      </c>
      <c r="J2016" t="s">
        <v>471</v>
      </c>
      <c r="K2016" t="s">
        <v>25</v>
      </c>
      <c r="L2016" t="s">
        <v>26</v>
      </c>
      <c r="M2016" t="s">
        <v>27</v>
      </c>
      <c r="N2016" s="1">
        <v>18629</v>
      </c>
      <c r="O2016">
        <v>0</v>
      </c>
      <c r="P2016">
        <v>0</v>
      </c>
      <c r="Q2016" t="s">
        <v>37</v>
      </c>
      <c r="R2016" t="s">
        <v>29</v>
      </c>
      <c r="S2016" t="s">
        <v>1555</v>
      </c>
      <c r="T2016" t="s">
        <v>1556</v>
      </c>
    </row>
    <row r="2017" spans="1:20" x14ac:dyDescent="0.25">
      <c r="A2017" t="s">
        <v>5417</v>
      </c>
      <c r="B2017" t="str">
        <f>"5785"</f>
        <v>5785</v>
      </c>
      <c r="C2017" t="str">
        <f>"490985785"</f>
        <v>490985785</v>
      </c>
      <c r="D2017" t="s">
        <v>4233</v>
      </c>
      <c r="E2017" t="s">
        <v>609</v>
      </c>
      <c r="F2017" t="s">
        <v>28</v>
      </c>
      <c r="G2017" s="1">
        <v>27454</v>
      </c>
      <c r="H2017" s="1">
        <v>40784</v>
      </c>
      <c r="I2017" t="str">
        <f t="shared" si="42"/>
        <v>51</v>
      </c>
      <c r="J2017" t="s">
        <v>471</v>
      </c>
      <c r="K2017" t="s">
        <v>25</v>
      </c>
      <c r="L2017" t="s">
        <v>26</v>
      </c>
      <c r="M2017" t="s">
        <v>27</v>
      </c>
      <c r="N2017" s="1">
        <v>18629</v>
      </c>
      <c r="O2017">
        <v>0</v>
      </c>
      <c r="P2017">
        <v>0</v>
      </c>
      <c r="Q2017" t="s">
        <v>28</v>
      </c>
      <c r="R2017" t="s">
        <v>51</v>
      </c>
      <c r="S2017" s="2" t="s">
        <v>3136</v>
      </c>
      <c r="T2017" t="s">
        <v>3137</v>
      </c>
    </row>
    <row r="2018" spans="1:20" x14ac:dyDescent="0.25">
      <c r="A2018" t="s">
        <v>5418</v>
      </c>
      <c r="B2018" t="str">
        <f>"8252"</f>
        <v>8252</v>
      </c>
      <c r="C2018" t="str">
        <f>"299428252"</f>
        <v>299428252</v>
      </c>
      <c r="D2018" t="s">
        <v>3698</v>
      </c>
      <c r="E2018" t="s">
        <v>197</v>
      </c>
      <c r="F2018" t="s">
        <v>26</v>
      </c>
      <c r="G2018" s="1">
        <v>20676</v>
      </c>
      <c r="H2018" s="1">
        <v>40784</v>
      </c>
      <c r="I2018" t="str">
        <f t="shared" si="42"/>
        <v>51</v>
      </c>
      <c r="J2018" t="s">
        <v>471</v>
      </c>
      <c r="K2018" t="s">
        <v>25</v>
      </c>
      <c r="L2018" t="s">
        <v>26</v>
      </c>
      <c r="M2018" t="s">
        <v>27</v>
      </c>
      <c r="N2018" s="1">
        <v>18629</v>
      </c>
      <c r="O2018">
        <v>0</v>
      </c>
      <c r="P2018">
        <v>0</v>
      </c>
      <c r="Q2018" t="s">
        <v>28</v>
      </c>
      <c r="R2018" t="s">
        <v>51</v>
      </c>
      <c r="S2018" s="2" t="s">
        <v>2318</v>
      </c>
      <c r="T2018" t="s">
        <v>2319</v>
      </c>
    </row>
    <row r="2019" spans="1:20" x14ac:dyDescent="0.25">
      <c r="A2019" t="s">
        <v>5419</v>
      </c>
      <c r="B2019" t="str">
        <f>"3571"</f>
        <v>3571</v>
      </c>
      <c r="C2019" t="str">
        <f>"292843571"</f>
        <v>292843571</v>
      </c>
      <c r="D2019" t="s">
        <v>5420</v>
      </c>
      <c r="E2019" t="s">
        <v>250</v>
      </c>
      <c r="F2019" t="s">
        <v>239</v>
      </c>
      <c r="G2019" s="1">
        <v>29953</v>
      </c>
      <c r="H2019" s="1">
        <v>40784</v>
      </c>
      <c r="I2019" t="str">
        <f t="shared" si="42"/>
        <v>51</v>
      </c>
      <c r="J2019" t="s">
        <v>471</v>
      </c>
      <c r="K2019" t="s">
        <v>25</v>
      </c>
      <c r="L2019" t="s">
        <v>26</v>
      </c>
      <c r="M2019" t="s">
        <v>27</v>
      </c>
      <c r="N2019" s="1">
        <v>18629</v>
      </c>
      <c r="O2019">
        <v>0</v>
      </c>
      <c r="P2019">
        <v>0</v>
      </c>
      <c r="Q2019" t="s">
        <v>37</v>
      </c>
      <c r="R2019" t="s">
        <v>51</v>
      </c>
      <c r="S2019" s="2" t="s">
        <v>2202</v>
      </c>
      <c r="T2019" t="s">
        <v>2203</v>
      </c>
    </row>
    <row r="2020" spans="1:20" x14ac:dyDescent="0.25">
      <c r="A2020" t="s">
        <v>5421</v>
      </c>
      <c r="B2020" t="str">
        <f>"6801"</f>
        <v>6801</v>
      </c>
      <c r="C2020" t="str">
        <f>"277806801"</f>
        <v>277806801</v>
      </c>
      <c r="D2020" t="s">
        <v>5422</v>
      </c>
      <c r="E2020" t="s">
        <v>2042</v>
      </c>
      <c r="F2020" t="s">
        <v>414</v>
      </c>
      <c r="G2020" s="1">
        <v>25764</v>
      </c>
      <c r="H2020" s="1">
        <v>40784</v>
      </c>
      <c r="I2020" t="str">
        <f t="shared" si="42"/>
        <v>51</v>
      </c>
      <c r="J2020" t="s">
        <v>471</v>
      </c>
      <c r="K2020" t="s">
        <v>25</v>
      </c>
      <c r="L2020" t="s">
        <v>26</v>
      </c>
      <c r="M2020" t="s">
        <v>27</v>
      </c>
      <c r="N2020" s="1">
        <v>18629</v>
      </c>
      <c r="O2020">
        <v>0</v>
      </c>
      <c r="P2020">
        <v>0</v>
      </c>
      <c r="Q2020" t="s">
        <v>37</v>
      </c>
      <c r="R2020" t="s">
        <v>100</v>
      </c>
      <c r="S2020" t="s">
        <v>1526</v>
      </c>
      <c r="T2020" t="s">
        <v>1527</v>
      </c>
    </row>
    <row r="2021" spans="1:20" x14ac:dyDescent="0.25">
      <c r="A2021" t="s">
        <v>5423</v>
      </c>
      <c r="B2021" t="str">
        <f>"6896"</f>
        <v>6896</v>
      </c>
      <c r="C2021" t="str">
        <f>"138666896"</f>
        <v>138666896</v>
      </c>
      <c r="D2021" t="s">
        <v>5424</v>
      </c>
      <c r="E2021" t="s">
        <v>877</v>
      </c>
      <c r="G2021" s="1">
        <v>22798</v>
      </c>
      <c r="H2021" s="1">
        <v>40784</v>
      </c>
      <c r="I2021" t="str">
        <f t="shared" si="42"/>
        <v>51</v>
      </c>
      <c r="J2021" t="s">
        <v>471</v>
      </c>
      <c r="K2021" t="s">
        <v>25</v>
      </c>
      <c r="L2021" t="s">
        <v>26</v>
      </c>
      <c r="M2021" t="s">
        <v>27</v>
      </c>
      <c r="N2021" s="1">
        <v>18629</v>
      </c>
      <c r="O2021">
        <v>0</v>
      </c>
      <c r="P2021">
        <v>0</v>
      </c>
      <c r="Q2021" t="s">
        <v>37</v>
      </c>
      <c r="R2021" t="s">
        <v>71</v>
      </c>
      <c r="S2021" t="s">
        <v>157</v>
      </c>
      <c r="T2021" t="s">
        <v>158</v>
      </c>
    </row>
    <row r="2022" spans="1:20" x14ac:dyDescent="0.25">
      <c r="A2022" t="s">
        <v>5425</v>
      </c>
      <c r="B2022" t="str">
        <f>"7755"</f>
        <v>7755</v>
      </c>
      <c r="C2022" t="str">
        <f>"286507755"</f>
        <v>286507755</v>
      </c>
      <c r="D2022" t="s">
        <v>5426</v>
      </c>
      <c r="E2022" t="s">
        <v>184</v>
      </c>
      <c r="F2022" t="s">
        <v>5427</v>
      </c>
      <c r="G2022" s="1">
        <v>18998</v>
      </c>
      <c r="H2022" s="1">
        <v>40784</v>
      </c>
      <c r="I2022" t="str">
        <f t="shared" si="42"/>
        <v>51</v>
      </c>
      <c r="J2022" t="s">
        <v>471</v>
      </c>
      <c r="K2022" t="s">
        <v>25</v>
      </c>
      <c r="L2022" t="s">
        <v>26</v>
      </c>
      <c r="M2022" t="s">
        <v>27</v>
      </c>
      <c r="N2022" s="1">
        <v>18629</v>
      </c>
      <c r="O2022">
        <v>0</v>
      </c>
      <c r="P2022">
        <v>0</v>
      </c>
      <c r="Q2022" t="s">
        <v>37</v>
      </c>
      <c r="R2022" t="s">
        <v>29</v>
      </c>
      <c r="S2022" t="s">
        <v>138</v>
      </c>
      <c r="T2022" t="s">
        <v>139</v>
      </c>
    </row>
    <row r="2023" spans="1:20" x14ac:dyDescent="0.25">
      <c r="A2023" t="s">
        <v>5428</v>
      </c>
      <c r="B2023" t="str">
        <f>"4676"</f>
        <v>4676</v>
      </c>
      <c r="C2023" t="str">
        <f>"299584676"</f>
        <v>299584676</v>
      </c>
      <c r="D2023" t="s">
        <v>5429</v>
      </c>
      <c r="E2023" t="s">
        <v>2027</v>
      </c>
      <c r="F2023" t="s">
        <v>93</v>
      </c>
      <c r="G2023" s="1">
        <v>20530</v>
      </c>
      <c r="H2023" s="1">
        <v>40784</v>
      </c>
      <c r="I2023" t="str">
        <f t="shared" si="42"/>
        <v>51</v>
      </c>
      <c r="J2023" t="s">
        <v>471</v>
      </c>
      <c r="K2023" t="s">
        <v>25</v>
      </c>
      <c r="L2023" t="s">
        <v>26</v>
      </c>
      <c r="M2023" t="s">
        <v>27</v>
      </c>
      <c r="N2023" s="1">
        <v>18629</v>
      </c>
      <c r="O2023">
        <v>0</v>
      </c>
      <c r="P2023">
        <v>0</v>
      </c>
      <c r="Q2023" t="s">
        <v>28</v>
      </c>
      <c r="R2023" t="s">
        <v>29</v>
      </c>
      <c r="S2023" t="s">
        <v>1494</v>
      </c>
      <c r="T2023" t="s">
        <v>1495</v>
      </c>
    </row>
    <row r="2024" spans="1:20" x14ac:dyDescent="0.25">
      <c r="A2024" t="s">
        <v>5430</v>
      </c>
      <c r="B2024" t="str">
        <f>"5972"</f>
        <v>5972</v>
      </c>
      <c r="C2024" t="str">
        <f>"302445972"</f>
        <v>302445972</v>
      </c>
      <c r="D2024" t="s">
        <v>5431</v>
      </c>
      <c r="E2024" t="s">
        <v>106</v>
      </c>
      <c r="F2024" t="s">
        <v>97</v>
      </c>
      <c r="G2024" s="1">
        <v>17844</v>
      </c>
      <c r="H2024" s="1">
        <v>40784</v>
      </c>
      <c r="I2024" t="str">
        <f t="shared" si="42"/>
        <v>51</v>
      </c>
      <c r="J2024" t="s">
        <v>471</v>
      </c>
      <c r="K2024" t="s">
        <v>25</v>
      </c>
      <c r="L2024" t="s">
        <v>26</v>
      </c>
      <c r="M2024" t="s">
        <v>27</v>
      </c>
      <c r="N2024" s="1">
        <v>18629</v>
      </c>
      <c r="O2024">
        <v>0</v>
      </c>
      <c r="P2024">
        <v>0</v>
      </c>
      <c r="Q2024" t="s">
        <v>28</v>
      </c>
      <c r="R2024" t="s">
        <v>71</v>
      </c>
      <c r="S2024" t="s">
        <v>2634</v>
      </c>
      <c r="T2024" t="s">
        <v>2635</v>
      </c>
    </row>
    <row r="2025" spans="1:20" x14ac:dyDescent="0.25">
      <c r="A2025" t="s">
        <v>5432</v>
      </c>
      <c r="B2025" t="str">
        <f>"8131"</f>
        <v>8131</v>
      </c>
      <c r="C2025" t="str">
        <f>"268888131"</f>
        <v>268888131</v>
      </c>
      <c r="D2025" t="s">
        <v>724</v>
      </c>
      <c r="E2025" t="s">
        <v>1530</v>
      </c>
      <c r="F2025" t="s">
        <v>414</v>
      </c>
      <c r="G2025" s="1">
        <v>29925</v>
      </c>
      <c r="H2025" s="1">
        <v>40784</v>
      </c>
      <c r="I2025" t="str">
        <f t="shared" si="42"/>
        <v>51</v>
      </c>
      <c r="J2025" t="s">
        <v>471</v>
      </c>
      <c r="K2025" t="s">
        <v>25</v>
      </c>
      <c r="L2025" t="s">
        <v>26</v>
      </c>
      <c r="M2025" t="s">
        <v>27</v>
      </c>
      <c r="N2025" s="1">
        <v>18629</v>
      </c>
      <c r="O2025">
        <v>0</v>
      </c>
      <c r="P2025">
        <v>0</v>
      </c>
      <c r="Q2025" t="s">
        <v>37</v>
      </c>
      <c r="R2025" t="s">
        <v>346</v>
      </c>
      <c r="S2025" t="s">
        <v>1513</v>
      </c>
      <c r="T2025" t="s">
        <v>1514</v>
      </c>
    </row>
    <row r="2026" spans="1:20" x14ac:dyDescent="0.25">
      <c r="A2026" t="s">
        <v>5433</v>
      </c>
      <c r="B2026" t="str">
        <f>"8880"</f>
        <v>8880</v>
      </c>
      <c r="C2026" t="str">
        <f>"281468880"</f>
        <v>281468880</v>
      </c>
      <c r="D2026" t="s">
        <v>5434</v>
      </c>
      <c r="E2026" t="s">
        <v>5435</v>
      </c>
      <c r="G2026" s="1">
        <v>17490</v>
      </c>
      <c r="H2026" s="1">
        <v>40784</v>
      </c>
      <c r="I2026" t="str">
        <f t="shared" si="42"/>
        <v>51</v>
      </c>
      <c r="J2026" t="s">
        <v>471</v>
      </c>
      <c r="K2026" t="s">
        <v>25</v>
      </c>
      <c r="L2026" t="s">
        <v>26</v>
      </c>
      <c r="M2026" t="s">
        <v>27</v>
      </c>
      <c r="N2026" s="1">
        <v>18629</v>
      </c>
      <c r="O2026">
        <v>0</v>
      </c>
      <c r="P2026">
        <v>0</v>
      </c>
      <c r="Q2026" t="s">
        <v>37</v>
      </c>
      <c r="R2026" t="s">
        <v>29</v>
      </c>
      <c r="S2026" t="s">
        <v>1160</v>
      </c>
      <c r="T2026" t="s">
        <v>1161</v>
      </c>
    </row>
    <row r="2027" spans="1:20" x14ac:dyDescent="0.25">
      <c r="A2027" t="s">
        <v>5436</v>
      </c>
      <c r="B2027" t="str">
        <f>"7334"</f>
        <v>7334</v>
      </c>
      <c r="C2027" t="str">
        <f>"271087334"</f>
        <v>271087334</v>
      </c>
      <c r="D2027" t="s">
        <v>5437</v>
      </c>
      <c r="E2027" t="s">
        <v>122</v>
      </c>
      <c r="F2027" t="s">
        <v>438</v>
      </c>
      <c r="G2027" s="1">
        <v>28951</v>
      </c>
      <c r="H2027" s="1">
        <v>40784</v>
      </c>
      <c r="I2027" t="str">
        <f t="shared" si="42"/>
        <v>51</v>
      </c>
      <c r="J2027" t="s">
        <v>471</v>
      </c>
      <c r="K2027" t="s">
        <v>25</v>
      </c>
      <c r="L2027" t="s">
        <v>26</v>
      </c>
      <c r="M2027" t="s">
        <v>27</v>
      </c>
      <c r="N2027" s="1">
        <v>18629</v>
      </c>
      <c r="O2027">
        <v>0</v>
      </c>
      <c r="P2027">
        <v>0</v>
      </c>
      <c r="Q2027" t="s">
        <v>28</v>
      </c>
      <c r="R2027" t="s">
        <v>71</v>
      </c>
      <c r="S2027" t="s">
        <v>790</v>
      </c>
      <c r="T2027" t="s">
        <v>791</v>
      </c>
    </row>
    <row r="2028" spans="1:20" x14ac:dyDescent="0.25">
      <c r="A2028" t="s">
        <v>5438</v>
      </c>
      <c r="B2028" t="str">
        <f>"8458"</f>
        <v>8458</v>
      </c>
      <c r="C2028" t="str">
        <f>"270768458"</f>
        <v>270768458</v>
      </c>
      <c r="D2028" t="s">
        <v>5439</v>
      </c>
      <c r="E2028" t="s">
        <v>1453</v>
      </c>
      <c r="F2028" t="s">
        <v>239</v>
      </c>
      <c r="G2028" s="1">
        <v>23688</v>
      </c>
      <c r="H2028" s="1">
        <v>40784</v>
      </c>
      <c r="I2028" t="str">
        <f t="shared" si="42"/>
        <v>51</v>
      </c>
      <c r="J2028" t="s">
        <v>471</v>
      </c>
      <c r="K2028" t="s">
        <v>25</v>
      </c>
      <c r="L2028" t="s">
        <v>26</v>
      </c>
      <c r="M2028" t="s">
        <v>27</v>
      </c>
      <c r="N2028" s="1">
        <v>18629</v>
      </c>
      <c r="O2028">
        <v>0</v>
      </c>
      <c r="P2028">
        <v>0</v>
      </c>
      <c r="Q2028" t="s">
        <v>28</v>
      </c>
      <c r="R2028" t="s">
        <v>71</v>
      </c>
      <c r="S2028" t="s">
        <v>1547</v>
      </c>
      <c r="T2028" t="s">
        <v>1548</v>
      </c>
    </row>
    <row r="2029" spans="1:20" x14ac:dyDescent="0.25">
      <c r="A2029" t="s">
        <v>5440</v>
      </c>
      <c r="B2029" t="str">
        <f>"2228"</f>
        <v>2228</v>
      </c>
      <c r="C2029" t="str">
        <f>"285602228"</f>
        <v>285602228</v>
      </c>
      <c r="D2029" t="s">
        <v>5441</v>
      </c>
      <c r="E2029" t="s">
        <v>5442</v>
      </c>
      <c r="F2029" t="s">
        <v>358</v>
      </c>
      <c r="G2029" s="1">
        <v>28041</v>
      </c>
      <c r="H2029" s="1">
        <v>40784</v>
      </c>
      <c r="I2029" t="str">
        <f t="shared" si="42"/>
        <v>51</v>
      </c>
      <c r="J2029" t="s">
        <v>471</v>
      </c>
      <c r="K2029" t="s">
        <v>25</v>
      </c>
      <c r="L2029" t="s">
        <v>26</v>
      </c>
      <c r="M2029" t="s">
        <v>27</v>
      </c>
      <c r="N2029" s="1">
        <v>18629</v>
      </c>
      <c r="O2029">
        <v>0</v>
      </c>
      <c r="P2029">
        <v>0</v>
      </c>
      <c r="Q2029" t="s">
        <v>37</v>
      </c>
      <c r="R2029" t="s">
        <v>29</v>
      </c>
      <c r="S2029" t="s">
        <v>138</v>
      </c>
      <c r="T2029" t="s">
        <v>139</v>
      </c>
    </row>
    <row r="2030" spans="1:20" x14ac:dyDescent="0.25">
      <c r="A2030" t="s">
        <v>5443</v>
      </c>
      <c r="B2030" t="str">
        <f>"3517"</f>
        <v>3517</v>
      </c>
      <c r="C2030" t="str">
        <f>"354523517"</f>
        <v>354523517</v>
      </c>
      <c r="D2030" t="s">
        <v>5444</v>
      </c>
      <c r="E2030" t="s">
        <v>35</v>
      </c>
      <c r="F2030" t="s">
        <v>97</v>
      </c>
      <c r="G2030" s="1">
        <v>23916</v>
      </c>
      <c r="H2030" s="1">
        <v>40784</v>
      </c>
      <c r="I2030" t="str">
        <f>"50"</f>
        <v>50</v>
      </c>
      <c r="J2030" t="s">
        <v>208</v>
      </c>
      <c r="K2030" t="s">
        <v>25</v>
      </c>
      <c r="L2030" t="s">
        <v>26</v>
      </c>
      <c r="M2030" t="s">
        <v>27</v>
      </c>
      <c r="N2030" s="1">
        <v>18629</v>
      </c>
      <c r="O2030">
        <v>0</v>
      </c>
      <c r="P2030">
        <v>0</v>
      </c>
      <c r="Q2030" t="s">
        <v>28</v>
      </c>
      <c r="R2030" t="s">
        <v>71</v>
      </c>
      <c r="S2030" t="s">
        <v>3844</v>
      </c>
      <c r="T2030" t="s">
        <v>3845</v>
      </c>
    </row>
    <row r="2031" spans="1:20" x14ac:dyDescent="0.25">
      <c r="A2031" t="s">
        <v>5445</v>
      </c>
      <c r="B2031" t="str">
        <f>"0040"</f>
        <v>0040</v>
      </c>
      <c r="C2031" t="str">
        <f>"277700040"</f>
        <v>277700040</v>
      </c>
      <c r="D2031" t="s">
        <v>2183</v>
      </c>
      <c r="E2031" t="s">
        <v>5446</v>
      </c>
      <c r="F2031" t="s">
        <v>5447</v>
      </c>
      <c r="G2031" s="1">
        <v>23028</v>
      </c>
      <c r="H2031" s="1">
        <v>40784</v>
      </c>
      <c r="I2031" t="str">
        <f t="shared" ref="I2031:I2036" si="43">"51"</f>
        <v>51</v>
      </c>
      <c r="J2031" t="s">
        <v>471</v>
      </c>
      <c r="K2031" t="s">
        <v>25</v>
      </c>
      <c r="L2031" t="s">
        <v>26</v>
      </c>
      <c r="M2031" t="s">
        <v>27</v>
      </c>
      <c r="N2031" s="1">
        <v>18629</v>
      </c>
      <c r="O2031">
        <v>0</v>
      </c>
      <c r="P2031">
        <v>0</v>
      </c>
      <c r="Q2031" t="s">
        <v>37</v>
      </c>
      <c r="R2031" t="s">
        <v>29</v>
      </c>
      <c r="S2031" t="s">
        <v>138</v>
      </c>
      <c r="T2031" t="s">
        <v>139</v>
      </c>
    </row>
    <row r="2032" spans="1:20" x14ac:dyDescent="0.25">
      <c r="A2032" t="s">
        <v>5448</v>
      </c>
      <c r="B2032" t="str">
        <f>"4265"</f>
        <v>4265</v>
      </c>
      <c r="C2032" t="str">
        <f>"275704265"</f>
        <v>275704265</v>
      </c>
      <c r="D2032" t="s">
        <v>5449</v>
      </c>
      <c r="E2032" t="s">
        <v>1071</v>
      </c>
      <c r="F2032" t="s">
        <v>358</v>
      </c>
      <c r="G2032" s="1">
        <v>25421</v>
      </c>
      <c r="H2032" s="1">
        <v>40784</v>
      </c>
      <c r="I2032" t="str">
        <f t="shared" si="43"/>
        <v>51</v>
      </c>
      <c r="J2032" t="s">
        <v>471</v>
      </c>
      <c r="K2032" t="s">
        <v>25</v>
      </c>
      <c r="L2032" t="s">
        <v>26</v>
      </c>
      <c r="M2032" t="s">
        <v>27</v>
      </c>
      <c r="N2032" s="1">
        <v>18629</v>
      </c>
      <c r="O2032">
        <v>0</v>
      </c>
      <c r="P2032">
        <v>0</v>
      </c>
      <c r="Q2032" t="s">
        <v>37</v>
      </c>
      <c r="R2032" t="s">
        <v>29</v>
      </c>
      <c r="S2032" t="s">
        <v>1160</v>
      </c>
      <c r="T2032" t="s">
        <v>1161</v>
      </c>
    </row>
    <row r="2033" spans="1:20" x14ac:dyDescent="0.25">
      <c r="A2033" t="s">
        <v>5450</v>
      </c>
      <c r="B2033" t="str">
        <f>"3025"</f>
        <v>3025</v>
      </c>
      <c r="C2033" t="str">
        <f>"292823025"</f>
        <v>292823025</v>
      </c>
      <c r="D2033" t="s">
        <v>1045</v>
      </c>
      <c r="E2033" t="s">
        <v>5451</v>
      </c>
      <c r="F2033" t="s">
        <v>438</v>
      </c>
      <c r="G2033" s="1">
        <v>24788</v>
      </c>
      <c r="H2033" s="1">
        <v>40784</v>
      </c>
      <c r="I2033" t="str">
        <f t="shared" si="43"/>
        <v>51</v>
      </c>
      <c r="J2033" t="s">
        <v>471</v>
      </c>
      <c r="K2033" t="s">
        <v>25</v>
      </c>
      <c r="L2033" t="s">
        <v>26</v>
      </c>
      <c r="M2033" t="s">
        <v>27</v>
      </c>
      <c r="N2033" s="1">
        <v>18629</v>
      </c>
      <c r="O2033">
        <v>0</v>
      </c>
      <c r="P2033">
        <v>0</v>
      </c>
      <c r="Q2033" t="s">
        <v>37</v>
      </c>
      <c r="R2033" t="s">
        <v>29</v>
      </c>
      <c r="S2033" t="s">
        <v>151</v>
      </c>
      <c r="T2033" t="s">
        <v>152</v>
      </c>
    </row>
    <row r="2034" spans="1:20" x14ac:dyDescent="0.25">
      <c r="A2034" t="s">
        <v>5452</v>
      </c>
      <c r="B2034" t="str">
        <f>"8466"</f>
        <v>8466</v>
      </c>
      <c r="C2034" t="str">
        <f>"302908466"</f>
        <v>302908466</v>
      </c>
      <c r="D2034" t="s">
        <v>4275</v>
      </c>
      <c r="E2034" t="s">
        <v>588</v>
      </c>
      <c r="F2034" t="s">
        <v>28</v>
      </c>
      <c r="G2034" s="1">
        <v>30864</v>
      </c>
      <c r="H2034" s="1">
        <v>40784</v>
      </c>
      <c r="I2034" t="str">
        <f t="shared" si="43"/>
        <v>51</v>
      </c>
      <c r="J2034" t="s">
        <v>471</v>
      </c>
      <c r="K2034" t="s">
        <v>25</v>
      </c>
      <c r="L2034" t="s">
        <v>26</v>
      </c>
      <c r="M2034" t="s">
        <v>27</v>
      </c>
      <c r="N2034" s="1">
        <v>18629</v>
      </c>
      <c r="O2034">
        <v>0</v>
      </c>
      <c r="P2034">
        <v>0</v>
      </c>
      <c r="Q2034" t="s">
        <v>28</v>
      </c>
      <c r="R2034" t="s">
        <v>71</v>
      </c>
      <c r="S2034" t="s">
        <v>157</v>
      </c>
      <c r="T2034" t="s">
        <v>158</v>
      </c>
    </row>
    <row r="2035" spans="1:20" x14ac:dyDescent="0.25">
      <c r="A2035" t="s">
        <v>5453</v>
      </c>
      <c r="B2035" t="str">
        <f>"7852"</f>
        <v>7852</v>
      </c>
      <c r="C2035" t="str">
        <f>"526877852"</f>
        <v>526877852</v>
      </c>
      <c r="D2035" t="s">
        <v>5454</v>
      </c>
      <c r="E2035" t="s">
        <v>1081</v>
      </c>
      <c r="F2035" t="s">
        <v>44</v>
      </c>
      <c r="G2035" s="1">
        <v>24931</v>
      </c>
      <c r="H2035" s="1">
        <v>40784</v>
      </c>
      <c r="I2035" t="str">
        <f t="shared" si="43"/>
        <v>51</v>
      </c>
      <c r="J2035" t="s">
        <v>471</v>
      </c>
      <c r="K2035" t="s">
        <v>25</v>
      </c>
      <c r="L2035" t="s">
        <v>26</v>
      </c>
      <c r="M2035" t="s">
        <v>27</v>
      </c>
      <c r="N2035" s="1">
        <v>18629</v>
      </c>
      <c r="O2035">
        <v>0</v>
      </c>
      <c r="P2035">
        <v>0</v>
      </c>
      <c r="Q2035" t="s">
        <v>28</v>
      </c>
      <c r="R2035" t="s">
        <v>51</v>
      </c>
      <c r="S2035" s="2" t="s">
        <v>1568</v>
      </c>
      <c r="T2035" t="s">
        <v>1569</v>
      </c>
    </row>
    <row r="2036" spans="1:20" x14ac:dyDescent="0.25">
      <c r="A2036" t="s">
        <v>5455</v>
      </c>
      <c r="B2036" t="str">
        <f>"5404"</f>
        <v>5404</v>
      </c>
      <c r="C2036" t="str">
        <f>"301605404"</f>
        <v>301605404</v>
      </c>
      <c r="D2036" t="s">
        <v>5456</v>
      </c>
      <c r="E2036" t="s">
        <v>5457</v>
      </c>
      <c r="G2036" s="1">
        <v>18955</v>
      </c>
      <c r="H2036" s="1">
        <v>40784</v>
      </c>
      <c r="I2036" t="str">
        <f t="shared" si="43"/>
        <v>51</v>
      </c>
      <c r="J2036" t="s">
        <v>471</v>
      </c>
      <c r="K2036" t="s">
        <v>25</v>
      </c>
      <c r="L2036" t="s">
        <v>26</v>
      </c>
      <c r="M2036" t="s">
        <v>27</v>
      </c>
      <c r="N2036" s="1">
        <v>18629</v>
      </c>
      <c r="O2036">
        <v>0</v>
      </c>
      <c r="P2036">
        <v>0</v>
      </c>
      <c r="Q2036" t="s">
        <v>37</v>
      </c>
      <c r="R2036" t="s">
        <v>100</v>
      </c>
      <c r="S2036" t="s">
        <v>166</v>
      </c>
      <c r="T2036" t="s">
        <v>167</v>
      </c>
    </row>
    <row r="2037" spans="1:20" x14ac:dyDescent="0.25">
      <c r="A2037" t="s">
        <v>5458</v>
      </c>
      <c r="B2037" t="str">
        <f>"0561"</f>
        <v>0561</v>
      </c>
      <c r="C2037" t="str">
        <f>"300340561"</f>
        <v>300340561</v>
      </c>
      <c r="D2037" t="s">
        <v>5459</v>
      </c>
      <c r="E2037" t="s">
        <v>642</v>
      </c>
      <c r="G2037" s="1">
        <v>14303</v>
      </c>
      <c r="H2037" s="1">
        <v>40784</v>
      </c>
      <c r="I2037" t="str">
        <f>"33"</f>
        <v>33</v>
      </c>
      <c r="J2037" t="s">
        <v>45</v>
      </c>
      <c r="K2037" t="s">
        <v>25</v>
      </c>
      <c r="L2037" t="s">
        <v>26</v>
      </c>
      <c r="M2037" t="s">
        <v>27</v>
      </c>
      <c r="N2037" s="1">
        <v>18629</v>
      </c>
      <c r="O2037">
        <v>0</v>
      </c>
      <c r="P2037">
        <v>0</v>
      </c>
      <c r="Q2037" t="s">
        <v>28</v>
      </c>
      <c r="R2037" t="s">
        <v>71</v>
      </c>
      <c r="S2037" t="s">
        <v>157</v>
      </c>
      <c r="T2037" t="s">
        <v>158</v>
      </c>
    </row>
    <row r="2038" spans="1:20" x14ac:dyDescent="0.25">
      <c r="A2038" t="s">
        <v>5460</v>
      </c>
      <c r="B2038" t="str">
        <f>"8174"</f>
        <v>8174</v>
      </c>
      <c r="C2038" t="str">
        <f>"292788174"</f>
        <v>292788174</v>
      </c>
      <c r="D2038" t="s">
        <v>5461</v>
      </c>
      <c r="E2038" t="s">
        <v>933</v>
      </c>
      <c r="F2038" t="s">
        <v>97</v>
      </c>
      <c r="G2038" s="1">
        <v>24220</v>
      </c>
      <c r="H2038" s="1">
        <v>40784</v>
      </c>
      <c r="I2038" t="str">
        <f t="shared" ref="I2038:I2067" si="44">"51"</f>
        <v>51</v>
      </c>
      <c r="J2038" t="s">
        <v>471</v>
      </c>
      <c r="K2038" t="s">
        <v>25</v>
      </c>
      <c r="L2038" t="s">
        <v>26</v>
      </c>
      <c r="M2038" t="s">
        <v>27</v>
      </c>
      <c r="N2038" s="1">
        <v>18629</v>
      </c>
      <c r="O2038">
        <v>0</v>
      </c>
      <c r="P2038">
        <v>0</v>
      </c>
      <c r="Q2038" t="s">
        <v>28</v>
      </c>
      <c r="R2038" t="s">
        <v>71</v>
      </c>
      <c r="S2038" t="s">
        <v>3734</v>
      </c>
      <c r="T2038" t="s">
        <v>3735</v>
      </c>
    </row>
    <row r="2039" spans="1:20" x14ac:dyDescent="0.25">
      <c r="A2039" t="s">
        <v>5462</v>
      </c>
      <c r="B2039" t="str">
        <f>"2660"</f>
        <v>2660</v>
      </c>
      <c r="C2039" t="str">
        <f>"291602660"</f>
        <v>291602660</v>
      </c>
      <c r="D2039" t="s">
        <v>5463</v>
      </c>
      <c r="E2039" t="s">
        <v>2917</v>
      </c>
      <c r="F2039" t="s">
        <v>28</v>
      </c>
      <c r="G2039" s="1">
        <v>23977</v>
      </c>
      <c r="H2039" s="1">
        <v>40784</v>
      </c>
      <c r="I2039" t="str">
        <f t="shared" si="44"/>
        <v>51</v>
      </c>
      <c r="J2039" t="s">
        <v>471</v>
      </c>
      <c r="K2039" t="s">
        <v>25</v>
      </c>
      <c r="L2039" t="s">
        <v>26</v>
      </c>
      <c r="M2039" t="s">
        <v>27</v>
      </c>
      <c r="N2039" s="1">
        <v>18629</v>
      </c>
      <c r="O2039">
        <v>0</v>
      </c>
      <c r="P2039">
        <v>0</v>
      </c>
      <c r="Q2039" t="s">
        <v>37</v>
      </c>
      <c r="R2039" t="s">
        <v>29</v>
      </c>
      <c r="S2039" t="s">
        <v>1427</v>
      </c>
      <c r="T2039" t="s">
        <v>1428</v>
      </c>
    </row>
    <row r="2040" spans="1:20" x14ac:dyDescent="0.25">
      <c r="A2040" t="s">
        <v>5464</v>
      </c>
      <c r="B2040" t="str">
        <f>"7567"</f>
        <v>7567</v>
      </c>
      <c r="C2040" t="str">
        <f>"170627567"</f>
        <v>170627567</v>
      </c>
      <c r="D2040" t="s">
        <v>5465</v>
      </c>
      <c r="E2040" t="s">
        <v>430</v>
      </c>
      <c r="F2040" t="s">
        <v>97</v>
      </c>
      <c r="G2040" s="1">
        <v>29835</v>
      </c>
      <c r="H2040" s="1">
        <v>40784</v>
      </c>
      <c r="I2040" t="str">
        <f t="shared" si="44"/>
        <v>51</v>
      </c>
      <c r="J2040" t="s">
        <v>471</v>
      </c>
      <c r="K2040" t="s">
        <v>25</v>
      </c>
      <c r="L2040" t="s">
        <v>26</v>
      </c>
      <c r="M2040" t="s">
        <v>27</v>
      </c>
      <c r="N2040" s="1">
        <v>18629</v>
      </c>
      <c r="O2040">
        <v>0</v>
      </c>
      <c r="P2040">
        <v>0</v>
      </c>
      <c r="Q2040" t="s">
        <v>28</v>
      </c>
      <c r="R2040" t="s">
        <v>29</v>
      </c>
      <c r="S2040" t="s">
        <v>589</v>
      </c>
      <c r="T2040" t="s">
        <v>590</v>
      </c>
    </row>
    <row r="2041" spans="1:20" x14ac:dyDescent="0.25">
      <c r="A2041" t="s">
        <v>5466</v>
      </c>
      <c r="B2041" t="str">
        <f>"4228"</f>
        <v>4228</v>
      </c>
      <c r="C2041" t="str">
        <f>"410874228"</f>
        <v>410874228</v>
      </c>
      <c r="D2041" t="s">
        <v>5467</v>
      </c>
      <c r="E2041" t="s">
        <v>5468</v>
      </c>
      <c r="F2041" t="s">
        <v>69</v>
      </c>
      <c r="G2041" s="1">
        <v>27157</v>
      </c>
      <c r="H2041" s="1">
        <v>40784</v>
      </c>
      <c r="I2041" t="str">
        <f t="shared" si="44"/>
        <v>51</v>
      </c>
      <c r="J2041" t="s">
        <v>471</v>
      </c>
      <c r="K2041" t="s">
        <v>25</v>
      </c>
      <c r="L2041" t="s">
        <v>26</v>
      </c>
      <c r="M2041" t="s">
        <v>27</v>
      </c>
      <c r="N2041" s="1">
        <v>18629</v>
      </c>
      <c r="O2041">
        <v>0</v>
      </c>
      <c r="P2041">
        <v>0</v>
      </c>
      <c r="Q2041" t="s">
        <v>37</v>
      </c>
      <c r="R2041" t="s">
        <v>71</v>
      </c>
      <c r="S2041" t="s">
        <v>790</v>
      </c>
      <c r="T2041" t="s">
        <v>791</v>
      </c>
    </row>
    <row r="2042" spans="1:20" x14ac:dyDescent="0.25">
      <c r="A2042" t="s">
        <v>5469</v>
      </c>
      <c r="B2042" t="str">
        <f>"0568"</f>
        <v>0568</v>
      </c>
      <c r="C2042" t="str">
        <f>"219590568"</f>
        <v>219590568</v>
      </c>
      <c r="D2042" t="s">
        <v>5470</v>
      </c>
      <c r="E2042" t="s">
        <v>5471</v>
      </c>
      <c r="G2042" s="1">
        <v>25843</v>
      </c>
      <c r="H2042" s="1">
        <v>40784</v>
      </c>
      <c r="I2042" t="str">
        <f t="shared" si="44"/>
        <v>51</v>
      </c>
      <c r="J2042" t="s">
        <v>471</v>
      </c>
      <c r="K2042" t="s">
        <v>25</v>
      </c>
      <c r="L2042" t="s">
        <v>26</v>
      </c>
      <c r="M2042" t="s">
        <v>27</v>
      </c>
      <c r="N2042" s="1">
        <v>18629</v>
      </c>
      <c r="O2042">
        <v>0</v>
      </c>
      <c r="P2042">
        <v>0</v>
      </c>
      <c r="Q2042" t="s">
        <v>28</v>
      </c>
      <c r="R2042" t="s">
        <v>51</v>
      </c>
      <c r="S2042" s="2" t="s">
        <v>3136</v>
      </c>
      <c r="T2042" t="s">
        <v>3137</v>
      </c>
    </row>
    <row r="2043" spans="1:20" x14ac:dyDescent="0.25">
      <c r="A2043" t="s">
        <v>5472</v>
      </c>
      <c r="B2043" t="str">
        <f>"2567"</f>
        <v>2567</v>
      </c>
      <c r="C2043" t="str">
        <f>"298822567"</f>
        <v>298822567</v>
      </c>
      <c r="D2043" t="s">
        <v>5473</v>
      </c>
      <c r="E2043" t="s">
        <v>5474</v>
      </c>
      <c r="F2043" t="s">
        <v>345</v>
      </c>
      <c r="G2043" s="1">
        <v>29490</v>
      </c>
      <c r="H2043" s="1">
        <v>40784</v>
      </c>
      <c r="I2043" t="str">
        <f t="shared" si="44"/>
        <v>51</v>
      </c>
      <c r="J2043" t="s">
        <v>471</v>
      </c>
      <c r="K2043" t="s">
        <v>25</v>
      </c>
      <c r="L2043" t="s">
        <v>26</v>
      </c>
      <c r="M2043" t="s">
        <v>27</v>
      </c>
      <c r="N2043" s="1">
        <v>18629</v>
      </c>
      <c r="O2043">
        <v>0</v>
      </c>
      <c r="P2043">
        <v>0</v>
      </c>
      <c r="Q2043" t="s">
        <v>28</v>
      </c>
      <c r="R2043" t="s">
        <v>71</v>
      </c>
      <c r="S2043" t="s">
        <v>3750</v>
      </c>
      <c r="T2043" t="s">
        <v>3751</v>
      </c>
    </row>
    <row r="2044" spans="1:20" x14ac:dyDescent="0.25">
      <c r="A2044" t="s">
        <v>5475</v>
      </c>
      <c r="B2044" t="str">
        <f>"3365"</f>
        <v>3365</v>
      </c>
      <c r="C2044" t="str">
        <f>"302603365"</f>
        <v>302603365</v>
      </c>
      <c r="D2044" t="s">
        <v>5476</v>
      </c>
      <c r="E2044" t="s">
        <v>609</v>
      </c>
      <c r="F2044" t="s">
        <v>28</v>
      </c>
      <c r="G2044" s="1">
        <v>23426</v>
      </c>
      <c r="H2044" s="1">
        <v>40784</v>
      </c>
      <c r="I2044" t="str">
        <f t="shared" si="44"/>
        <v>51</v>
      </c>
      <c r="J2044" t="s">
        <v>471</v>
      </c>
      <c r="K2044" t="s">
        <v>25</v>
      </c>
      <c r="L2044" t="s">
        <v>26</v>
      </c>
      <c r="M2044" t="s">
        <v>27</v>
      </c>
      <c r="N2044" s="1">
        <v>18629</v>
      </c>
      <c r="O2044">
        <v>0</v>
      </c>
      <c r="P2044">
        <v>0</v>
      </c>
      <c r="Q2044" t="s">
        <v>28</v>
      </c>
      <c r="R2044" t="s">
        <v>71</v>
      </c>
      <c r="S2044" t="s">
        <v>1681</v>
      </c>
      <c r="T2044" t="s">
        <v>1682</v>
      </c>
    </row>
    <row r="2045" spans="1:20" x14ac:dyDescent="0.25">
      <c r="A2045" t="s">
        <v>5477</v>
      </c>
      <c r="B2045" t="str">
        <f>"1795"</f>
        <v>1795</v>
      </c>
      <c r="C2045" t="str">
        <f>"388041795"</f>
        <v>388041795</v>
      </c>
      <c r="D2045" t="s">
        <v>1233</v>
      </c>
      <c r="E2045" t="s">
        <v>213</v>
      </c>
      <c r="F2045" t="s">
        <v>97</v>
      </c>
      <c r="G2045" s="1">
        <v>31013</v>
      </c>
      <c r="H2045" s="1">
        <v>40784</v>
      </c>
      <c r="I2045" t="str">
        <f t="shared" si="44"/>
        <v>51</v>
      </c>
      <c r="J2045" t="s">
        <v>471</v>
      </c>
      <c r="K2045" t="s">
        <v>25</v>
      </c>
      <c r="L2045" t="s">
        <v>26</v>
      </c>
      <c r="M2045" t="s">
        <v>27</v>
      </c>
      <c r="N2045" s="1">
        <v>18629</v>
      </c>
      <c r="O2045">
        <v>0</v>
      </c>
      <c r="P2045">
        <v>0</v>
      </c>
      <c r="Q2045" t="s">
        <v>28</v>
      </c>
      <c r="R2045" t="s">
        <v>29</v>
      </c>
      <c r="S2045" t="s">
        <v>1572</v>
      </c>
      <c r="T2045" t="s">
        <v>1573</v>
      </c>
    </row>
    <row r="2046" spans="1:20" x14ac:dyDescent="0.25">
      <c r="A2046" t="s">
        <v>5478</v>
      </c>
      <c r="B2046" t="str">
        <f>"1645"</f>
        <v>1645</v>
      </c>
      <c r="C2046" t="str">
        <f>"344941645"</f>
        <v>344941645</v>
      </c>
      <c r="D2046" t="s">
        <v>5479</v>
      </c>
      <c r="E2046" t="s">
        <v>4512</v>
      </c>
      <c r="F2046" t="s">
        <v>37</v>
      </c>
      <c r="G2046" s="1">
        <v>23620</v>
      </c>
      <c r="H2046" s="1">
        <v>40784</v>
      </c>
      <c r="I2046" t="str">
        <f t="shared" si="44"/>
        <v>51</v>
      </c>
      <c r="J2046" t="s">
        <v>471</v>
      </c>
      <c r="K2046" t="s">
        <v>25</v>
      </c>
      <c r="L2046" t="s">
        <v>26</v>
      </c>
      <c r="M2046" t="s">
        <v>27</v>
      </c>
      <c r="N2046" s="1">
        <v>18629</v>
      </c>
      <c r="O2046">
        <v>0</v>
      </c>
      <c r="P2046">
        <v>0</v>
      </c>
      <c r="Q2046" t="s">
        <v>28</v>
      </c>
      <c r="R2046" t="s">
        <v>71</v>
      </c>
      <c r="S2046" t="s">
        <v>790</v>
      </c>
      <c r="T2046" t="s">
        <v>791</v>
      </c>
    </row>
    <row r="2047" spans="1:20" x14ac:dyDescent="0.25">
      <c r="A2047" t="s">
        <v>5480</v>
      </c>
      <c r="B2047" t="str">
        <f>"9215"</f>
        <v>9215</v>
      </c>
      <c r="C2047" t="str">
        <f>"291089215"</f>
        <v>291089215</v>
      </c>
      <c r="D2047" t="s">
        <v>5481</v>
      </c>
      <c r="E2047" t="s">
        <v>5482</v>
      </c>
      <c r="F2047" t="s">
        <v>69</v>
      </c>
      <c r="G2047" s="1">
        <v>25333</v>
      </c>
      <c r="H2047" s="1">
        <v>40784</v>
      </c>
      <c r="I2047" t="str">
        <f t="shared" si="44"/>
        <v>51</v>
      </c>
      <c r="J2047" t="s">
        <v>471</v>
      </c>
      <c r="K2047" t="s">
        <v>25</v>
      </c>
      <c r="L2047" t="s">
        <v>26</v>
      </c>
      <c r="M2047" t="s">
        <v>27</v>
      </c>
      <c r="N2047" s="1">
        <v>18629</v>
      </c>
      <c r="O2047">
        <v>0</v>
      </c>
      <c r="P2047">
        <v>0</v>
      </c>
      <c r="Q2047" t="s">
        <v>37</v>
      </c>
      <c r="R2047" t="s">
        <v>51</v>
      </c>
      <c r="S2047" s="2" t="s">
        <v>2202</v>
      </c>
      <c r="T2047" t="s">
        <v>2203</v>
      </c>
    </row>
    <row r="2048" spans="1:20" x14ac:dyDescent="0.25">
      <c r="A2048" t="s">
        <v>5483</v>
      </c>
      <c r="B2048" t="str">
        <f>"2401"</f>
        <v>2401</v>
      </c>
      <c r="C2048" t="str">
        <f>"279062401"</f>
        <v>279062401</v>
      </c>
      <c r="D2048" t="s">
        <v>5484</v>
      </c>
      <c r="E2048" t="s">
        <v>5485</v>
      </c>
      <c r="F2048" t="s">
        <v>438</v>
      </c>
      <c r="G2048" s="1">
        <v>26938</v>
      </c>
      <c r="H2048" s="1">
        <v>40784</v>
      </c>
      <c r="I2048" t="str">
        <f t="shared" si="44"/>
        <v>51</v>
      </c>
      <c r="J2048" t="s">
        <v>471</v>
      </c>
      <c r="K2048" t="s">
        <v>25</v>
      </c>
      <c r="L2048" t="s">
        <v>26</v>
      </c>
      <c r="M2048" t="s">
        <v>27</v>
      </c>
      <c r="N2048" s="1">
        <v>18629</v>
      </c>
      <c r="O2048">
        <v>0</v>
      </c>
      <c r="P2048">
        <v>0</v>
      </c>
      <c r="Q2048" t="s">
        <v>28</v>
      </c>
      <c r="R2048" t="s">
        <v>258</v>
      </c>
      <c r="S2048" t="s">
        <v>5486</v>
      </c>
      <c r="T2048" t="s">
        <v>5487</v>
      </c>
    </row>
    <row r="2049" spans="1:20" x14ac:dyDescent="0.25">
      <c r="A2049" t="s">
        <v>5488</v>
      </c>
      <c r="B2049" t="str">
        <f>"4611"</f>
        <v>4611</v>
      </c>
      <c r="C2049" t="str">
        <f>"385764611"</f>
        <v>385764611</v>
      </c>
      <c r="D2049" t="s">
        <v>5489</v>
      </c>
      <c r="E2049" t="s">
        <v>1942</v>
      </c>
      <c r="F2049" t="s">
        <v>556</v>
      </c>
      <c r="G2049" s="1">
        <v>27852</v>
      </c>
      <c r="H2049" s="1">
        <v>40784</v>
      </c>
      <c r="I2049" t="str">
        <f t="shared" si="44"/>
        <v>51</v>
      </c>
      <c r="J2049" t="s">
        <v>471</v>
      </c>
      <c r="K2049" t="s">
        <v>25</v>
      </c>
      <c r="L2049" t="s">
        <v>26</v>
      </c>
      <c r="M2049" t="s">
        <v>27</v>
      </c>
      <c r="N2049" s="1">
        <v>18629</v>
      </c>
      <c r="O2049">
        <v>0</v>
      </c>
      <c r="P2049">
        <v>0</v>
      </c>
      <c r="Q2049" t="s">
        <v>37</v>
      </c>
      <c r="R2049" t="s">
        <v>51</v>
      </c>
      <c r="S2049" t="s">
        <v>191</v>
      </c>
      <c r="T2049" t="s">
        <v>192</v>
      </c>
    </row>
    <row r="2050" spans="1:20" x14ac:dyDescent="0.25">
      <c r="A2050" t="s">
        <v>5490</v>
      </c>
      <c r="B2050" t="str">
        <f>"0030"</f>
        <v>0030</v>
      </c>
      <c r="C2050" t="str">
        <f>"300860030"</f>
        <v>300860030</v>
      </c>
      <c r="D2050" t="s">
        <v>5491</v>
      </c>
      <c r="E2050" t="s">
        <v>1172</v>
      </c>
      <c r="F2050" t="s">
        <v>165</v>
      </c>
      <c r="G2050" s="1">
        <v>30914</v>
      </c>
      <c r="H2050" s="1">
        <v>40784</v>
      </c>
      <c r="I2050" t="str">
        <f t="shared" si="44"/>
        <v>51</v>
      </c>
      <c r="J2050" t="s">
        <v>471</v>
      </c>
      <c r="K2050" t="s">
        <v>25</v>
      </c>
      <c r="L2050" t="s">
        <v>26</v>
      </c>
      <c r="M2050" t="s">
        <v>27</v>
      </c>
      <c r="N2050" s="1">
        <v>18629</v>
      </c>
      <c r="O2050">
        <v>0</v>
      </c>
      <c r="P2050">
        <v>0</v>
      </c>
      <c r="Q2050" t="s">
        <v>28</v>
      </c>
      <c r="R2050" t="s">
        <v>29</v>
      </c>
      <c r="S2050" t="s">
        <v>1204</v>
      </c>
      <c r="T2050" t="s">
        <v>1205</v>
      </c>
    </row>
    <row r="2051" spans="1:20" x14ac:dyDescent="0.25">
      <c r="A2051" t="s">
        <v>5492</v>
      </c>
      <c r="B2051" t="str">
        <f>"1209"</f>
        <v>1209</v>
      </c>
      <c r="C2051" t="str">
        <f>"285881209"</f>
        <v>285881209</v>
      </c>
      <c r="D2051" t="s">
        <v>5493</v>
      </c>
      <c r="E2051" t="s">
        <v>5494</v>
      </c>
      <c r="F2051" t="s">
        <v>44</v>
      </c>
      <c r="G2051" s="1">
        <v>31617</v>
      </c>
      <c r="H2051" s="1">
        <v>40784</v>
      </c>
      <c r="I2051" t="str">
        <f t="shared" si="44"/>
        <v>51</v>
      </c>
      <c r="J2051" t="s">
        <v>471</v>
      </c>
      <c r="K2051" t="s">
        <v>25</v>
      </c>
      <c r="L2051" t="s">
        <v>26</v>
      </c>
      <c r="M2051" t="s">
        <v>27</v>
      </c>
      <c r="N2051" s="1">
        <v>18629</v>
      </c>
      <c r="O2051">
        <v>0</v>
      </c>
      <c r="P2051">
        <v>0</v>
      </c>
      <c r="Q2051" t="s">
        <v>37</v>
      </c>
      <c r="R2051" t="s">
        <v>71</v>
      </c>
      <c r="S2051" t="s">
        <v>5495</v>
      </c>
      <c r="T2051" t="s">
        <v>5496</v>
      </c>
    </row>
    <row r="2052" spans="1:20" x14ac:dyDescent="0.25">
      <c r="A2052" t="s">
        <v>5497</v>
      </c>
      <c r="B2052" t="str">
        <f>"0425"</f>
        <v>0425</v>
      </c>
      <c r="C2052" t="str">
        <f>"295800425"</f>
        <v>295800425</v>
      </c>
      <c r="D2052" t="s">
        <v>5498</v>
      </c>
      <c r="E2052" t="s">
        <v>1007</v>
      </c>
      <c r="F2052" t="s">
        <v>358</v>
      </c>
      <c r="G2052" s="1">
        <v>28485</v>
      </c>
      <c r="H2052" s="1">
        <v>40784</v>
      </c>
      <c r="I2052" t="str">
        <f t="shared" si="44"/>
        <v>51</v>
      </c>
      <c r="J2052" t="s">
        <v>471</v>
      </c>
      <c r="K2052" t="s">
        <v>25</v>
      </c>
      <c r="L2052" t="s">
        <v>26</v>
      </c>
      <c r="M2052" t="s">
        <v>27</v>
      </c>
      <c r="N2052" s="1">
        <v>18629</v>
      </c>
      <c r="O2052">
        <v>0</v>
      </c>
      <c r="P2052">
        <v>0</v>
      </c>
      <c r="Q2052" t="s">
        <v>37</v>
      </c>
      <c r="R2052" t="s">
        <v>29</v>
      </c>
      <c r="S2052" t="s">
        <v>138</v>
      </c>
      <c r="T2052" t="s">
        <v>139</v>
      </c>
    </row>
    <row r="2053" spans="1:20" x14ac:dyDescent="0.25">
      <c r="A2053" t="s">
        <v>5499</v>
      </c>
      <c r="B2053" t="str">
        <f>"8845"</f>
        <v>8845</v>
      </c>
      <c r="C2053" t="str">
        <f>"300428845"</f>
        <v>300428845</v>
      </c>
      <c r="D2053" t="s">
        <v>5500</v>
      </c>
      <c r="E2053" t="s">
        <v>1487</v>
      </c>
      <c r="F2053" t="s">
        <v>219</v>
      </c>
      <c r="G2053" s="1">
        <v>20538</v>
      </c>
      <c r="H2053" s="1">
        <v>40784</v>
      </c>
      <c r="I2053" t="str">
        <f t="shared" si="44"/>
        <v>51</v>
      </c>
      <c r="J2053" t="s">
        <v>471</v>
      </c>
      <c r="K2053" t="s">
        <v>25</v>
      </c>
      <c r="L2053" t="s">
        <v>26</v>
      </c>
      <c r="M2053" t="s">
        <v>27</v>
      </c>
      <c r="N2053" s="1">
        <v>18629</v>
      </c>
      <c r="O2053">
        <v>0</v>
      </c>
      <c r="P2053">
        <v>0</v>
      </c>
      <c r="Q2053" t="s">
        <v>28</v>
      </c>
      <c r="R2053" t="s">
        <v>71</v>
      </c>
      <c r="S2053" t="s">
        <v>3191</v>
      </c>
      <c r="T2053" t="s">
        <v>3192</v>
      </c>
    </row>
    <row r="2054" spans="1:20" x14ac:dyDescent="0.25">
      <c r="A2054" t="s">
        <v>5501</v>
      </c>
      <c r="B2054" t="str">
        <f>"4983"</f>
        <v>4983</v>
      </c>
      <c r="C2054" t="str">
        <f>"125424983"</f>
        <v>125424983</v>
      </c>
      <c r="D2054" t="s">
        <v>5502</v>
      </c>
      <c r="E2054" t="s">
        <v>184</v>
      </c>
      <c r="G2054" s="1">
        <v>17499</v>
      </c>
      <c r="H2054" s="1">
        <v>40784</v>
      </c>
      <c r="I2054" t="str">
        <f t="shared" si="44"/>
        <v>51</v>
      </c>
      <c r="J2054" t="s">
        <v>471</v>
      </c>
      <c r="K2054" t="s">
        <v>25</v>
      </c>
      <c r="L2054" t="s">
        <v>26</v>
      </c>
      <c r="M2054" t="s">
        <v>27</v>
      </c>
      <c r="N2054" s="1">
        <v>18629</v>
      </c>
      <c r="O2054">
        <v>0</v>
      </c>
      <c r="P2054">
        <v>0</v>
      </c>
      <c r="Q2054" t="s">
        <v>37</v>
      </c>
      <c r="R2054" t="s">
        <v>29</v>
      </c>
      <c r="S2054" t="s">
        <v>138</v>
      </c>
      <c r="T2054" t="s">
        <v>139</v>
      </c>
    </row>
    <row r="2055" spans="1:20" x14ac:dyDescent="0.25">
      <c r="A2055" t="s">
        <v>5503</v>
      </c>
      <c r="B2055" t="str">
        <f>"5809"</f>
        <v>5809</v>
      </c>
      <c r="C2055" t="str">
        <f>"556935809"</f>
        <v>556935809</v>
      </c>
      <c r="D2055" t="s">
        <v>5504</v>
      </c>
      <c r="E2055" t="s">
        <v>1883</v>
      </c>
      <c r="F2055" t="s">
        <v>28</v>
      </c>
      <c r="G2055" s="1">
        <v>27735</v>
      </c>
      <c r="H2055" s="1">
        <v>40784</v>
      </c>
      <c r="I2055" t="str">
        <f t="shared" si="44"/>
        <v>51</v>
      </c>
      <c r="J2055" t="s">
        <v>471</v>
      </c>
      <c r="K2055" t="s">
        <v>25</v>
      </c>
      <c r="L2055" t="s">
        <v>26</v>
      </c>
      <c r="M2055" t="s">
        <v>27</v>
      </c>
      <c r="N2055" s="1">
        <v>18629</v>
      </c>
      <c r="O2055">
        <v>0</v>
      </c>
      <c r="P2055">
        <v>0</v>
      </c>
      <c r="Q2055" t="s">
        <v>37</v>
      </c>
      <c r="R2055" t="s">
        <v>51</v>
      </c>
      <c r="S2055" s="2" t="s">
        <v>5505</v>
      </c>
      <c r="T2055" t="s">
        <v>5506</v>
      </c>
    </row>
    <row r="2056" spans="1:20" x14ac:dyDescent="0.25">
      <c r="A2056" t="s">
        <v>5507</v>
      </c>
      <c r="B2056" t="str">
        <f>"3612"</f>
        <v>3612</v>
      </c>
      <c r="C2056" t="str">
        <f>"275803612"</f>
        <v>275803612</v>
      </c>
      <c r="D2056" t="s">
        <v>5508</v>
      </c>
      <c r="E2056" t="s">
        <v>4192</v>
      </c>
      <c r="F2056" t="s">
        <v>28</v>
      </c>
      <c r="G2056" s="1">
        <v>25461</v>
      </c>
      <c r="H2056" s="1">
        <v>40784</v>
      </c>
      <c r="I2056" t="str">
        <f t="shared" si="44"/>
        <v>51</v>
      </c>
      <c r="J2056" t="s">
        <v>471</v>
      </c>
      <c r="K2056" t="s">
        <v>25</v>
      </c>
      <c r="L2056" t="s">
        <v>26</v>
      </c>
      <c r="M2056" t="s">
        <v>27</v>
      </c>
      <c r="N2056" s="1">
        <v>18629</v>
      </c>
      <c r="O2056">
        <v>0</v>
      </c>
      <c r="P2056">
        <v>0</v>
      </c>
      <c r="Q2056" t="s">
        <v>37</v>
      </c>
      <c r="R2056" t="s">
        <v>51</v>
      </c>
      <c r="S2056" s="2" t="s">
        <v>1522</v>
      </c>
      <c r="T2056" t="s">
        <v>1523</v>
      </c>
    </row>
    <row r="2057" spans="1:20" x14ac:dyDescent="0.25">
      <c r="A2057" t="s">
        <v>5509</v>
      </c>
      <c r="B2057" t="str">
        <f>"7866"</f>
        <v>7866</v>
      </c>
      <c r="C2057" t="str">
        <f>"284707866"</f>
        <v>284707866</v>
      </c>
      <c r="D2057" t="s">
        <v>2620</v>
      </c>
      <c r="E2057" t="s">
        <v>430</v>
      </c>
      <c r="F2057" t="s">
        <v>44</v>
      </c>
      <c r="G2057" s="1">
        <v>21956</v>
      </c>
      <c r="H2057" s="1">
        <v>40784</v>
      </c>
      <c r="I2057" t="str">
        <f t="shared" si="44"/>
        <v>51</v>
      </c>
      <c r="J2057" t="s">
        <v>471</v>
      </c>
      <c r="K2057" t="s">
        <v>25</v>
      </c>
      <c r="L2057" t="s">
        <v>26</v>
      </c>
      <c r="M2057" t="s">
        <v>27</v>
      </c>
      <c r="N2057" s="1">
        <v>18629</v>
      </c>
      <c r="O2057">
        <v>0</v>
      </c>
      <c r="P2057">
        <v>0</v>
      </c>
      <c r="Q2057" t="s">
        <v>28</v>
      </c>
      <c r="R2057" t="s">
        <v>29</v>
      </c>
      <c r="S2057" t="s">
        <v>2458</v>
      </c>
      <c r="T2057" t="s">
        <v>2459</v>
      </c>
    </row>
    <row r="2058" spans="1:20" x14ac:dyDescent="0.25">
      <c r="A2058" t="s">
        <v>5510</v>
      </c>
      <c r="B2058" t="str">
        <f>"3000"</f>
        <v>3000</v>
      </c>
      <c r="C2058" t="str">
        <f>"272403000"</f>
        <v>272403000</v>
      </c>
      <c r="D2058" t="s">
        <v>5511</v>
      </c>
      <c r="E2058" t="s">
        <v>317</v>
      </c>
      <c r="G2058" s="1">
        <v>16346</v>
      </c>
      <c r="H2058" s="1">
        <v>40784</v>
      </c>
      <c r="I2058" t="str">
        <f t="shared" si="44"/>
        <v>51</v>
      </c>
      <c r="J2058" t="s">
        <v>471</v>
      </c>
      <c r="K2058" t="s">
        <v>25</v>
      </c>
      <c r="L2058" t="s">
        <v>26</v>
      </c>
      <c r="M2058" t="s">
        <v>27</v>
      </c>
      <c r="N2058" s="1">
        <v>18629</v>
      </c>
      <c r="O2058">
        <v>0</v>
      </c>
      <c r="P2058">
        <v>0</v>
      </c>
      <c r="Q2058" t="s">
        <v>37</v>
      </c>
      <c r="R2058" t="s">
        <v>29</v>
      </c>
      <c r="S2058" t="s">
        <v>138</v>
      </c>
      <c r="T2058" t="s">
        <v>139</v>
      </c>
    </row>
    <row r="2059" spans="1:20" x14ac:dyDescent="0.25">
      <c r="A2059" t="s">
        <v>5512</v>
      </c>
      <c r="B2059" t="str">
        <f>"7773"</f>
        <v>7773</v>
      </c>
      <c r="C2059" t="str">
        <f>"301427773"</f>
        <v>301427773</v>
      </c>
      <c r="D2059" t="s">
        <v>5513</v>
      </c>
      <c r="E2059" t="s">
        <v>5311</v>
      </c>
      <c r="F2059" t="s">
        <v>276</v>
      </c>
      <c r="G2059" s="1">
        <v>17413</v>
      </c>
      <c r="H2059" s="1">
        <v>40784</v>
      </c>
      <c r="I2059" t="str">
        <f t="shared" si="44"/>
        <v>51</v>
      </c>
      <c r="J2059" t="s">
        <v>471</v>
      </c>
      <c r="K2059" t="s">
        <v>25</v>
      </c>
      <c r="L2059" t="s">
        <v>26</v>
      </c>
      <c r="M2059" t="s">
        <v>27</v>
      </c>
      <c r="N2059" s="1">
        <v>18629</v>
      </c>
      <c r="O2059">
        <v>0</v>
      </c>
      <c r="P2059">
        <v>0</v>
      </c>
      <c r="Q2059" t="s">
        <v>37</v>
      </c>
      <c r="R2059" t="s">
        <v>51</v>
      </c>
      <c r="S2059" s="2" t="s">
        <v>5514</v>
      </c>
      <c r="T2059" t="s">
        <v>5515</v>
      </c>
    </row>
    <row r="2060" spans="1:20" x14ac:dyDescent="0.25">
      <c r="A2060" t="s">
        <v>5516</v>
      </c>
      <c r="B2060" t="str">
        <f>"0366"</f>
        <v>0366</v>
      </c>
      <c r="C2060" t="str">
        <f>"285460366"</f>
        <v>285460366</v>
      </c>
      <c r="D2060" t="s">
        <v>5517</v>
      </c>
      <c r="E2060" t="s">
        <v>756</v>
      </c>
      <c r="F2060" t="s">
        <v>470</v>
      </c>
      <c r="G2060" s="1">
        <v>20919</v>
      </c>
      <c r="H2060" s="1">
        <v>40784</v>
      </c>
      <c r="I2060" t="str">
        <f t="shared" si="44"/>
        <v>51</v>
      </c>
      <c r="J2060" t="s">
        <v>471</v>
      </c>
      <c r="K2060" t="s">
        <v>25</v>
      </c>
      <c r="L2060" t="s">
        <v>26</v>
      </c>
      <c r="M2060" t="s">
        <v>27</v>
      </c>
      <c r="N2060" s="1">
        <v>18629</v>
      </c>
      <c r="O2060">
        <v>0</v>
      </c>
      <c r="P2060">
        <v>0</v>
      </c>
      <c r="Q2060" t="s">
        <v>37</v>
      </c>
      <c r="R2060" t="s">
        <v>71</v>
      </c>
      <c r="S2060" t="s">
        <v>305</v>
      </c>
      <c r="T2060" t="s">
        <v>306</v>
      </c>
    </row>
    <row r="2061" spans="1:20" x14ac:dyDescent="0.25">
      <c r="A2061" t="s">
        <v>5518</v>
      </c>
      <c r="B2061" t="str">
        <f>"8787"</f>
        <v>8787</v>
      </c>
      <c r="C2061" t="str">
        <f>"292668787"</f>
        <v>292668787</v>
      </c>
      <c r="D2061" t="s">
        <v>5519</v>
      </c>
      <c r="E2061" t="s">
        <v>4839</v>
      </c>
      <c r="F2061" t="s">
        <v>1026</v>
      </c>
      <c r="G2061" s="1">
        <v>24222</v>
      </c>
      <c r="H2061" s="1">
        <v>40784</v>
      </c>
      <c r="I2061" t="str">
        <f t="shared" si="44"/>
        <v>51</v>
      </c>
      <c r="J2061" t="s">
        <v>471</v>
      </c>
      <c r="K2061" t="s">
        <v>25</v>
      </c>
      <c r="L2061" t="s">
        <v>26</v>
      </c>
      <c r="M2061" t="s">
        <v>27</v>
      </c>
      <c r="N2061" s="1">
        <v>18629</v>
      </c>
      <c r="O2061">
        <v>0</v>
      </c>
      <c r="P2061">
        <v>0</v>
      </c>
      <c r="Q2061" t="s">
        <v>37</v>
      </c>
      <c r="R2061" t="s">
        <v>29</v>
      </c>
      <c r="S2061" t="s">
        <v>717</v>
      </c>
      <c r="T2061" t="s">
        <v>718</v>
      </c>
    </row>
    <row r="2062" spans="1:20" x14ac:dyDescent="0.25">
      <c r="A2062" t="s">
        <v>5520</v>
      </c>
      <c r="B2062" t="str">
        <f>"5089"</f>
        <v>5089</v>
      </c>
      <c r="C2062" t="str">
        <f>"296965089"</f>
        <v>296965089</v>
      </c>
      <c r="D2062" t="s">
        <v>5521</v>
      </c>
      <c r="E2062" t="s">
        <v>2725</v>
      </c>
      <c r="F2062" t="s">
        <v>28</v>
      </c>
      <c r="G2062" s="1">
        <v>30057</v>
      </c>
      <c r="H2062" s="1">
        <v>40784</v>
      </c>
      <c r="I2062" t="str">
        <f t="shared" si="44"/>
        <v>51</v>
      </c>
      <c r="J2062" t="s">
        <v>471</v>
      </c>
      <c r="K2062" t="s">
        <v>25</v>
      </c>
      <c r="L2062" t="s">
        <v>26</v>
      </c>
      <c r="M2062" t="s">
        <v>27</v>
      </c>
      <c r="N2062" s="1">
        <v>18629</v>
      </c>
      <c r="O2062">
        <v>0</v>
      </c>
      <c r="P2062">
        <v>0</v>
      </c>
      <c r="Q2062" t="s">
        <v>37</v>
      </c>
      <c r="R2062" t="s">
        <v>71</v>
      </c>
      <c r="S2062" t="s">
        <v>1547</v>
      </c>
      <c r="T2062" t="s">
        <v>1548</v>
      </c>
    </row>
    <row r="2063" spans="1:20" x14ac:dyDescent="0.25">
      <c r="A2063" t="s">
        <v>5522</v>
      </c>
      <c r="B2063" t="str">
        <f>"8531"</f>
        <v>8531</v>
      </c>
      <c r="C2063" t="str">
        <f>"302808531"</f>
        <v>302808531</v>
      </c>
      <c r="D2063" t="s">
        <v>5523</v>
      </c>
      <c r="E2063" t="s">
        <v>1592</v>
      </c>
      <c r="F2063" t="s">
        <v>470</v>
      </c>
      <c r="G2063" s="1">
        <v>28750</v>
      </c>
      <c r="H2063" s="1">
        <v>40784</v>
      </c>
      <c r="I2063" t="str">
        <f t="shared" si="44"/>
        <v>51</v>
      </c>
      <c r="J2063" t="s">
        <v>471</v>
      </c>
      <c r="K2063" t="s">
        <v>25</v>
      </c>
      <c r="L2063" t="s">
        <v>26</v>
      </c>
      <c r="M2063" t="s">
        <v>27</v>
      </c>
      <c r="N2063" s="1">
        <v>18629</v>
      </c>
      <c r="O2063">
        <v>0</v>
      </c>
      <c r="P2063">
        <v>0</v>
      </c>
      <c r="Q2063" t="s">
        <v>37</v>
      </c>
      <c r="R2063" t="s">
        <v>29</v>
      </c>
      <c r="S2063" t="s">
        <v>3609</v>
      </c>
      <c r="T2063" t="s">
        <v>3610</v>
      </c>
    </row>
    <row r="2064" spans="1:20" x14ac:dyDescent="0.25">
      <c r="A2064" t="s">
        <v>5524</v>
      </c>
      <c r="B2064" t="str">
        <f>"7839"</f>
        <v>7839</v>
      </c>
      <c r="C2064" t="str">
        <f>"287807839"</f>
        <v>287807839</v>
      </c>
      <c r="D2064" t="s">
        <v>5525</v>
      </c>
      <c r="E2064" t="s">
        <v>704</v>
      </c>
      <c r="F2064" t="s">
        <v>264</v>
      </c>
      <c r="G2064" s="1">
        <v>28005</v>
      </c>
      <c r="H2064" s="1">
        <v>40784</v>
      </c>
      <c r="I2064" t="str">
        <f t="shared" si="44"/>
        <v>51</v>
      </c>
      <c r="J2064" t="s">
        <v>471</v>
      </c>
      <c r="K2064" t="s">
        <v>25</v>
      </c>
      <c r="L2064" t="s">
        <v>26</v>
      </c>
      <c r="M2064" t="s">
        <v>27</v>
      </c>
      <c r="N2064" s="1">
        <v>18629</v>
      </c>
      <c r="O2064">
        <v>0</v>
      </c>
      <c r="P2064">
        <v>0</v>
      </c>
      <c r="Q2064" t="s">
        <v>28</v>
      </c>
      <c r="R2064" t="s">
        <v>51</v>
      </c>
      <c r="S2064" s="2" t="s">
        <v>2202</v>
      </c>
      <c r="T2064" t="s">
        <v>2203</v>
      </c>
    </row>
    <row r="2065" spans="1:20" x14ac:dyDescent="0.25">
      <c r="A2065" t="s">
        <v>5526</v>
      </c>
      <c r="B2065" t="str">
        <f>"6452"</f>
        <v>6452</v>
      </c>
      <c r="C2065" t="str">
        <f>"273526452"</f>
        <v>273526452</v>
      </c>
      <c r="D2065" t="s">
        <v>5527</v>
      </c>
      <c r="E2065" t="s">
        <v>2450</v>
      </c>
      <c r="F2065" t="s">
        <v>28</v>
      </c>
      <c r="G2065" s="1">
        <v>19010</v>
      </c>
      <c r="H2065" s="1">
        <v>40784</v>
      </c>
      <c r="I2065" t="str">
        <f t="shared" si="44"/>
        <v>51</v>
      </c>
      <c r="J2065" t="s">
        <v>471</v>
      </c>
      <c r="K2065" t="s">
        <v>25</v>
      </c>
      <c r="L2065" t="s">
        <v>26</v>
      </c>
      <c r="M2065" t="s">
        <v>27</v>
      </c>
      <c r="N2065" s="1">
        <v>18629</v>
      </c>
      <c r="O2065">
        <v>0</v>
      </c>
      <c r="P2065">
        <v>0</v>
      </c>
      <c r="Q2065" t="s">
        <v>37</v>
      </c>
      <c r="R2065" t="s">
        <v>29</v>
      </c>
      <c r="S2065" t="s">
        <v>801</v>
      </c>
      <c r="T2065" t="s">
        <v>802</v>
      </c>
    </row>
    <row r="2066" spans="1:20" x14ac:dyDescent="0.25">
      <c r="A2066" t="s">
        <v>5528</v>
      </c>
      <c r="B2066" t="str">
        <f>"6487"</f>
        <v>6487</v>
      </c>
      <c r="C2066" t="str">
        <f>"297766487"</f>
        <v>297766487</v>
      </c>
      <c r="D2066" t="s">
        <v>5529</v>
      </c>
      <c r="E2066" t="s">
        <v>263</v>
      </c>
      <c r="F2066" t="s">
        <v>667</v>
      </c>
      <c r="G2066" s="1">
        <v>29343</v>
      </c>
      <c r="H2066" s="1">
        <v>40784</v>
      </c>
      <c r="I2066" t="str">
        <f t="shared" si="44"/>
        <v>51</v>
      </c>
      <c r="J2066" t="s">
        <v>471</v>
      </c>
      <c r="K2066" t="s">
        <v>25</v>
      </c>
      <c r="L2066" t="s">
        <v>26</v>
      </c>
      <c r="M2066" t="s">
        <v>27</v>
      </c>
      <c r="N2066" s="1">
        <v>18629</v>
      </c>
      <c r="O2066">
        <v>0</v>
      </c>
      <c r="P2066">
        <v>0</v>
      </c>
      <c r="Q2066" t="s">
        <v>28</v>
      </c>
      <c r="R2066" t="s">
        <v>51</v>
      </c>
      <c r="S2066" s="2" t="s">
        <v>2318</v>
      </c>
      <c r="T2066" t="s">
        <v>2319</v>
      </c>
    </row>
    <row r="2067" spans="1:20" x14ac:dyDescent="0.25">
      <c r="A2067" t="s">
        <v>5530</v>
      </c>
      <c r="B2067" t="str">
        <f>"0512"</f>
        <v>0512</v>
      </c>
      <c r="C2067" t="str">
        <f>"278800512"</f>
        <v>278800512</v>
      </c>
      <c r="D2067" t="s">
        <v>5531</v>
      </c>
      <c r="E2067" t="s">
        <v>5532</v>
      </c>
      <c r="F2067" t="s">
        <v>28</v>
      </c>
      <c r="G2067" s="1">
        <v>30052</v>
      </c>
      <c r="H2067" s="1">
        <v>40784</v>
      </c>
      <c r="I2067" t="str">
        <f t="shared" si="44"/>
        <v>51</v>
      </c>
      <c r="J2067" t="s">
        <v>471</v>
      </c>
      <c r="K2067" t="s">
        <v>25</v>
      </c>
      <c r="L2067" t="s">
        <v>26</v>
      </c>
      <c r="M2067" t="s">
        <v>27</v>
      </c>
      <c r="N2067" s="1">
        <v>18629</v>
      </c>
      <c r="O2067">
        <v>0</v>
      </c>
      <c r="P2067">
        <v>0</v>
      </c>
      <c r="Q2067" t="s">
        <v>37</v>
      </c>
      <c r="R2067" t="s">
        <v>29</v>
      </c>
      <c r="S2067" t="s">
        <v>138</v>
      </c>
      <c r="T2067" t="s">
        <v>139</v>
      </c>
    </row>
    <row r="2068" spans="1:20" x14ac:dyDescent="0.25">
      <c r="A2068" t="s">
        <v>5533</v>
      </c>
      <c r="B2068" t="str">
        <f>"7258"</f>
        <v>7258</v>
      </c>
      <c r="C2068" t="str">
        <f>"276767258"</f>
        <v>276767258</v>
      </c>
      <c r="D2068" t="s">
        <v>1032</v>
      </c>
      <c r="E2068" t="s">
        <v>322</v>
      </c>
      <c r="G2068" s="1">
        <v>28891</v>
      </c>
      <c r="H2068" s="1">
        <v>40780</v>
      </c>
      <c r="I2068" t="str">
        <f>"12"</f>
        <v>12</v>
      </c>
      <c r="J2068" t="s">
        <v>245</v>
      </c>
      <c r="K2068" t="s">
        <v>98</v>
      </c>
      <c r="L2068" t="s">
        <v>37</v>
      </c>
      <c r="M2068" t="s">
        <v>99</v>
      </c>
      <c r="N2068" s="1">
        <v>41617</v>
      </c>
      <c r="O2068">
        <v>14801.8</v>
      </c>
      <c r="P2068">
        <v>3700.32</v>
      </c>
      <c r="Q2068" t="s">
        <v>37</v>
      </c>
      <c r="R2068" t="s">
        <v>51</v>
      </c>
      <c r="S2068" s="2" t="s">
        <v>742</v>
      </c>
      <c r="T2068" t="s">
        <v>743</v>
      </c>
    </row>
    <row r="2069" spans="1:20" x14ac:dyDescent="0.25">
      <c r="A2069" t="s">
        <v>5534</v>
      </c>
      <c r="B2069" t="str">
        <f>"1193"</f>
        <v>1193</v>
      </c>
      <c r="C2069" t="str">
        <f>"299461193"</f>
        <v>299461193</v>
      </c>
      <c r="D2069" t="s">
        <v>5535</v>
      </c>
      <c r="E2069" t="s">
        <v>1074</v>
      </c>
      <c r="F2069" t="s">
        <v>317</v>
      </c>
      <c r="G2069" s="1">
        <v>18221</v>
      </c>
      <c r="H2069" s="1">
        <v>40780</v>
      </c>
      <c r="I2069" t="str">
        <f>"20"</f>
        <v>20</v>
      </c>
      <c r="J2069" t="s">
        <v>123</v>
      </c>
      <c r="K2069" t="s">
        <v>98</v>
      </c>
      <c r="L2069" t="s">
        <v>37</v>
      </c>
      <c r="M2069" t="s">
        <v>117</v>
      </c>
      <c r="N2069" s="1">
        <v>41631</v>
      </c>
      <c r="O2069">
        <v>4951.9799999999996</v>
      </c>
      <c r="P2069">
        <v>1237.94</v>
      </c>
      <c r="Q2069" t="s">
        <v>37</v>
      </c>
      <c r="R2069" t="s">
        <v>29</v>
      </c>
      <c r="S2069" t="s">
        <v>1427</v>
      </c>
      <c r="T2069" t="s">
        <v>1428</v>
      </c>
    </row>
    <row r="2070" spans="1:20" x14ac:dyDescent="0.25">
      <c r="A2070" t="s">
        <v>5536</v>
      </c>
      <c r="B2070" t="str">
        <f>"0555"</f>
        <v>0555</v>
      </c>
      <c r="C2070" t="str">
        <f>"509880555"</f>
        <v>509880555</v>
      </c>
      <c r="D2070" t="s">
        <v>5537</v>
      </c>
      <c r="E2070" t="s">
        <v>5538</v>
      </c>
      <c r="F2070" t="s">
        <v>256</v>
      </c>
      <c r="G2070" s="1">
        <v>25448</v>
      </c>
      <c r="H2070" s="1">
        <v>40780</v>
      </c>
      <c r="I2070" t="str">
        <f>"51"</f>
        <v>51</v>
      </c>
      <c r="J2070" t="s">
        <v>471</v>
      </c>
      <c r="K2070" t="s">
        <v>25</v>
      </c>
      <c r="L2070" t="s">
        <v>26</v>
      </c>
      <c r="M2070" t="s">
        <v>27</v>
      </c>
      <c r="N2070" s="1">
        <v>18629</v>
      </c>
      <c r="O2070">
        <v>0</v>
      </c>
      <c r="P2070">
        <v>0</v>
      </c>
      <c r="Q2070" t="s">
        <v>37</v>
      </c>
      <c r="R2070" t="s">
        <v>29</v>
      </c>
      <c r="S2070" t="s">
        <v>138</v>
      </c>
      <c r="T2070" t="s">
        <v>139</v>
      </c>
    </row>
    <row r="2071" spans="1:20" x14ac:dyDescent="0.25">
      <c r="A2071" t="s">
        <v>5539</v>
      </c>
      <c r="B2071" t="str">
        <f>"8832"</f>
        <v>8832</v>
      </c>
      <c r="C2071" t="str">
        <f>"289748832"</f>
        <v>289748832</v>
      </c>
      <c r="D2071" t="s">
        <v>5540</v>
      </c>
      <c r="E2071" t="s">
        <v>2290</v>
      </c>
      <c r="F2071" t="s">
        <v>93</v>
      </c>
      <c r="G2071" s="1">
        <v>23607</v>
      </c>
      <c r="H2071" s="1">
        <v>40780</v>
      </c>
      <c r="I2071" t="str">
        <f>"20"</f>
        <v>20</v>
      </c>
      <c r="J2071" t="s">
        <v>123</v>
      </c>
      <c r="K2071" t="s">
        <v>98</v>
      </c>
      <c r="L2071" t="s">
        <v>37</v>
      </c>
      <c r="M2071" t="s">
        <v>117</v>
      </c>
      <c r="N2071" s="1">
        <v>41631</v>
      </c>
      <c r="O2071">
        <v>4951.9799999999996</v>
      </c>
      <c r="P2071">
        <v>1237.94</v>
      </c>
      <c r="Q2071" t="s">
        <v>28</v>
      </c>
      <c r="R2071" t="s">
        <v>29</v>
      </c>
      <c r="S2071" t="s">
        <v>185</v>
      </c>
      <c r="T2071" t="s">
        <v>186</v>
      </c>
    </row>
    <row r="2072" spans="1:20" x14ac:dyDescent="0.25">
      <c r="A2072" t="s">
        <v>5541</v>
      </c>
      <c r="B2072" t="str">
        <f>"8412"</f>
        <v>8412</v>
      </c>
      <c r="C2072" t="str">
        <f>"300368412"</f>
        <v>300368412</v>
      </c>
      <c r="D2072" t="s">
        <v>5542</v>
      </c>
      <c r="E2072" t="s">
        <v>2135</v>
      </c>
      <c r="G2072" s="1">
        <v>16457</v>
      </c>
      <c r="H2072" s="1">
        <v>40778</v>
      </c>
      <c r="I2072" t="str">
        <f>"52"</f>
        <v>52</v>
      </c>
      <c r="J2072" t="s">
        <v>330</v>
      </c>
      <c r="K2072" t="s">
        <v>25</v>
      </c>
      <c r="L2072" t="s">
        <v>26</v>
      </c>
      <c r="M2072" t="s">
        <v>27</v>
      </c>
      <c r="N2072" s="1">
        <v>18629</v>
      </c>
      <c r="O2072">
        <v>0</v>
      </c>
      <c r="P2072">
        <v>0</v>
      </c>
      <c r="Q2072" t="s">
        <v>28</v>
      </c>
      <c r="R2072" t="s">
        <v>599</v>
      </c>
      <c r="S2072" s="2" t="s">
        <v>362</v>
      </c>
      <c r="T2072" t="s">
        <v>363</v>
      </c>
    </row>
    <row r="2073" spans="1:20" x14ac:dyDescent="0.25">
      <c r="A2073" t="s">
        <v>5543</v>
      </c>
      <c r="B2073" t="str">
        <f>"0067"</f>
        <v>0067</v>
      </c>
      <c r="C2073" t="str">
        <f>"274420067"</f>
        <v>274420067</v>
      </c>
      <c r="D2073" t="s">
        <v>5544</v>
      </c>
      <c r="E2073" t="s">
        <v>146</v>
      </c>
      <c r="G2073" s="1">
        <v>18695</v>
      </c>
      <c r="H2073" s="1">
        <v>40778</v>
      </c>
      <c r="I2073" t="str">
        <f>"52"</f>
        <v>52</v>
      </c>
      <c r="J2073" t="s">
        <v>330</v>
      </c>
      <c r="K2073" t="s">
        <v>25</v>
      </c>
      <c r="L2073" t="s">
        <v>26</v>
      </c>
      <c r="M2073" t="s">
        <v>27</v>
      </c>
      <c r="N2073" s="1">
        <v>18629</v>
      </c>
      <c r="O2073">
        <v>0</v>
      </c>
      <c r="P2073">
        <v>0</v>
      </c>
      <c r="Q2073" t="s">
        <v>37</v>
      </c>
      <c r="R2073" t="s">
        <v>51</v>
      </c>
      <c r="S2073" s="2" t="s">
        <v>362</v>
      </c>
      <c r="T2073" t="s">
        <v>363</v>
      </c>
    </row>
    <row r="2074" spans="1:20" x14ac:dyDescent="0.25">
      <c r="A2074" t="s">
        <v>5545</v>
      </c>
      <c r="B2074" t="str">
        <f>"3650"</f>
        <v>3650</v>
      </c>
      <c r="C2074" t="str">
        <f>"237573650"</f>
        <v>237573650</v>
      </c>
      <c r="D2074" t="s">
        <v>5546</v>
      </c>
      <c r="E2074" t="s">
        <v>270</v>
      </c>
      <c r="G2074" s="1">
        <v>27035</v>
      </c>
      <c r="H2074" s="1">
        <v>40778</v>
      </c>
      <c r="I2074" t="str">
        <f>"52"</f>
        <v>52</v>
      </c>
      <c r="J2074" t="s">
        <v>330</v>
      </c>
      <c r="K2074" t="s">
        <v>25</v>
      </c>
      <c r="L2074" t="s">
        <v>26</v>
      </c>
      <c r="M2074" t="s">
        <v>27</v>
      </c>
      <c r="N2074" s="1">
        <v>18629</v>
      </c>
      <c r="O2074">
        <v>0</v>
      </c>
      <c r="P2074">
        <v>0</v>
      </c>
      <c r="Q2074" t="s">
        <v>37</v>
      </c>
      <c r="R2074" t="s">
        <v>51</v>
      </c>
      <c r="S2074" s="2" t="s">
        <v>362</v>
      </c>
      <c r="T2074" t="s">
        <v>363</v>
      </c>
    </row>
    <row r="2075" spans="1:20" x14ac:dyDescent="0.25">
      <c r="A2075" t="s">
        <v>5547</v>
      </c>
      <c r="B2075" t="str">
        <f>"6739"</f>
        <v>6739</v>
      </c>
      <c r="C2075" t="str">
        <f>"297686739"</f>
        <v>297686739</v>
      </c>
      <c r="D2075" t="s">
        <v>5548</v>
      </c>
      <c r="E2075" t="s">
        <v>1399</v>
      </c>
      <c r="F2075" t="s">
        <v>93</v>
      </c>
      <c r="G2075" s="1">
        <v>22939</v>
      </c>
      <c r="H2075" s="1">
        <v>40778</v>
      </c>
      <c r="I2075" t="str">
        <f>"52"</f>
        <v>52</v>
      </c>
      <c r="J2075" t="s">
        <v>330</v>
      </c>
      <c r="K2075" t="s">
        <v>25</v>
      </c>
      <c r="L2075" t="s">
        <v>26</v>
      </c>
      <c r="M2075" t="s">
        <v>27</v>
      </c>
      <c r="N2075" s="1">
        <v>18629</v>
      </c>
      <c r="O2075">
        <v>0</v>
      </c>
      <c r="P2075">
        <v>0</v>
      </c>
      <c r="Q2075" t="s">
        <v>28</v>
      </c>
      <c r="R2075" t="s">
        <v>29</v>
      </c>
      <c r="S2075" s="2" t="s">
        <v>362</v>
      </c>
      <c r="T2075" t="s">
        <v>363</v>
      </c>
    </row>
    <row r="2076" spans="1:20" x14ac:dyDescent="0.25">
      <c r="A2076" t="s">
        <v>5549</v>
      </c>
      <c r="B2076" t="str">
        <f>"7626"</f>
        <v>7626</v>
      </c>
      <c r="C2076" t="str">
        <f>"294667626"</f>
        <v>294667626</v>
      </c>
      <c r="D2076" t="s">
        <v>5550</v>
      </c>
      <c r="E2076" t="s">
        <v>5551</v>
      </c>
      <c r="G2076" s="1">
        <v>22717</v>
      </c>
      <c r="H2076" s="1">
        <v>40778</v>
      </c>
      <c r="I2076" t="str">
        <f>"51"</f>
        <v>51</v>
      </c>
      <c r="J2076" t="s">
        <v>471</v>
      </c>
      <c r="K2076" t="s">
        <v>25</v>
      </c>
      <c r="L2076" t="s">
        <v>26</v>
      </c>
      <c r="M2076" t="s">
        <v>27</v>
      </c>
      <c r="N2076" s="1">
        <v>18629</v>
      </c>
      <c r="O2076">
        <v>0</v>
      </c>
      <c r="P2076">
        <v>0</v>
      </c>
      <c r="Q2076" t="s">
        <v>37</v>
      </c>
      <c r="R2076" t="s">
        <v>29</v>
      </c>
      <c r="S2076" t="s">
        <v>678</v>
      </c>
      <c r="T2076" t="s">
        <v>679</v>
      </c>
    </row>
    <row r="2077" spans="1:20" x14ac:dyDescent="0.25">
      <c r="A2077" t="s">
        <v>5552</v>
      </c>
      <c r="B2077" t="str">
        <f>"5190"</f>
        <v>5190</v>
      </c>
      <c r="C2077" t="str">
        <f>"273265190"</f>
        <v>273265190</v>
      </c>
      <c r="D2077" t="s">
        <v>5553</v>
      </c>
      <c r="E2077" t="s">
        <v>463</v>
      </c>
      <c r="F2077" t="s">
        <v>37</v>
      </c>
      <c r="G2077" s="1">
        <v>11261</v>
      </c>
      <c r="H2077" s="1">
        <v>40778</v>
      </c>
      <c r="I2077" t="str">
        <f>"52"</f>
        <v>52</v>
      </c>
      <c r="J2077" t="s">
        <v>330</v>
      </c>
      <c r="K2077" t="s">
        <v>25</v>
      </c>
      <c r="L2077" t="s">
        <v>26</v>
      </c>
      <c r="M2077" t="s">
        <v>27</v>
      </c>
      <c r="N2077" s="1">
        <v>18629</v>
      </c>
      <c r="O2077">
        <v>0</v>
      </c>
      <c r="P2077">
        <v>0</v>
      </c>
      <c r="Q2077" t="s">
        <v>28</v>
      </c>
      <c r="R2077" t="s">
        <v>71</v>
      </c>
      <c r="S2077" s="2" t="s">
        <v>362</v>
      </c>
      <c r="T2077" t="s">
        <v>363</v>
      </c>
    </row>
    <row r="2078" spans="1:20" x14ac:dyDescent="0.25">
      <c r="A2078" t="s">
        <v>5554</v>
      </c>
      <c r="B2078" t="str">
        <f>"0796"</f>
        <v>0796</v>
      </c>
      <c r="C2078" t="str">
        <f>"291540796"</f>
        <v>291540796</v>
      </c>
      <c r="D2078" t="s">
        <v>5555</v>
      </c>
      <c r="E2078" t="s">
        <v>5556</v>
      </c>
      <c r="F2078" t="s">
        <v>28</v>
      </c>
      <c r="G2078" s="1">
        <v>20190</v>
      </c>
      <c r="H2078" s="1">
        <v>40778</v>
      </c>
      <c r="I2078" t="str">
        <f>"51"</f>
        <v>51</v>
      </c>
      <c r="J2078" t="s">
        <v>471</v>
      </c>
      <c r="K2078" t="s">
        <v>25</v>
      </c>
      <c r="L2078" t="s">
        <v>26</v>
      </c>
      <c r="M2078" t="s">
        <v>27</v>
      </c>
      <c r="N2078" s="1">
        <v>18629</v>
      </c>
      <c r="O2078">
        <v>0</v>
      </c>
      <c r="P2078">
        <v>0</v>
      </c>
      <c r="Q2078" t="s">
        <v>37</v>
      </c>
      <c r="R2078" t="s">
        <v>71</v>
      </c>
      <c r="S2078" s="2" t="s">
        <v>362</v>
      </c>
      <c r="T2078" t="s">
        <v>363</v>
      </c>
    </row>
    <row r="2079" spans="1:20" x14ac:dyDescent="0.25">
      <c r="A2079" t="s">
        <v>5557</v>
      </c>
      <c r="B2079" t="str">
        <f>"7635"</f>
        <v>7635</v>
      </c>
      <c r="C2079" t="str">
        <f>"634047635"</f>
        <v>634047635</v>
      </c>
      <c r="D2079" t="s">
        <v>2020</v>
      </c>
      <c r="E2079" t="s">
        <v>197</v>
      </c>
      <c r="F2079" t="s">
        <v>26</v>
      </c>
      <c r="G2079" s="1">
        <v>28304</v>
      </c>
      <c r="H2079" s="1">
        <v>40777</v>
      </c>
      <c r="I2079" t="str">
        <f>"20"</f>
        <v>20</v>
      </c>
      <c r="J2079" t="s">
        <v>123</v>
      </c>
      <c r="L2079" t="s">
        <v>37</v>
      </c>
      <c r="M2079" t="s">
        <v>143</v>
      </c>
      <c r="N2079" s="1">
        <v>41631</v>
      </c>
      <c r="O2079">
        <v>185.9</v>
      </c>
      <c r="P2079">
        <v>-185.9</v>
      </c>
      <c r="Q2079" t="s">
        <v>28</v>
      </c>
      <c r="R2079" t="s">
        <v>71</v>
      </c>
      <c r="S2079" t="s">
        <v>2602</v>
      </c>
      <c r="T2079" t="s">
        <v>2603</v>
      </c>
    </row>
    <row r="2080" spans="1:20" x14ac:dyDescent="0.25">
      <c r="A2080" t="s">
        <v>5558</v>
      </c>
      <c r="B2080" t="str">
        <f>"5735"</f>
        <v>5735</v>
      </c>
      <c r="C2080" t="str">
        <f>"248135735"</f>
        <v>248135735</v>
      </c>
      <c r="D2080" t="s">
        <v>1156</v>
      </c>
      <c r="E2080" t="s">
        <v>609</v>
      </c>
      <c r="F2080" t="s">
        <v>329</v>
      </c>
      <c r="G2080" s="1">
        <v>21222</v>
      </c>
      <c r="H2080" s="1">
        <v>40777</v>
      </c>
      <c r="I2080" t="str">
        <f>"51"</f>
        <v>51</v>
      </c>
      <c r="J2080" t="s">
        <v>471</v>
      </c>
      <c r="K2080" t="s">
        <v>25</v>
      </c>
      <c r="L2080" t="s">
        <v>26</v>
      </c>
      <c r="M2080" t="s">
        <v>27</v>
      </c>
      <c r="N2080" s="1">
        <v>18629</v>
      </c>
      <c r="O2080">
        <v>0</v>
      </c>
      <c r="P2080">
        <v>0</v>
      </c>
      <c r="Q2080" t="s">
        <v>28</v>
      </c>
      <c r="R2080" t="s">
        <v>29</v>
      </c>
      <c r="S2080" t="s">
        <v>1555</v>
      </c>
      <c r="T2080" t="s">
        <v>1556</v>
      </c>
    </row>
    <row r="2081" spans="1:20" x14ac:dyDescent="0.25">
      <c r="A2081" t="s">
        <v>5559</v>
      </c>
      <c r="B2081" t="str">
        <f>"7427"</f>
        <v>7427</v>
      </c>
      <c r="C2081" t="str">
        <f>"471447427"</f>
        <v>471447427</v>
      </c>
      <c r="D2081" t="s">
        <v>5560</v>
      </c>
      <c r="E2081" t="s">
        <v>5561</v>
      </c>
      <c r="F2081" t="s">
        <v>26</v>
      </c>
      <c r="G2081" s="1">
        <v>14641</v>
      </c>
      <c r="H2081" s="1">
        <v>40777</v>
      </c>
      <c r="I2081" t="str">
        <f>"51"</f>
        <v>51</v>
      </c>
      <c r="J2081" t="s">
        <v>471</v>
      </c>
      <c r="K2081" t="s">
        <v>25</v>
      </c>
      <c r="L2081" t="s">
        <v>26</v>
      </c>
      <c r="M2081" t="s">
        <v>27</v>
      </c>
      <c r="N2081" s="1">
        <v>18629</v>
      </c>
      <c r="O2081">
        <v>0</v>
      </c>
      <c r="P2081">
        <v>0</v>
      </c>
      <c r="Q2081" t="s">
        <v>28</v>
      </c>
      <c r="R2081" t="s">
        <v>71</v>
      </c>
      <c r="S2081" t="s">
        <v>3191</v>
      </c>
      <c r="T2081" t="s">
        <v>3192</v>
      </c>
    </row>
    <row r="2082" spans="1:20" x14ac:dyDescent="0.25">
      <c r="A2082" t="s">
        <v>5562</v>
      </c>
      <c r="B2082" t="str">
        <f>"5528"</f>
        <v>5528</v>
      </c>
      <c r="C2082" t="str">
        <f>"273885528"</f>
        <v>273885528</v>
      </c>
      <c r="D2082" t="s">
        <v>2158</v>
      </c>
      <c r="E2082" t="s">
        <v>5563</v>
      </c>
      <c r="F2082" t="s">
        <v>28</v>
      </c>
      <c r="G2082" s="1">
        <v>27341</v>
      </c>
      <c r="H2082" s="1">
        <v>40777</v>
      </c>
      <c r="I2082" t="str">
        <f>"51"</f>
        <v>51</v>
      </c>
      <c r="J2082" t="s">
        <v>471</v>
      </c>
      <c r="K2082" t="s">
        <v>25</v>
      </c>
      <c r="L2082" t="s">
        <v>26</v>
      </c>
      <c r="M2082" t="s">
        <v>27</v>
      </c>
      <c r="N2082" s="1">
        <v>18629</v>
      </c>
      <c r="O2082">
        <v>0</v>
      </c>
      <c r="P2082">
        <v>0</v>
      </c>
      <c r="Q2082" t="s">
        <v>37</v>
      </c>
      <c r="R2082" t="s">
        <v>258</v>
      </c>
      <c r="S2082" t="s">
        <v>5564</v>
      </c>
      <c r="T2082" t="s">
        <v>5565</v>
      </c>
    </row>
    <row r="2083" spans="1:20" x14ac:dyDescent="0.25">
      <c r="A2083" t="s">
        <v>5566</v>
      </c>
      <c r="B2083" t="str">
        <f>"7563"</f>
        <v>7563</v>
      </c>
      <c r="C2083" t="str">
        <f>"268927563"</f>
        <v>268927563</v>
      </c>
      <c r="D2083" t="s">
        <v>5567</v>
      </c>
      <c r="E2083" t="s">
        <v>5568</v>
      </c>
      <c r="F2083" t="s">
        <v>2075</v>
      </c>
      <c r="G2083" s="1">
        <v>22241</v>
      </c>
      <c r="H2083" s="1">
        <v>40777</v>
      </c>
      <c r="I2083" t="str">
        <f>"51"</f>
        <v>51</v>
      </c>
      <c r="J2083" t="s">
        <v>471</v>
      </c>
      <c r="K2083" t="s">
        <v>25</v>
      </c>
      <c r="L2083" t="s">
        <v>26</v>
      </c>
      <c r="M2083" t="s">
        <v>27</v>
      </c>
      <c r="N2083" s="1">
        <v>18629</v>
      </c>
      <c r="O2083">
        <v>0</v>
      </c>
      <c r="P2083">
        <v>0</v>
      </c>
      <c r="Q2083" t="s">
        <v>37</v>
      </c>
      <c r="R2083" t="s">
        <v>71</v>
      </c>
      <c r="S2083" t="s">
        <v>3963</v>
      </c>
      <c r="T2083" t="s">
        <v>3964</v>
      </c>
    </row>
    <row r="2084" spans="1:20" x14ac:dyDescent="0.25">
      <c r="A2084" t="s">
        <v>5569</v>
      </c>
      <c r="B2084" t="str">
        <f>"2113"</f>
        <v>2113</v>
      </c>
      <c r="C2084" t="str">
        <f>"278602113"</f>
        <v>278602113</v>
      </c>
      <c r="D2084" t="s">
        <v>5570</v>
      </c>
      <c r="E2084" t="s">
        <v>304</v>
      </c>
      <c r="F2084" t="s">
        <v>69</v>
      </c>
      <c r="G2084" s="1">
        <v>20943</v>
      </c>
      <c r="H2084" s="1">
        <v>40777</v>
      </c>
      <c r="I2084" t="str">
        <f>"12"</f>
        <v>12</v>
      </c>
      <c r="J2084" t="s">
        <v>245</v>
      </c>
      <c r="L2084" t="s">
        <v>37</v>
      </c>
      <c r="M2084" t="s">
        <v>143</v>
      </c>
      <c r="N2084" s="1">
        <v>41617</v>
      </c>
      <c r="O2084">
        <v>185.9</v>
      </c>
      <c r="P2084">
        <v>-185.9</v>
      </c>
      <c r="Q2084" t="s">
        <v>28</v>
      </c>
      <c r="R2084" t="s">
        <v>346</v>
      </c>
      <c r="S2084" t="s">
        <v>495</v>
      </c>
      <c r="T2084" t="s">
        <v>496</v>
      </c>
    </row>
    <row r="2085" spans="1:20" x14ac:dyDescent="0.25">
      <c r="A2085" t="s">
        <v>5571</v>
      </c>
      <c r="B2085" t="str">
        <f>"8942"</f>
        <v>8942</v>
      </c>
      <c r="C2085" t="str">
        <f>"129548942"</f>
        <v>129548942</v>
      </c>
      <c r="D2085" t="s">
        <v>1877</v>
      </c>
      <c r="E2085" t="s">
        <v>1886</v>
      </c>
      <c r="F2085" t="s">
        <v>438</v>
      </c>
      <c r="G2085" s="1">
        <v>22465</v>
      </c>
      <c r="H2085" s="1">
        <v>40777</v>
      </c>
      <c r="I2085" t="str">
        <f>"01"</f>
        <v>01</v>
      </c>
      <c r="J2085" t="s">
        <v>116</v>
      </c>
      <c r="K2085" t="s">
        <v>98</v>
      </c>
      <c r="L2085" t="s">
        <v>37</v>
      </c>
      <c r="M2085" t="s">
        <v>99</v>
      </c>
      <c r="N2085" s="1">
        <v>41617</v>
      </c>
      <c r="O2085">
        <v>14801.8</v>
      </c>
      <c r="P2085">
        <v>3700.32</v>
      </c>
      <c r="Q2085" t="s">
        <v>37</v>
      </c>
      <c r="R2085" t="s">
        <v>110</v>
      </c>
      <c r="S2085" t="s">
        <v>3017</v>
      </c>
      <c r="T2085" t="s">
        <v>3018</v>
      </c>
    </row>
    <row r="2086" spans="1:20" x14ac:dyDescent="0.25">
      <c r="A2086" t="s">
        <v>5572</v>
      </c>
      <c r="B2086" t="str">
        <f>"5568"</f>
        <v>5568</v>
      </c>
      <c r="C2086" t="str">
        <f>"578065568"</f>
        <v>578065568</v>
      </c>
      <c r="D2086" t="s">
        <v>2567</v>
      </c>
      <c r="E2086" t="s">
        <v>5573</v>
      </c>
      <c r="G2086" s="1">
        <v>18727</v>
      </c>
      <c r="H2086" s="1">
        <v>40777</v>
      </c>
      <c r="I2086" t="str">
        <f>"15"</f>
        <v>15</v>
      </c>
      <c r="J2086" t="s">
        <v>36</v>
      </c>
      <c r="K2086" t="s">
        <v>98</v>
      </c>
      <c r="L2086" t="s">
        <v>37</v>
      </c>
      <c r="M2086" t="s">
        <v>117</v>
      </c>
      <c r="N2086" s="1">
        <v>41617</v>
      </c>
      <c r="O2086">
        <v>4951.96</v>
      </c>
      <c r="P2086">
        <v>1237.8599999999999</v>
      </c>
      <c r="Q2086" t="s">
        <v>37</v>
      </c>
      <c r="R2086" t="s">
        <v>29</v>
      </c>
      <c r="S2086" t="s">
        <v>30</v>
      </c>
      <c r="T2086" t="s">
        <v>31</v>
      </c>
    </row>
    <row r="2087" spans="1:20" x14ac:dyDescent="0.25">
      <c r="A2087" t="s">
        <v>5574</v>
      </c>
      <c r="B2087" t="str">
        <f>"8337"</f>
        <v>8337</v>
      </c>
      <c r="C2087" t="str">
        <f>"111808337"</f>
        <v>111808337</v>
      </c>
      <c r="D2087" t="s">
        <v>3696</v>
      </c>
      <c r="E2087" t="s">
        <v>549</v>
      </c>
      <c r="F2087" t="s">
        <v>28</v>
      </c>
      <c r="G2087" s="1">
        <v>26578</v>
      </c>
      <c r="H2087" s="1">
        <v>40777</v>
      </c>
      <c r="I2087" t="str">
        <f>"15"</f>
        <v>15</v>
      </c>
      <c r="J2087" t="s">
        <v>36</v>
      </c>
      <c r="K2087" t="s">
        <v>510</v>
      </c>
      <c r="L2087" t="s">
        <v>37</v>
      </c>
      <c r="M2087" t="s">
        <v>117</v>
      </c>
      <c r="N2087" s="1">
        <v>41617</v>
      </c>
      <c r="O2087">
        <v>6477.12</v>
      </c>
      <c r="P2087">
        <v>1619.28</v>
      </c>
      <c r="Q2087" t="s">
        <v>28</v>
      </c>
      <c r="R2087" t="s">
        <v>29</v>
      </c>
      <c r="S2087" t="s">
        <v>240</v>
      </c>
      <c r="T2087" t="s">
        <v>241</v>
      </c>
    </row>
    <row r="2088" spans="1:20" x14ac:dyDescent="0.25">
      <c r="A2088" t="s">
        <v>5575</v>
      </c>
      <c r="B2088" t="str">
        <f>"9409"</f>
        <v>9409</v>
      </c>
      <c r="C2088" t="str">
        <f>"299709409"</f>
        <v>299709409</v>
      </c>
      <c r="D2088" t="s">
        <v>5576</v>
      </c>
      <c r="E2088" t="s">
        <v>2483</v>
      </c>
      <c r="F2088" t="s">
        <v>28</v>
      </c>
      <c r="G2088" s="1">
        <v>23335</v>
      </c>
      <c r="H2088" s="1">
        <v>40777</v>
      </c>
      <c r="I2088" t="str">
        <f>"51"</f>
        <v>51</v>
      </c>
      <c r="J2088" t="s">
        <v>471</v>
      </c>
      <c r="K2088" t="s">
        <v>25</v>
      </c>
      <c r="L2088" t="s">
        <v>26</v>
      </c>
      <c r="M2088" t="s">
        <v>27</v>
      </c>
      <c r="N2088" s="1">
        <v>18629</v>
      </c>
      <c r="O2088">
        <v>0</v>
      </c>
      <c r="P2088">
        <v>0</v>
      </c>
      <c r="Q2088" t="s">
        <v>37</v>
      </c>
      <c r="R2088" t="s">
        <v>71</v>
      </c>
      <c r="S2088" t="s">
        <v>157</v>
      </c>
      <c r="T2088" t="s">
        <v>158</v>
      </c>
    </row>
    <row r="2089" spans="1:20" x14ac:dyDescent="0.25">
      <c r="A2089" t="s">
        <v>5577</v>
      </c>
      <c r="B2089" t="str">
        <f>"3048"</f>
        <v>3048</v>
      </c>
      <c r="C2089" t="str">
        <f>"296583048"</f>
        <v>296583048</v>
      </c>
      <c r="D2089" t="s">
        <v>5578</v>
      </c>
      <c r="E2089" t="s">
        <v>5579</v>
      </c>
      <c r="F2089" t="s">
        <v>264</v>
      </c>
      <c r="G2089" s="1">
        <v>25734</v>
      </c>
      <c r="H2089" s="1">
        <v>40777</v>
      </c>
      <c r="I2089" t="str">
        <f>"51"</f>
        <v>51</v>
      </c>
      <c r="J2089" t="s">
        <v>471</v>
      </c>
      <c r="K2089" t="s">
        <v>25</v>
      </c>
      <c r="L2089" t="s">
        <v>26</v>
      </c>
      <c r="M2089" t="s">
        <v>27</v>
      </c>
      <c r="N2089" s="1">
        <v>18629</v>
      </c>
      <c r="O2089">
        <v>0</v>
      </c>
      <c r="P2089">
        <v>0</v>
      </c>
      <c r="Q2089" t="s">
        <v>28</v>
      </c>
      <c r="R2089" t="s">
        <v>29</v>
      </c>
      <c r="S2089" t="s">
        <v>3671</v>
      </c>
      <c r="T2089" t="s">
        <v>3672</v>
      </c>
    </row>
    <row r="2090" spans="1:20" x14ac:dyDescent="0.25">
      <c r="A2090" t="s">
        <v>5580</v>
      </c>
      <c r="B2090" t="str">
        <f>"0285"</f>
        <v>0285</v>
      </c>
      <c r="C2090" t="str">
        <f>"272440285"</f>
        <v>272440285</v>
      </c>
      <c r="D2090" t="s">
        <v>5581</v>
      </c>
      <c r="E2090" t="s">
        <v>197</v>
      </c>
      <c r="G2090" s="1">
        <v>21487</v>
      </c>
      <c r="H2090" s="1">
        <v>40774</v>
      </c>
      <c r="I2090" t="str">
        <f>"20"</f>
        <v>20</v>
      </c>
      <c r="J2090" t="s">
        <v>123</v>
      </c>
      <c r="K2090" t="s">
        <v>98</v>
      </c>
      <c r="L2090" t="s">
        <v>37</v>
      </c>
      <c r="M2090" t="s">
        <v>99</v>
      </c>
      <c r="N2090" s="1">
        <v>41631</v>
      </c>
      <c r="O2090">
        <v>14801.82</v>
      </c>
      <c r="P2090">
        <v>3700.4</v>
      </c>
      <c r="Q2090" t="s">
        <v>28</v>
      </c>
      <c r="R2090" t="s">
        <v>71</v>
      </c>
      <c r="S2090" t="s">
        <v>4234</v>
      </c>
      <c r="T2090" t="s">
        <v>4235</v>
      </c>
    </row>
    <row r="2091" spans="1:20" x14ac:dyDescent="0.25">
      <c r="A2091" t="s">
        <v>5582</v>
      </c>
      <c r="B2091" t="str">
        <f>"6342"</f>
        <v>6342</v>
      </c>
      <c r="C2091" t="str">
        <f>"054686342"</f>
        <v>054686342</v>
      </c>
      <c r="D2091" t="s">
        <v>5583</v>
      </c>
      <c r="E2091" t="s">
        <v>4227</v>
      </c>
      <c r="G2091" s="1">
        <v>28690</v>
      </c>
      <c r="H2091" s="1">
        <v>40774</v>
      </c>
      <c r="I2091" t="str">
        <f>"20"</f>
        <v>20</v>
      </c>
      <c r="J2091" t="s">
        <v>123</v>
      </c>
      <c r="L2091" t="s">
        <v>37</v>
      </c>
      <c r="M2091" t="s">
        <v>143</v>
      </c>
      <c r="N2091" s="1">
        <v>41631</v>
      </c>
      <c r="O2091">
        <v>185.9</v>
      </c>
      <c r="P2091">
        <v>-185.9</v>
      </c>
      <c r="Q2091" t="s">
        <v>37</v>
      </c>
      <c r="R2091" t="s">
        <v>29</v>
      </c>
      <c r="S2091" t="s">
        <v>1555</v>
      </c>
      <c r="T2091" t="s">
        <v>1556</v>
      </c>
    </row>
    <row r="2092" spans="1:20" x14ac:dyDescent="0.25">
      <c r="A2092" t="s">
        <v>5584</v>
      </c>
      <c r="B2092" t="str">
        <f>"6993"</f>
        <v>6993</v>
      </c>
      <c r="C2092" t="str">
        <f>"301686993"</f>
        <v>301686993</v>
      </c>
      <c r="D2092" t="s">
        <v>327</v>
      </c>
      <c r="E2092" t="s">
        <v>3670</v>
      </c>
      <c r="G2092" s="1">
        <v>22607</v>
      </c>
      <c r="H2092" s="1">
        <v>40771</v>
      </c>
      <c r="I2092" t="str">
        <f>"52"</f>
        <v>52</v>
      </c>
      <c r="J2092" t="s">
        <v>330</v>
      </c>
      <c r="K2092" t="s">
        <v>25</v>
      </c>
      <c r="L2092" t="s">
        <v>26</v>
      </c>
      <c r="M2092" t="s">
        <v>27</v>
      </c>
      <c r="N2092" s="1">
        <v>18629</v>
      </c>
      <c r="O2092">
        <v>0</v>
      </c>
      <c r="P2092">
        <v>0</v>
      </c>
      <c r="Q2092" t="s">
        <v>37</v>
      </c>
      <c r="R2092" t="s">
        <v>312</v>
      </c>
      <c r="S2092" t="s">
        <v>2038</v>
      </c>
      <c r="T2092" t="s">
        <v>2039</v>
      </c>
    </row>
    <row r="2093" spans="1:20" x14ac:dyDescent="0.25">
      <c r="A2093" t="s">
        <v>5585</v>
      </c>
      <c r="B2093" t="str">
        <f>"4182"</f>
        <v>4182</v>
      </c>
      <c r="C2093" t="str">
        <f>"286564182"</f>
        <v>286564182</v>
      </c>
      <c r="D2093" t="s">
        <v>5586</v>
      </c>
      <c r="E2093" t="s">
        <v>2463</v>
      </c>
      <c r="F2093" t="s">
        <v>93</v>
      </c>
      <c r="G2093" s="1">
        <v>20789</v>
      </c>
      <c r="H2093" s="1">
        <v>40771</v>
      </c>
      <c r="I2093" t="str">
        <f>"52"</f>
        <v>52</v>
      </c>
      <c r="J2093" t="s">
        <v>330</v>
      </c>
      <c r="K2093" t="s">
        <v>25</v>
      </c>
      <c r="L2093" t="s">
        <v>26</v>
      </c>
      <c r="M2093" t="s">
        <v>27</v>
      </c>
      <c r="N2093" s="1">
        <v>18629</v>
      </c>
      <c r="O2093">
        <v>0</v>
      </c>
      <c r="P2093">
        <v>0</v>
      </c>
      <c r="Q2093" t="s">
        <v>37</v>
      </c>
      <c r="R2093" t="s">
        <v>312</v>
      </c>
      <c r="S2093" t="s">
        <v>2038</v>
      </c>
      <c r="T2093" t="s">
        <v>2039</v>
      </c>
    </row>
    <row r="2094" spans="1:20" x14ac:dyDescent="0.25">
      <c r="A2094" t="s">
        <v>5587</v>
      </c>
      <c r="B2094" t="str">
        <f>"9238"</f>
        <v>9238</v>
      </c>
      <c r="C2094" t="str">
        <f>"274889238"</f>
        <v>274889238</v>
      </c>
      <c r="D2094" t="s">
        <v>1816</v>
      </c>
      <c r="E2094" t="s">
        <v>33</v>
      </c>
      <c r="G2094" s="1">
        <v>29793</v>
      </c>
      <c r="H2094" s="1">
        <v>40770</v>
      </c>
      <c r="I2094" t="str">
        <f>"08"</f>
        <v>08</v>
      </c>
      <c r="J2094" t="s">
        <v>265</v>
      </c>
      <c r="K2094" t="s">
        <v>98</v>
      </c>
      <c r="L2094" t="s">
        <v>37</v>
      </c>
      <c r="M2094" t="s">
        <v>117</v>
      </c>
      <c r="N2094" s="1">
        <v>41617</v>
      </c>
      <c r="O2094">
        <v>4951.96</v>
      </c>
      <c r="P2094">
        <v>1237.8599999999999</v>
      </c>
      <c r="Q2094" t="s">
        <v>28</v>
      </c>
      <c r="R2094" t="s">
        <v>71</v>
      </c>
      <c r="S2094" t="s">
        <v>5588</v>
      </c>
      <c r="T2094" t="s">
        <v>5589</v>
      </c>
    </row>
    <row r="2095" spans="1:20" x14ac:dyDescent="0.25">
      <c r="A2095" t="s">
        <v>5590</v>
      </c>
      <c r="B2095" t="str">
        <f>"5449"</f>
        <v>5449</v>
      </c>
      <c r="C2095" t="str">
        <f>"287525449"</f>
        <v>287525449</v>
      </c>
      <c r="D2095" t="s">
        <v>5591</v>
      </c>
      <c r="E2095" t="s">
        <v>756</v>
      </c>
      <c r="G2095" s="1">
        <v>18688</v>
      </c>
      <c r="H2095" s="1">
        <v>40770</v>
      </c>
      <c r="I2095" t="str">
        <f>"03"</f>
        <v>03</v>
      </c>
      <c r="J2095" t="s">
        <v>70</v>
      </c>
      <c r="K2095" t="s">
        <v>98</v>
      </c>
      <c r="L2095" t="s">
        <v>37</v>
      </c>
      <c r="M2095" t="s">
        <v>117</v>
      </c>
      <c r="N2095" s="1">
        <v>41617</v>
      </c>
      <c r="O2095">
        <v>4951.96</v>
      </c>
      <c r="P2095">
        <v>1237.8599999999999</v>
      </c>
      <c r="Q2095" t="s">
        <v>37</v>
      </c>
      <c r="R2095" t="s">
        <v>5592</v>
      </c>
      <c r="S2095" t="s">
        <v>929</v>
      </c>
      <c r="T2095" t="s">
        <v>930</v>
      </c>
    </row>
    <row r="2096" spans="1:20" x14ac:dyDescent="0.25">
      <c r="A2096" t="s">
        <v>5593</v>
      </c>
      <c r="B2096" t="str">
        <f>"1378"</f>
        <v>1378</v>
      </c>
      <c r="C2096" t="str">
        <f>"300681378"</f>
        <v>300681378</v>
      </c>
      <c r="D2096" t="s">
        <v>5594</v>
      </c>
      <c r="E2096" t="s">
        <v>1074</v>
      </c>
      <c r="G2096" s="1">
        <v>21915</v>
      </c>
      <c r="H2096" s="1">
        <v>40770</v>
      </c>
      <c r="I2096" t="str">
        <f>"03"</f>
        <v>03</v>
      </c>
      <c r="J2096" t="s">
        <v>70</v>
      </c>
      <c r="K2096" t="s">
        <v>98</v>
      </c>
      <c r="L2096" t="s">
        <v>37</v>
      </c>
      <c r="M2096" t="s">
        <v>117</v>
      </c>
      <c r="N2096" s="1">
        <v>41617</v>
      </c>
      <c r="O2096">
        <v>4951.96</v>
      </c>
      <c r="P2096">
        <v>1237.8599999999999</v>
      </c>
      <c r="Q2096" t="s">
        <v>37</v>
      </c>
      <c r="R2096" t="s">
        <v>38</v>
      </c>
      <c r="S2096" t="s">
        <v>1819</v>
      </c>
      <c r="T2096" t="s">
        <v>1820</v>
      </c>
    </row>
    <row r="2097" spans="1:20" x14ac:dyDescent="0.25">
      <c r="A2097" t="s">
        <v>5595</v>
      </c>
      <c r="B2097" t="str">
        <f>"5725"</f>
        <v>5725</v>
      </c>
      <c r="C2097" t="str">
        <f>"301645725"</f>
        <v>301645725</v>
      </c>
      <c r="D2097" t="s">
        <v>5596</v>
      </c>
      <c r="E2097" t="s">
        <v>263</v>
      </c>
      <c r="F2097" t="s">
        <v>93</v>
      </c>
      <c r="G2097" s="1">
        <v>23480</v>
      </c>
      <c r="H2097" s="1">
        <v>40769</v>
      </c>
      <c r="I2097" t="str">
        <f>"52"</f>
        <v>52</v>
      </c>
      <c r="J2097" t="s">
        <v>330</v>
      </c>
      <c r="K2097" t="s">
        <v>25</v>
      </c>
      <c r="L2097" t="s">
        <v>26</v>
      </c>
      <c r="M2097" t="s">
        <v>27</v>
      </c>
      <c r="N2097" s="1">
        <v>18629</v>
      </c>
      <c r="O2097">
        <v>0</v>
      </c>
      <c r="P2097">
        <v>0</v>
      </c>
      <c r="Q2097" t="s">
        <v>28</v>
      </c>
      <c r="R2097" t="s">
        <v>71</v>
      </c>
      <c r="S2097" t="s">
        <v>336</v>
      </c>
      <c r="T2097" t="s">
        <v>337</v>
      </c>
    </row>
    <row r="2098" spans="1:20" x14ac:dyDescent="0.25">
      <c r="A2098" t="s">
        <v>5597</v>
      </c>
      <c r="B2098" t="str">
        <f>"1230"</f>
        <v>1230</v>
      </c>
      <c r="C2098" t="str">
        <f>"372861230"</f>
        <v>372861230</v>
      </c>
      <c r="D2098" t="s">
        <v>5598</v>
      </c>
      <c r="E2098" t="s">
        <v>178</v>
      </c>
      <c r="F2098" t="s">
        <v>93</v>
      </c>
      <c r="G2098" s="1">
        <v>28192</v>
      </c>
      <c r="H2098" s="1">
        <v>40764</v>
      </c>
      <c r="I2098" t="str">
        <f>"20"</f>
        <v>20</v>
      </c>
      <c r="J2098" t="s">
        <v>123</v>
      </c>
      <c r="K2098" t="s">
        <v>98</v>
      </c>
      <c r="L2098" t="s">
        <v>37</v>
      </c>
      <c r="M2098" t="s">
        <v>99</v>
      </c>
      <c r="N2098" s="1">
        <v>41631</v>
      </c>
      <c r="O2098">
        <v>14801.82</v>
      </c>
      <c r="P2098">
        <v>3700.4</v>
      </c>
      <c r="Q2098" t="s">
        <v>28</v>
      </c>
      <c r="R2098" t="s">
        <v>71</v>
      </c>
      <c r="S2098" t="s">
        <v>209</v>
      </c>
      <c r="T2098" t="s">
        <v>210</v>
      </c>
    </row>
    <row r="2099" spans="1:20" x14ac:dyDescent="0.25">
      <c r="A2099" t="s">
        <v>5599</v>
      </c>
      <c r="B2099" t="str">
        <f>"6338"</f>
        <v>6338</v>
      </c>
      <c r="C2099" t="str">
        <f>"279586338"</f>
        <v>279586338</v>
      </c>
      <c r="D2099" t="s">
        <v>5600</v>
      </c>
      <c r="E2099" t="s">
        <v>2339</v>
      </c>
      <c r="F2099" t="s">
        <v>93</v>
      </c>
      <c r="G2099" s="1">
        <v>26095</v>
      </c>
      <c r="H2099" s="1">
        <v>40764</v>
      </c>
      <c r="I2099" t="str">
        <f>"20"</f>
        <v>20</v>
      </c>
      <c r="J2099" t="s">
        <v>123</v>
      </c>
      <c r="K2099" t="s">
        <v>175</v>
      </c>
      <c r="L2099" t="s">
        <v>37</v>
      </c>
      <c r="M2099" t="s">
        <v>99</v>
      </c>
      <c r="N2099" s="1">
        <v>41631</v>
      </c>
      <c r="O2099">
        <v>16411.78</v>
      </c>
      <c r="P2099">
        <v>4103</v>
      </c>
      <c r="Q2099" t="s">
        <v>37</v>
      </c>
      <c r="R2099" t="s">
        <v>29</v>
      </c>
      <c r="S2099" t="s">
        <v>765</v>
      </c>
      <c r="T2099" t="s">
        <v>766</v>
      </c>
    </row>
    <row r="2100" spans="1:20" x14ac:dyDescent="0.25">
      <c r="A2100" t="s">
        <v>5601</v>
      </c>
      <c r="B2100" t="str">
        <f>"7831"</f>
        <v>7831</v>
      </c>
      <c r="C2100" t="str">
        <f>"273827831"</f>
        <v>273827831</v>
      </c>
      <c r="D2100" t="s">
        <v>5602</v>
      </c>
      <c r="E2100" t="s">
        <v>3733</v>
      </c>
      <c r="F2100" t="s">
        <v>28</v>
      </c>
      <c r="G2100" s="1">
        <v>28899</v>
      </c>
      <c r="H2100" s="1">
        <v>40764</v>
      </c>
      <c r="I2100" t="str">
        <f>"20"</f>
        <v>20</v>
      </c>
      <c r="J2100" t="s">
        <v>123</v>
      </c>
      <c r="K2100" t="s">
        <v>98</v>
      </c>
      <c r="L2100" t="s">
        <v>37</v>
      </c>
      <c r="M2100" t="s">
        <v>257</v>
      </c>
      <c r="N2100" s="1">
        <v>41631</v>
      </c>
      <c r="O2100">
        <v>10753.16</v>
      </c>
      <c r="P2100">
        <v>2688.4</v>
      </c>
      <c r="Q2100" t="s">
        <v>37</v>
      </c>
      <c r="R2100" t="s">
        <v>29</v>
      </c>
      <c r="S2100" t="s">
        <v>138</v>
      </c>
      <c r="T2100" t="s">
        <v>139</v>
      </c>
    </row>
    <row r="2101" spans="1:20" x14ac:dyDescent="0.25">
      <c r="A2101" t="s">
        <v>5603</v>
      </c>
      <c r="B2101" t="str">
        <f>"3766"</f>
        <v>3766</v>
      </c>
      <c r="C2101" t="str">
        <f>"276463766"</f>
        <v>276463766</v>
      </c>
      <c r="D2101" t="s">
        <v>1333</v>
      </c>
      <c r="E2101" t="s">
        <v>2390</v>
      </c>
      <c r="G2101" s="1">
        <v>17947</v>
      </c>
      <c r="H2101" s="1">
        <v>40764</v>
      </c>
      <c r="I2101" t="str">
        <f>"51"</f>
        <v>51</v>
      </c>
      <c r="J2101" t="s">
        <v>471</v>
      </c>
      <c r="K2101" t="s">
        <v>25</v>
      </c>
      <c r="L2101" t="s">
        <v>26</v>
      </c>
      <c r="M2101" t="s">
        <v>27</v>
      </c>
      <c r="N2101" s="1">
        <v>18629</v>
      </c>
      <c r="O2101">
        <v>0</v>
      </c>
      <c r="P2101">
        <v>0</v>
      </c>
      <c r="Q2101" t="s">
        <v>37</v>
      </c>
      <c r="R2101" t="s">
        <v>29</v>
      </c>
      <c r="S2101" t="s">
        <v>151</v>
      </c>
      <c r="T2101" t="s">
        <v>152</v>
      </c>
    </row>
    <row r="2102" spans="1:20" x14ac:dyDescent="0.25">
      <c r="A2102" t="s">
        <v>5604</v>
      </c>
      <c r="B2102" t="str">
        <f>"2233"</f>
        <v>2233</v>
      </c>
      <c r="C2102" t="str">
        <f>"295702233"</f>
        <v>295702233</v>
      </c>
      <c r="D2102" t="s">
        <v>5605</v>
      </c>
      <c r="E2102" t="s">
        <v>57</v>
      </c>
      <c r="F2102" t="s">
        <v>122</v>
      </c>
      <c r="G2102" s="1">
        <v>27934</v>
      </c>
      <c r="H2102" s="1">
        <v>40764</v>
      </c>
      <c r="I2102" t="str">
        <f>"20"</f>
        <v>20</v>
      </c>
      <c r="J2102" t="s">
        <v>123</v>
      </c>
      <c r="K2102" t="s">
        <v>98</v>
      </c>
      <c r="L2102" t="s">
        <v>37</v>
      </c>
      <c r="M2102" t="s">
        <v>117</v>
      </c>
      <c r="N2102" s="1">
        <v>41631</v>
      </c>
      <c r="O2102">
        <v>4951.9799999999996</v>
      </c>
      <c r="P2102">
        <v>1237.94</v>
      </c>
      <c r="Q2102" t="s">
        <v>28</v>
      </c>
      <c r="R2102" t="s">
        <v>29</v>
      </c>
      <c r="S2102" t="s">
        <v>138</v>
      </c>
      <c r="T2102" t="s">
        <v>139</v>
      </c>
    </row>
    <row r="2103" spans="1:20" x14ac:dyDescent="0.25">
      <c r="A2103" t="s">
        <v>5606</v>
      </c>
      <c r="B2103" t="str">
        <f>"6681"</f>
        <v>6681</v>
      </c>
      <c r="C2103" t="str">
        <f>"283526681"</f>
        <v>283526681</v>
      </c>
      <c r="D2103" t="s">
        <v>5607</v>
      </c>
      <c r="E2103" t="s">
        <v>813</v>
      </c>
      <c r="F2103" t="s">
        <v>219</v>
      </c>
      <c r="G2103" s="1">
        <v>23563</v>
      </c>
      <c r="H2103" s="1">
        <v>40764</v>
      </c>
      <c r="I2103" t="str">
        <f>"51"</f>
        <v>51</v>
      </c>
      <c r="J2103" t="s">
        <v>471</v>
      </c>
      <c r="K2103" t="s">
        <v>25</v>
      </c>
      <c r="L2103" t="s">
        <v>26</v>
      </c>
      <c r="M2103" t="s">
        <v>27</v>
      </c>
      <c r="N2103" s="1">
        <v>18629</v>
      </c>
      <c r="O2103">
        <v>0</v>
      </c>
      <c r="P2103">
        <v>0</v>
      </c>
      <c r="Q2103" t="s">
        <v>37</v>
      </c>
      <c r="R2103" t="s">
        <v>51</v>
      </c>
      <c r="S2103" s="2" t="s">
        <v>1568</v>
      </c>
      <c r="T2103" t="s">
        <v>1569</v>
      </c>
    </row>
    <row r="2104" spans="1:20" x14ac:dyDescent="0.25">
      <c r="A2104" t="s">
        <v>5608</v>
      </c>
      <c r="B2104" t="str">
        <f>"5376"</f>
        <v>5376</v>
      </c>
      <c r="C2104" t="str">
        <f>"379805376"</f>
        <v>379805376</v>
      </c>
      <c r="D2104" t="s">
        <v>5609</v>
      </c>
      <c r="E2104" t="s">
        <v>518</v>
      </c>
      <c r="F2104" t="s">
        <v>308</v>
      </c>
      <c r="G2104" s="1">
        <v>26022</v>
      </c>
      <c r="H2104" s="1">
        <v>40764</v>
      </c>
      <c r="I2104" t="str">
        <f t="shared" ref="I2104:I2112" si="45">"20"</f>
        <v>20</v>
      </c>
      <c r="J2104" t="s">
        <v>123</v>
      </c>
      <c r="K2104" t="s">
        <v>98</v>
      </c>
      <c r="L2104" t="s">
        <v>37</v>
      </c>
      <c r="M2104" t="s">
        <v>117</v>
      </c>
      <c r="N2104" s="1">
        <v>41631</v>
      </c>
      <c r="O2104">
        <v>4951.9799999999996</v>
      </c>
      <c r="P2104">
        <v>1237.94</v>
      </c>
      <c r="Q2104" t="s">
        <v>37</v>
      </c>
      <c r="R2104" t="s">
        <v>51</v>
      </c>
      <c r="S2104" s="2" t="s">
        <v>2333</v>
      </c>
      <c r="T2104" t="s">
        <v>2334</v>
      </c>
    </row>
    <row r="2105" spans="1:20" x14ac:dyDescent="0.25">
      <c r="A2105" t="s">
        <v>5610</v>
      </c>
      <c r="B2105" t="str">
        <f>"9990"</f>
        <v>9990</v>
      </c>
      <c r="C2105" t="str">
        <f>"181469990"</f>
        <v>181469990</v>
      </c>
      <c r="D2105" t="s">
        <v>4553</v>
      </c>
      <c r="E2105" t="s">
        <v>5611</v>
      </c>
      <c r="F2105" t="s">
        <v>556</v>
      </c>
      <c r="G2105" s="1">
        <v>21068</v>
      </c>
      <c r="H2105" s="1">
        <v>40764</v>
      </c>
      <c r="I2105" t="str">
        <f t="shared" si="45"/>
        <v>20</v>
      </c>
      <c r="J2105" t="s">
        <v>123</v>
      </c>
      <c r="K2105" t="s">
        <v>98</v>
      </c>
      <c r="L2105" t="s">
        <v>37</v>
      </c>
      <c r="M2105" t="s">
        <v>257</v>
      </c>
      <c r="N2105" s="1">
        <v>41631</v>
      </c>
      <c r="O2105">
        <v>10753.16</v>
      </c>
      <c r="P2105">
        <v>2688.4</v>
      </c>
      <c r="Q2105" t="s">
        <v>37</v>
      </c>
      <c r="R2105" t="s">
        <v>71</v>
      </c>
      <c r="S2105" t="s">
        <v>373</v>
      </c>
      <c r="T2105" t="s">
        <v>374</v>
      </c>
    </row>
    <row r="2106" spans="1:20" x14ac:dyDescent="0.25">
      <c r="A2106" t="s">
        <v>5612</v>
      </c>
      <c r="B2106" t="str">
        <f>"4895"</f>
        <v>4895</v>
      </c>
      <c r="C2106" t="str">
        <f>"273684895"</f>
        <v>273684895</v>
      </c>
      <c r="D2106" t="s">
        <v>2136</v>
      </c>
      <c r="E2106" t="s">
        <v>5613</v>
      </c>
      <c r="F2106" t="s">
        <v>219</v>
      </c>
      <c r="G2106" s="1">
        <v>24543</v>
      </c>
      <c r="H2106" s="1">
        <v>40764</v>
      </c>
      <c r="I2106" t="str">
        <f t="shared" si="45"/>
        <v>20</v>
      </c>
      <c r="J2106" t="s">
        <v>123</v>
      </c>
      <c r="K2106" t="s">
        <v>98</v>
      </c>
      <c r="L2106" t="s">
        <v>37</v>
      </c>
      <c r="M2106" t="s">
        <v>117</v>
      </c>
      <c r="N2106" s="1">
        <v>41631</v>
      </c>
      <c r="O2106">
        <v>4951.9799999999996</v>
      </c>
      <c r="P2106">
        <v>1237.94</v>
      </c>
      <c r="Q2106" t="s">
        <v>28</v>
      </c>
      <c r="R2106" t="s">
        <v>71</v>
      </c>
      <c r="S2106" t="s">
        <v>209</v>
      </c>
      <c r="T2106" t="s">
        <v>210</v>
      </c>
    </row>
    <row r="2107" spans="1:20" x14ac:dyDescent="0.25">
      <c r="A2107" t="s">
        <v>5614</v>
      </c>
      <c r="B2107" t="str">
        <f>"1564"</f>
        <v>1564</v>
      </c>
      <c r="C2107" t="str">
        <f>"289541564"</f>
        <v>289541564</v>
      </c>
      <c r="D2107" t="s">
        <v>5615</v>
      </c>
      <c r="E2107" t="s">
        <v>856</v>
      </c>
      <c r="F2107" t="s">
        <v>28</v>
      </c>
      <c r="G2107" s="1">
        <v>22261</v>
      </c>
      <c r="H2107" s="1">
        <v>40764</v>
      </c>
      <c r="I2107" t="str">
        <f t="shared" si="45"/>
        <v>20</v>
      </c>
      <c r="J2107" t="s">
        <v>123</v>
      </c>
      <c r="L2107" t="s">
        <v>37</v>
      </c>
      <c r="M2107" t="s">
        <v>143</v>
      </c>
      <c r="N2107" s="1">
        <v>41631</v>
      </c>
      <c r="O2107">
        <v>185.9</v>
      </c>
      <c r="P2107">
        <v>-185.9</v>
      </c>
      <c r="Q2107" t="s">
        <v>37</v>
      </c>
      <c r="R2107" t="s">
        <v>29</v>
      </c>
      <c r="S2107" t="s">
        <v>1422</v>
      </c>
      <c r="T2107" t="s">
        <v>1423</v>
      </c>
    </row>
    <row r="2108" spans="1:20" x14ac:dyDescent="0.25">
      <c r="A2108" t="s">
        <v>5616</v>
      </c>
      <c r="B2108" t="str">
        <f>"4038"</f>
        <v>4038</v>
      </c>
      <c r="C2108" t="str">
        <f>"096804038"</f>
        <v>096804038</v>
      </c>
      <c r="D2108" t="s">
        <v>5617</v>
      </c>
      <c r="E2108" t="s">
        <v>722</v>
      </c>
      <c r="G2108" s="1">
        <v>24461</v>
      </c>
      <c r="H2108" s="1">
        <v>40764</v>
      </c>
      <c r="I2108" t="str">
        <f t="shared" si="45"/>
        <v>20</v>
      </c>
      <c r="J2108" t="s">
        <v>123</v>
      </c>
      <c r="K2108" t="s">
        <v>98</v>
      </c>
      <c r="L2108" t="s">
        <v>37</v>
      </c>
      <c r="M2108" t="s">
        <v>99</v>
      </c>
      <c r="N2108" s="1">
        <v>41631</v>
      </c>
      <c r="O2108">
        <v>14801.82</v>
      </c>
      <c r="P2108">
        <v>3700.4</v>
      </c>
      <c r="Q2108" t="s">
        <v>28</v>
      </c>
      <c r="R2108" t="s">
        <v>71</v>
      </c>
      <c r="S2108" t="s">
        <v>2458</v>
      </c>
      <c r="T2108" t="s">
        <v>2459</v>
      </c>
    </row>
    <row r="2109" spans="1:20" x14ac:dyDescent="0.25">
      <c r="A2109" t="s">
        <v>5618</v>
      </c>
      <c r="B2109" t="str">
        <f>"9812"</f>
        <v>9812</v>
      </c>
      <c r="C2109" t="str">
        <f>"422199812"</f>
        <v>422199812</v>
      </c>
      <c r="D2109" t="s">
        <v>452</v>
      </c>
      <c r="E2109" t="s">
        <v>5619</v>
      </c>
      <c r="G2109" s="1">
        <v>25754</v>
      </c>
      <c r="H2109" s="1">
        <v>40764</v>
      </c>
      <c r="I2109" t="str">
        <f t="shared" si="45"/>
        <v>20</v>
      </c>
      <c r="J2109" t="s">
        <v>123</v>
      </c>
      <c r="K2109" t="s">
        <v>175</v>
      </c>
      <c r="L2109" t="s">
        <v>37</v>
      </c>
      <c r="M2109" t="s">
        <v>99</v>
      </c>
      <c r="N2109" s="1">
        <v>41631</v>
      </c>
      <c r="O2109">
        <v>16411.78</v>
      </c>
      <c r="P2109">
        <v>4103</v>
      </c>
      <c r="Q2109" t="s">
        <v>37</v>
      </c>
      <c r="R2109" t="s">
        <v>29</v>
      </c>
      <c r="S2109" t="s">
        <v>1572</v>
      </c>
      <c r="T2109" t="s">
        <v>1573</v>
      </c>
    </row>
    <row r="2110" spans="1:20" x14ac:dyDescent="0.25">
      <c r="A2110" t="s">
        <v>5620</v>
      </c>
      <c r="B2110" t="str">
        <f>"7051"</f>
        <v>7051</v>
      </c>
      <c r="C2110" t="str">
        <f>"270707051"</f>
        <v>270707051</v>
      </c>
      <c r="D2110" t="s">
        <v>380</v>
      </c>
      <c r="E2110" t="s">
        <v>35</v>
      </c>
      <c r="F2110" t="s">
        <v>97</v>
      </c>
      <c r="G2110" s="1">
        <v>22860</v>
      </c>
      <c r="H2110" s="1">
        <v>40764</v>
      </c>
      <c r="I2110" t="str">
        <f t="shared" si="45"/>
        <v>20</v>
      </c>
      <c r="J2110" t="s">
        <v>123</v>
      </c>
      <c r="K2110" t="s">
        <v>98</v>
      </c>
      <c r="L2110" t="s">
        <v>37</v>
      </c>
      <c r="M2110" t="s">
        <v>99</v>
      </c>
      <c r="N2110" s="1">
        <v>41631</v>
      </c>
      <c r="O2110">
        <v>14801.82</v>
      </c>
      <c r="P2110">
        <v>3700.4</v>
      </c>
      <c r="Q2110" t="s">
        <v>28</v>
      </c>
      <c r="R2110" t="s">
        <v>29</v>
      </c>
      <c r="S2110" t="s">
        <v>1555</v>
      </c>
      <c r="T2110" t="s">
        <v>1556</v>
      </c>
    </row>
    <row r="2111" spans="1:20" x14ac:dyDescent="0.25">
      <c r="A2111" t="s">
        <v>5621</v>
      </c>
      <c r="B2111" t="str">
        <f>"0106"</f>
        <v>0106</v>
      </c>
      <c r="C2111" t="str">
        <f>"617030106"</f>
        <v>617030106</v>
      </c>
      <c r="D2111" t="s">
        <v>5081</v>
      </c>
      <c r="E2111" t="s">
        <v>5622</v>
      </c>
      <c r="G2111" s="1">
        <v>27924</v>
      </c>
      <c r="H2111" s="1">
        <v>40764</v>
      </c>
      <c r="I2111" t="str">
        <f t="shared" si="45"/>
        <v>20</v>
      </c>
      <c r="J2111" t="s">
        <v>123</v>
      </c>
      <c r="K2111" t="s">
        <v>98</v>
      </c>
      <c r="L2111" t="s">
        <v>37</v>
      </c>
      <c r="M2111" t="s">
        <v>99</v>
      </c>
      <c r="N2111" s="1">
        <v>41631</v>
      </c>
      <c r="O2111">
        <v>14801.82</v>
      </c>
      <c r="P2111">
        <v>3700.4</v>
      </c>
      <c r="Q2111" t="s">
        <v>28</v>
      </c>
      <c r="R2111" t="s">
        <v>29</v>
      </c>
      <c r="S2111" t="s">
        <v>717</v>
      </c>
      <c r="T2111" t="s">
        <v>718</v>
      </c>
    </row>
    <row r="2112" spans="1:20" x14ac:dyDescent="0.25">
      <c r="A2112" t="s">
        <v>5623</v>
      </c>
      <c r="B2112" t="str">
        <f>"1827"</f>
        <v>1827</v>
      </c>
      <c r="C2112" t="str">
        <f>"272421827"</f>
        <v>272421827</v>
      </c>
      <c r="D2112" t="s">
        <v>5624</v>
      </c>
      <c r="E2112" t="s">
        <v>3747</v>
      </c>
      <c r="F2112" t="s">
        <v>97</v>
      </c>
      <c r="G2112" s="1">
        <v>19847</v>
      </c>
      <c r="H2112" s="1">
        <v>40764</v>
      </c>
      <c r="I2112" t="str">
        <f t="shared" si="45"/>
        <v>20</v>
      </c>
      <c r="J2112" t="s">
        <v>123</v>
      </c>
      <c r="K2112" t="s">
        <v>98</v>
      </c>
      <c r="L2112" t="s">
        <v>37</v>
      </c>
      <c r="M2112" t="s">
        <v>257</v>
      </c>
      <c r="N2112" s="1">
        <v>41631</v>
      </c>
      <c r="O2112">
        <v>10753.16</v>
      </c>
      <c r="P2112">
        <v>2688.4</v>
      </c>
      <c r="Q2112" t="s">
        <v>28</v>
      </c>
      <c r="R2112" t="s">
        <v>100</v>
      </c>
      <c r="S2112" t="s">
        <v>1392</v>
      </c>
      <c r="T2112" t="s">
        <v>1393</v>
      </c>
    </row>
    <row r="2113" spans="1:20" x14ac:dyDescent="0.25">
      <c r="A2113" t="s">
        <v>5625</v>
      </c>
      <c r="B2113" t="str">
        <f>"7205"</f>
        <v>7205</v>
      </c>
      <c r="C2113" t="str">
        <f>"301867205"</f>
        <v>301867205</v>
      </c>
      <c r="D2113" t="s">
        <v>753</v>
      </c>
      <c r="E2113" t="s">
        <v>146</v>
      </c>
      <c r="F2113" t="s">
        <v>813</v>
      </c>
      <c r="G2113" s="1">
        <v>32062</v>
      </c>
      <c r="H2113" s="1">
        <v>40763</v>
      </c>
      <c r="I2113" t="str">
        <f>"51"</f>
        <v>51</v>
      </c>
      <c r="J2113" t="s">
        <v>471</v>
      </c>
      <c r="K2113" t="s">
        <v>25</v>
      </c>
      <c r="L2113" t="s">
        <v>26</v>
      </c>
      <c r="M2113" t="s">
        <v>27</v>
      </c>
      <c r="N2113" s="1">
        <v>18629</v>
      </c>
      <c r="O2113">
        <v>0</v>
      </c>
      <c r="P2113">
        <v>0</v>
      </c>
      <c r="Q2113" t="s">
        <v>37</v>
      </c>
      <c r="R2113" t="s">
        <v>29</v>
      </c>
      <c r="S2113" t="s">
        <v>138</v>
      </c>
      <c r="T2113" t="s">
        <v>139</v>
      </c>
    </row>
    <row r="2114" spans="1:20" x14ac:dyDescent="0.25">
      <c r="A2114" t="s">
        <v>5626</v>
      </c>
      <c r="B2114" t="str">
        <f>"6261"</f>
        <v>6261</v>
      </c>
      <c r="C2114" t="str">
        <f>"283526261"</f>
        <v>283526261</v>
      </c>
      <c r="D2114" t="s">
        <v>5627</v>
      </c>
      <c r="E2114" t="s">
        <v>3981</v>
      </c>
      <c r="F2114" t="s">
        <v>165</v>
      </c>
      <c r="G2114" s="1">
        <v>18640</v>
      </c>
      <c r="H2114" s="1">
        <v>40763</v>
      </c>
      <c r="I2114" t="str">
        <f>"05"</f>
        <v>05</v>
      </c>
      <c r="J2114" t="s">
        <v>58</v>
      </c>
      <c r="K2114" t="s">
        <v>98</v>
      </c>
      <c r="L2114" t="s">
        <v>37</v>
      </c>
      <c r="M2114" t="s">
        <v>257</v>
      </c>
      <c r="N2114" s="1">
        <v>41617</v>
      </c>
      <c r="O2114">
        <v>10753.08</v>
      </c>
      <c r="P2114">
        <v>2688.4</v>
      </c>
      <c r="Q2114" t="s">
        <v>28</v>
      </c>
      <c r="R2114" t="s">
        <v>29</v>
      </c>
      <c r="S2114" t="s">
        <v>1173</v>
      </c>
      <c r="T2114" t="s">
        <v>1174</v>
      </c>
    </row>
    <row r="2115" spans="1:20" x14ac:dyDescent="0.25">
      <c r="A2115" t="s">
        <v>5628</v>
      </c>
      <c r="B2115" t="str">
        <f>"3335"</f>
        <v>3335</v>
      </c>
      <c r="C2115" t="str">
        <f>"197663335"</f>
        <v>197663335</v>
      </c>
      <c r="D2115" t="s">
        <v>5629</v>
      </c>
      <c r="E2115" t="s">
        <v>905</v>
      </c>
      <c r="F2115" t="s">
        <v>93</v>
      </c>
      <c r="G2115" s="1">
        <v>25575</v>
      </c>
      <c r="H2115" s="1">
        <v>40763</v>
      </c>
      <c r="I2115" t="str">
        <f>"01"</f>
        <v>01</v>
      </c>
      <c r="J2115" t="s">
        <v>116</v>
      </c>
      <c r="K2115" t="s">
        <v>98</v>
      </c>
      <c r="L2115" t="s">
        <v>37</v>
      </c>
      <c r="M2115" t="s">
        <v>99</v>
      </c>
      <c r="N2115" s="1">
        <v>41617</v>
      </c>
      <c r="O2115">
        <v>14801.8</v>
      </c>
      <c r="P2115">
        <v>3700.32</v>
      </c>
      <c r="Q2115" t="s">
        <v>37</v>
      </c>
      <c r="R2115" t="s">
        <v>110</v>
      </c>
      <c r="S2115" t="s">
        <v>1346</v>
      </c>
      <c r="T2115" t="s">
        <v>1347</v>
      </c>
    </row>
    <row r="2116" spans="1:20" x14ac:dyDescent="0.25">
      <c r="A2116" t="s">
        <v>5630</v>
      </c>
      <c r="B2116" t="str">
        <f>"8957"</f>
        <v>8957</v>
      </c>
      <c r="C2116" t="str">
        <f>"291488957"</f>
        <v>291488957</v>
      </c>
      <c r="D2116" t="s">
        <v>1156</v>
      </c>
      <c r="E2116" t="s">
        <v>5631</v>
      </c>
      <c r="G2116" s="1">
        <v>18734</v>
      </c>
      <c r="H2116" s="1">
        <v>40761</v>
      </c>
      <c r="I2116" t="str">
        <f>"52"</f>
        <v>52</v>
      </c>
      <c r="J2116" t="s">
        <v>330</v>
      </c>
      <c r="K2116" t="s">
        <v>25</v>
      </c>
      <c r="L2116" t="s">
        <v>26</v>
      </c>
      <c r="M2116" t="s">
        <v>27</v>
      </c>
      <c r="N2116" s="1">
        <v>18629</v>
      </c>
      <c r="O2116">
        <v>0</v>
      </c>
      <c r="P2116">
        <v>0</v>
      </c>
      <c r="Q2116" t="s">
        <v>28</v>
      </c>
      <c r="R2116" t="s">
        <v>71</v>
      </c>
      <c r="S2116" t="s">
        <v>336</v>
      </c>
      <c r="T2116" t="s">
        <v>337</v>
      </c>
    </row>
    <row r="2117" spans="1:20" x14ac:dyDescent="0.25">
      <c r="A2117" t="s">
        <v>5632</v>
      </c>
      <c r="B2117" t="str">
        <f>"4787"</f>
        <v>4787</v>
      </c>
      <c r="C2117" t="str">
        <f>"295804787"</f>
        <v>295804787</v>
      </c>
      <c r="D2117" t="s">
        <v>5633</v>
      </c>
      <c r="E2117" t="s">
        <v>82</v>
      </c>
      <c r="F2117" t="s">
        <v>219</v>
      </c>
      <c r="G2117" s="1">
        <v>30581</v>
      </c>
      <c r="H2117" s="1">
        <v>40760</v>
      </c>
      <c r="I2117" t="str">
        <f>"51"</f>
        <v>51</v>
      </c>
      <c r="J2117" t="s">
        <v>471</v>
      </c>
      <c r="K2117" t="s">
        <v>25</v>
      </c>
      <c r="L2117" t="s">
        <v>26</v>
      </c>
      <c r="M2117" t="s">
        <v>27</v>
      </c>
      <c r="N2117" s="1">
        <v>18629</v>
      </c>
      <c r="O2117">
        <v>0</v>
      </c>
      <c r="P2117">
        <v>0</v>
      </c>
      <c r="Q2117" t="s">
        <v>37</v>
      </c>
      <c r="R2117" t="s">
        <v>29</v>
      </c>
      <c r="S2117" t="s">
        <v>138</v>
      </c>
      <c r="T2117" t="s">
        <v>139</v>
      </c>
    </row>
    <row r="2118" spans="1:20" x14ac:dyDescent="0.25">
      <c r="A2118" t="s">
        <v>5634</v>
      </c>
      <c r="B2118" t="str">
        <f>"4271"</f>
        <v>4271</v>
      </c>
      <c r="C2118" t="str">
        <f>"271804271"</f>
        <v>271804271</v>
      </c>
      <c r="D2118" t="s">
        <v>5517</v>
      </c>
      <c r="E2118" t="s">
        <v>877</v>
      </c>
      <c r="F2118" t="s">
        <v>358</v>
      </c>
      <c r="G2118" s="1">
        <v>30121</v>
      </c>
      <c r="H2118" s="1">
        <v>40760</v>
      </c>
      <c r="I2118" t="str">
        <f>"51"</f>
        <v>51</v>
      </c>
      <c r="J2118" t="s">
        <v>471</v>
      </c>
      <c r="K2118" t="s">
        <v>25</v>
      </c>
      <c r="L2118" t="s">
        <v>26</v>
      </c>
      <c r="M2118" t="s">
        <v>27</v>
      </c>
      <c r="N2118" s="1">
        <v>18629</v>
      </c>
      <c r="O2118">
        <v>0</v>
      </c>
      <c r="P2118">
        <v>0</v>
      </c>
      <c r="Q2118" t="s">
        <v>37</v>
      </c>
      <c r="R2118" t="s">
        <v>29</v>
      </c>
      <c r="S2118" t="s">
        <v>138</v>
      </c>
      <c r="T2118" t="s">
        <v>139</v>
      </c>
    </row>
    <row r="2119" spans="1:20" x14ac:dyDescent="0.25">
      <c r="A2119" t="s">
        <v>5635</v>
      </c>
      <c r="B2119" t="str">
        <f>"4296"</f>
        <v>4296</v>
      </c>
      <c r="C2119" t="str">
        <f>"296764296"</f>
        <v>296764296</v>
      </c>
      <c r="D2119" t="s">
        <v>2317</v>
      </c>
      <c r="E2119" t="s">
        <v>2246</v>
      </c>
      <c r="F2119" t="s">
        <v>156</v>
      </c>
      <c r="G2119" s="1">
        <v>26139</v>
      </c>
      <c r="H2119" s="1">
        <v>40756</v>
      </c>
      <c r="I2119" t="str">
        <f>"15"</f>
        <v>15</v>
      </c>
      <c r="J2119" t="s">
        <v>36</v>
      </c>
      <c r="K2119" t="s">
        <v>98</v>
      </c>
      <c r="L2119" t="s">
        <v>37</v>
      </c>
      <c r="M2119" t="s">
        <v>99</v>
      </c>
      <c r="N2119" s="1">
        <v>41617</v>
      </c>
      <c r="O2119">
        <v>14801.8</v>
      </c>
      <c r="P2119">
        <v>3700.32</v>
      </c>
      <c r="Q2119" t="s">
        <v>37</v>
      </c>
      <c r="R2119" t="s">
        <v>110</v>
      </c>
      <c r="S2119" t="s">
        <v>1837</v>
      </c>
      <c r="T2119" t="s">
        <v>1838</v>
      </c>
    </row>
    <row r="2120" spans="1:20" x14ac:dyDescent="0.25">
      <c r="A2120" t="s">
        <v>5636</v>
      </c>
      <c r="B2120" t="str">
        <f>"8710"</f>
        <v>8710</v>
      </c>
      <c r="C2120" t="str">
        <f>"292488710"</f>
        <v>292488710</v>
      </c>
      <c r="D2120" t="s">
        <v>5637</v>
      </c>
      <c r="E2120" t="s">
        <v>35</v>
      </c>
      <c r="F2120" t="s">
        <v>97</v>
      </c>
      <c r="G2120" s="1">
        <v>17790</v>
      </c>
      <c r="H2120" s="1">
        <v>40756</v>
      </c>
      <c r="I2120" t="str">
        <f>"41"</f>
        <v>41</v>
      </c>
      <c r="J2120" t="s">
        <v>24</v>
      </c>
      <c r="K2120" t="s">
        <v>25</v>
      </c>
      <c r="L2120" t="s">
        <v>26</v>
      </c>
      <c r="M2120" t="s">
        <v>27</v>
      </c>
      <c r="N2120" s="1">
        <v>18629</v>
      </c>
      <c r="O2120">
        <v>0</v>
      </c>
      <c r="P2120">
        <v>0</v>
      </c>
      <c r="Q2120" t="s">
        <v>28</v>
      </c>
      <c r="R2120" t="s">
        <v>71</v>
      </c>
      <c r="S2120" t="s">
        <v>522</v>
      </c>
      <c r="T2120" t="s">
        <v>523</v>
      </c>
    </row>
    <row r="2121" spans="1:20" x14ac:dyDescent="0.25">
      <c r="A2121" t="s">
        <v>5638</v>
      </c>
      <c r="B2121" t="str">
        <f>"4721"</f>
        <v>4721</v>
      </c>
      <c r="C2121" t="str">
        <f>"284704721"</f>
        <v>284704721</v>
      </c>
      <c r="D2121" t="s">
        <v>5639</v>
      </c>
      <c r="E2121" t="s">
        <v>988</v>
      </c>
      <c r="G2121" s="1">
        <v>25608</v>
      </c>
      <c r="H2121" s="1">
        <v>40756</v>
      </c>
      <c r="I2121" t="str">
        <f>"52"</f>
        <v>52</v>
      </c>
      <c r="J2121" t="s">
        <v>330</v>
      </c>
      <c r="K2121" t="s">
        <v>25</v>
      </c>
      <c r="L2121" t="s">
        <v>26</v>
      </c>
      <c r="M2121" t="s">
        <v>27</v>
      </c>
      <c r="N2121" s="1">
        <v>18629</v>
      </c>
      <c r="O2121">
        <v>0</v>
      </c>
      <c r="P2121">
        <v>0</v>
      </c>
      <c r="Q2121" t="s">
        <v>28</v>
      </c>
      <c r="R2121" t="s">
        <v>258</v>
      </c>
      <c r="S2121" t="s">
        <v>336</v>
      </c>
      <c r="T2121" t="s">
        <v>337</v>
      </c>
    </row>
    <row r="2122" spans="1:20" x14ac:dyDescent="0.25">
      <c r="A2122" t="s">
        <v>5640</v>
      </c>
      <c r="B2122" t="str">
        <f>"8420"</f>
        <v>8420</v>
      </c>
      <c r="C2122" t="str">
        <f>"297568420"</f>
        <v>297568420</v>
      </c>
      <c r="D2122" t="s">
        <v>5641</v>
      </c>
      <c r="E2122" t="s">
        <v>3412</v>
      </c>
      <c r="G2122" s="1">
        <v>21651</v>
      </c>
      <c r="H2122" s="1">
        <v>40756</v>
      </c>
      <c r="I2122" t="str">
        <f>"41"</f>
        <v>41</v>
      </c>
      <c r="J2122" t="s">
        <v>24</v>
      </c>
      <c r="K2122" t="s">
        <v>25</v>
      </c>
      <c r="L2122" t="s">
        <v>26</v>
      </c>
      <c r="M2122" t="s">
        <v>27</v>
      </c>
      <c r="N2122" s="1">
        <v>18629</v>
      </c>
      <c r="O2122">
        <v>0</v>
      </c>
      <c r="P2122">
        <v>0</v>
      </c>
      <c r="Q2122" t="s">
        <v>28</v>
      </c>
      <c r="R2122" t="s">
        <v>258</v>
      </c>
      <c r="S2122" t="s">
        <v>331</v>
      </c>
      <c r="T2122" t="s">
        <v>332</v>
      </c>
    </row>
    <row r="2123" spans="1:20" x14ac:dyDescent="0.25">
      <c r="A2123" t="s">
        <v>5642</v>
      </c>
      <c r="B2123" t="str">
        <f>"3675"</f>
        <v>3675</v>
      </c>
      <c r="C2123" t="str">
        <f>"291743675"</f>
        <v>291743675</v>
      </c>
      <c r="D2123" t="s">
        <v>5643</v>
      </c>
      <c r="E2123" t="s">
        <v>5644</v>
      </c>
      <c r="G2123" s="1">
        <v>23501</v>
      </c>
      <c r="H2123" s="1">
        <v>40753</v>
      </c>
      <c r="I2123" t="str">
        <f>"03"</f>
        <v>03</v>
      </c>
      <c r="J2123" t="s">
        <v>70</v>
      </c>
      <c r="K2123" t="s">
        <v>98</v>
      </c>
      <c r="L2123" t="s">
        <v>37</v>
      </c>
      <c r="M2123" t="s">
        <v>117</v>
      </c>
      <c r="N2123" s="1">
        <v>41617</v>
      </c>
      <c r="O2123">
        <v>4951.96</v>
      </c>
      <c r="P2123">
        <v>1237.8599999999999</v>
      </c>
      <c r="Q2123" t="s">
        <v>37</v>
      </c>
      <c r="R2123" t="s">
        <v>38</v>
      </c>
      <c r="S2123" t="s">
        <v>1819</v>
      </c>
      <c r="T2123" t="s">
        <v>1820</v>
      </c>
    </row>
    <row r="2124" spans="1:20" x14ac:dyDescent="0.25">
      <c r="A2124" t="s">
        <v>5645</v>
      </c>
      <c r="B2124" t="str">
        <f>"6955"</f>
        <v>6955</v>
      </c>
      <c r="C2124" t="str">
        <f>"279586955"</f>
        <v>279586955</v>
      </c>
      <c r="D2124" t="s">
        <v>5646</v>
      </c>
      <c r="E2124" t="s">
        <v>825</v>
      </c>
      <c r="G2124" s="1">
        <v>22756</v>
      </c>
      <c r="H2124" s="1">
        <v>40753</v>
      </c>
      <c r="I2124" t="str">
        <f>"41"</f>
        <v>41</v>
      </c>
      <c r="J2124" t="s">
        <v>24</v>
      </c>
      <c r="K2124" t="s">
        <v>25</v>
      </c>
      <c r="L2124" t="s">
        <v>26</v>
      </c>
      <c r="M2124" t="s">
        <v>27</v>
      </c>
      <c r="N2124" s="1">
        <v>18629</v>
      </c>
      <c r="O2124">
        <v>0</v>
      </c>
      <c r="P2124">
        <v>0</v>
      </c>
      <c r="Q2124" t="s">
        <v>28</v>
      </c>
      <c r="R2124" t="s">
        <v>71</v>
      </c>
      <c r="S2124" t="s">
        <v>402</v>
      </c>
      <c r="T2124" t="s">
        <v>403</v>
      </c>
    </row>
    <row r="2125" spans="1:20" x14ac:dyDescent="0.25">
      <c r="A2125" t="s">
        <v>5647</v>
      </c>
      <c r="B2125" t="str">
        <f>"8459"</f>
        <v>8459</v>
      </c>
      <c r="C2125" t="str">
        <f>"281948459"</f>
        <v>281948459</v>
      </c>
      <c r="D2125" t="s">
        <v>5648</v>
      </c>
      <c r="E2125" t="s">
        <v>106</v>
      </c>
      <c r="F2125" t="s">
        <v>37</v>
      </c>
      <c r="G2125" s="1">
        <v>33411</v>
      </c>
      <c r="H2125" s="1">
        <v>40753</v>
      </c>
      <c r="I2125" t="str">
        <f>"41"</f>
        <v>41</v>
      </c>
      <c r="J2125" t="s">
        <v>24</v>
      </c>
      <c r="K2125" t="s">
        <v>25</v>
      </c>
      <c r="L2125" t="s">
        <v>26</v>
      </c>
      <c r="M2125" t="s">
        <v>27</v>
      </c>
      <c r="N2125" s="1">
        <v>18629</v>
      </c>
      <c r="O2125">
        <v>0</v>
      </c>
      <c r="P2125">
        <v>0</v>
      </c>
      <c r="Q2125" t="s">
        <v>28</v>
      </c>
      <c r="R2125" t="s">
        <v>71</v>
      </c>
      <c r="S2125" t="s">
        <v>402</v>
      </c>
      <c r="T2125" t="s">
        <v>403</v>
      </c>
    </row>
    <row r="2126" spans="1:20" x14ac:dyDescent="0.25">
      <c r="A2126" t="s">
        <v>5649</v>
      </c>
      <c r="B2126" t="str">
        <f>"3812"</f>
        <v>3812</v>
      </c>
      <c r="C2126" t="str">
        <f>"287743812"</f>
        <v>287743812</v>
      </c>
      <c r="D2126" t="s">
        <v>5650</v>
      </c>
      <c r="E2126" t="s">
        <v>322</v>
      </c>
      <c r="F2126" t="s">
        <v>1666</v>
      </c>
      <c r="G2126" s="1">
        <v>28929</v>
      </c>
      <c r="H2126" s="1">
        <v>40751</v>
      </c>
      <c r="I2126" t="str">
        <f>"30"</f>
        <v>30</v>
      </c>
      <c r="J2126" t="s">
        <v>50</v>
      </c>
      <c r="K2126" t="s">
        <v>25</v>
      </c>
      <c r="L2126" t="s">
        <v>26</v>
      </c>
      <c r="M2126" t="s">
        <v>27</v>
      </c>
      <c r="N2126" s="1">
        <v>18629</v>
      </c>
      <c r="O2126">
        <v>0</v>
      </c>
      <c r="P2126">
        <v>0</v>
      </c>
      <c r="Q2126" t="s">
        <v>37</v>
      </c>
      <c r="R2126" t="s">
        <v>71</v>
      </c>
      <c r="S2126" t="s">
        <v>790</v>
      </c>
      <c r="T2126" t="s">
        <v>791</v>
      </c>
    </row>
    <row r="2127" spans="1:20" x14ac:dyDescent="0.25">
      <c r="A2127" t="s">
        <v>5651</v>
      </c>
      <c r="B2127" t="str">
        <f>"3306"</f>
        <v>3306</v>
      </c>
      <c r="C2127" t="str">
        <f>"283063306"</f>
        <v>283063306</v>
      </c>
      <c r="D2127" t="s">
        <v>5652</v>
      </c>
      <c r="E2127" t="s">
        <v>5653</v>
      </c>
      <c r="G2127" s="1">
        <v>25137</v>
      </c>
      <c r="H2127" s="1">
        <v>40749</v>
      </c>
      <c r="I2127" t="str">
        <f>"20"</f>
        <v>20</v>
      </c>
      <c r="J2127" t="s">
        <v>123</v>
      </c>
      <c r="K2127" t="s">
        <v>98</v>
      </c>
      <c r="L2127" t="s">
        <v>37</v>
      </c>
      <c r="M2127" t="s">
        <v>99</v>
      </c>
      <c r="N2127" s="1">
        <v>41785</v>
      </c>
      <c r="O2127">
        <v>14801.82</v>
      </c>
      <c r="P2127">
        <v>3700.4</v>
      </c>
      <c r="Q2127" t="s">
        <v>28</v>
      </c>
      <c r="R2127" t="s">
        <v>29</v>
      </c>
      <c r="S2127" t="s">
        <v>1555</v>
      </c>
      <c r="T2127" t="s">
        <v>1556</v>
      </c>
    </row>
    <row r="2128" spans="1:20" x14ac:dyDescent="0.25">
      <c r="A2128" t="s">
        <v>5654</v>
      </c>
      <c r="B2128" t="str">
        <f>"5979"</f>
        <v>5979</v>
      </c>
      <c r="C2128" t="str">
        <f>"272665979"</f>
        <v>272665979</v>
      </c>
      <c r="D2128" t="s">
        <v>5655</v>
      </c>
      <c r="E2128" t="s">
        <v>3372</v>
      </c>
      <c r="F2128" t="s">
        <v>5656</v>
      </c>
      <c r="G2128" s="1">
        <v>21346</v>
      </c>
      <c r="H2128" s="1">
        <v>40749</v>
      </c>
      <c r="I2128" t="str">
        <f>"20"</f>
        <v>20</v>
      </c>
      <c r="J2128" t="s">
        <v>123</v>
      </c>
      <c r="K2128" t="s">
        <v>98</v>
      </c>
      <c r="L2128" t="s">
        <v>37</v>
      </c>
      <c r="M2128" t="s">
        <v>117</v>
      </c>
      <c r="N2128" s="1">
        <v>41631</v>
      </c>
      <c r="O2128">
        <v>4951.9799999999996</v>
      </c>
      <c r="P2128">
        <v>1237.94</v>
      </c>
      <c r="Q2128" t="s">
        <v>37</v>
      </c>
      <c r="R2128" t="s">
        <v>29</v>
      </c>
      <c r="S2128" t="s">
        <v>5657</v>
      </c>
      <c r="T2128" t="s">
        <v>5658</v>
      </c>
    </row>
    <row r="2129" spans="1:20" x14ac:dyDescent="0.25">
      <c r="A2129" t="s">
        <v>5659</v>
      </c>
      <c r="B2129" t="str">
        <f>"8818"</f>
        <v>8818</v>
      </c>
      <c r="C2129" t="str">
        <f>"291828818"</f>
        <v>291828818</v>
      </c>
      <c r="D2129" t="s">
        <v>1798</v>
      </c>
      <c r="E2129" t="s">
        <v>5660</v>
      </c>
      <c r="G2129" s="1">
        <v>27186</v>
      </c>
      <c r="H2129" s="1">
        <v>40749</v>
      </c>
      <c r="I2129" t="str">
        <f>"20"</f>
        <v>20</v>
      </c>
      <c r="J2129" t="s">
        <v>123</v>
      </c>
      <c r="L2129" t="s">
        <v>37</v>
      </c>
      <c r="M2129" t="s">
        <v>143</v>
      </c>
      <c r="N2129" s="1">
        <v>41631</v>
      </c>
      <c r="O2129">
        <v>185.9</v>
      </c>
      <c r="P2129">
        <v>-185.9</v>
      </c>
      <c r="Q2129" t="s">
        <v>28</v>
      </c>
      <c r="R2129" t="s">
        <v>71</v>
      </c>
      <c r="S2129" t="s">
        <v>790</v>
      </c>
      <c r="T2129" t="s">
        <v>791</v>
      </c>
    </row>
    <row r="2130" spans="1:20" x14ac:dyDescent="0.25">
      <c r="A2130" t="s">
        <v>5661</v>
      </c>
      <c r="B2130" t="str">
        <f>"4954"</f>
        <v>4954</v>
      </c>
      <c r="C2130" t="str">
        <f>"287524954"</f>
        <v>287524954</v>
      </c>
      <c r="D2130" t="s">
        <v>5662</v>
      </c>
      <c r="E2130" t="s">
        <v>1415</v>
      </c>
      <c r="G2130" s="1">
        <v>20229</v>
      </c>
      <c r="H2130" s="1">
        <v>40749</v>
      </c>
      <c r="I2130" t="str">
        <f>"30"</f>
        <v>30</v>
      </c>
      <c r="J2130" t="s">
        <v>50</v>
      </c>
      <c r="K2130" t="s">
        <v>25</v>
      </c>
      <c r="L2130" t="s">
        <v>26</v>
      </c>
      <c r="M2130" t="s">
        <v>27</v>
      </c>
      <c r="N2130" s="1">
        <v>18629</v>
      </c>
      <c r="O2130">
        <v>0</v>
      </c>
      <c r="P2130">
        <v>0</v>
      </c>
      <c r="Q2130" t="s">
        <v>37</v>
      </c>
      <c r="R2130" t="s">
        <v>51</v>
      </c>
      <c r="S2130" s="2" t="s">
        <v>52</v>
      </c>
      <c r="T2130" t="s">
        <v>53</v>
      </c>
    </row>
    <row r="2131" spans="1:20" x14ac:dyDescent="0.25">
      <c r="A2131" t="s">
        <v>5663</v>
      </c>
      <c r="B2131" t="str">
        <f>"2727"</f>
        <v>2727</v>
      </c>
      <c r="C2131" t="str">
        <f>"293402727"</f>
        <v>293402727</v>
      </c>
      <c r="D2131" t="s">
        <v>462</v>
      </c>
      <c r="E2131" t="s">
        <v>5664</v>
      </c>
      <c r="G2131" s="1">
        <v>17354</v>
      </c>
      <c r="H2131" s="1">
        <v>40749</v>
      </c>
      <c r="I2131" t="str">
        <f>"20"</f>
        <v>20</v>
      </c>
      <c r="J2131" t="s">
        <v>123</v>
      </c>
      <c r="K2131" t="s">
        <v>98</v>
      </c>
      <c r="L2131" t="s">
        <v>37</v>
      </c>
      <c r="M2131" t="s">
        <v>117</v>
      </c>
      <c r="N2131" s="1">
        <v>41631</v>
      </c>
      <c r="O2131">
        <v>4951.9799999999996</v>
      </c>
      <c r="P2131">
        <v>1237.94</v>
      </c>
      <c r="Q2131" t="s">
        <v>37</v>
      </c>
      <c r="R2131" t="s">
        <v>29</v>
      </c>
      <c r="S2131" t="s">
        <v>1494</v>
      </c>
      <c r="T2131" t="s">
        <v>1495</v>
      </c>
    </row>
    <row r="2132" spans="1:20" x14ac:dyDescent="0.25">
      <c r="A2132" t="s">
        <v>5665</v>
      </c>
      <c r="B2132" t="str">
        <f>"7767"</f>
        <v>7767</v>
      </c>
      <c r="C2132" t="str">
        <f>"269727767"</f>
        <v>269727767</v>
      </c>
      <c r="D2132" t="s">
        <v>4075</v>
      </c>
      <c r="E2132" t="s">
        <v>5666</v>
      </c>
      <c r="G2132" s="1">
        <v>24370</v>
      </c>
      <c r="H2132" s="1">
        <v>40749</v>
      </c>
      <c r="I2132" t="str">
        <f>"09"</f>
        <v>09</v>
      </c>
      <c r="J2132" t="s">
        <v>4483</v>
      </c>
      <c r="K2132" t="s">
        <v>175</v>
      </c>
      <c r="L2132" t="s">
        <v>37</v>
      </c>
      <c r="M2132" t="s">
        <v>117</v>
      </c>
      <c r="N2132" s="1">
        <v>41617</v>
      </c>
      <c r="O2132">
        <v>5288.66</v>
      </c>
      <c r="P2132">
        <v>1322.1</v>
      </c>
      <c r="Q2132" t="s">
        <v>37</v>
      </c>
      <c r="R2132" t="s">
        <v>29</v>
      </c>
      <c r="S2132" t="s">
        <v>3986</v>
      </c>
      <c r="T2132" t="s">
        <v>3987</v>
      </c>
    </row>
    <row r="2133" spans="1:20" x14ac:dyDescent="0.25">
      <c r="A2133" t="s">
        <v>5667</v>
      </c>
      <c r="B2133" t="str">
        <f>"3242"</f>
        <v>3242</v>
      </c>
      <c r="C2133" t="str">
        <f>"289503242"</f>
        <v>289503242</v>
      </c>
      <c r="D2133" t="s">
        <v>5668</v>
      </c>
      <c r="E2133" t="s">
        <v>838</v>
      </c>
      <c r="F2133" t="s">
        <v>264</v>
      </c>
      <c r="G2133" s="1">
        <v>24382</v>
      </c>
      <c r="H2133" s="1">
        <v>40749</v>
      </c>
      <c r="I2133" t="str">
        <f>"20"</f>
        <v>20</v>
      </c>
      <c r="J2133" t="s">
        <v>123</v>
      </c>
      <c r="K2133" t="s">
        <v>98</v>
      </c>
      <c r="L2133" t="s">
        <v>37</v>
      </c>
      <c r="M2133" t="s">
        <v>99</v>
      </c>
      <c r="N2133" s="1">
        <v>41631</v>
      </c>
      <c r="O2133">
        <v>14801.82</v>
      </c>
      <c r="P2133">
        <v>3700.4</v>
      </c>
      <c r="Q2133" t="s">
        <v>37</v>
      </c>
      <c r="R2133" t="s">
        <v>346</v>
      </c>
      <c r="S2133" t="s">
        <v>1526</v>
      </c>
      <c r="T2133" t="s">
        <v>1527</v>
      </c>
    </row>
    <row r="2134" spans="1:20" x14ac:dyDescent="0.25">
      <c r="A2134" t="s">
        <v>5669</v>
      </c>
      <c r="B2134" t="str">
        <f>"4880"</f>
        <v>4880</v>
      </c>
      <c r="C2134" t="str">
        <f>"160644880"</f>
        <v>160644880</v>
      </c>
      <c r="D2134" t="s">
        <v>5670</v>
      </c>
      <c r="E2134" t="s">
        <v>197</v>
      </c>
      <c r="F2134" t="s">
        <v>239</v>
      </c>
      <c r="G2134" s="1">
        <v>30245</v>
      </c>
      <c r="H2134" s="1">
        <v>40742</v>
      </c>
      <c r="I2134" t="str">
        <f>"52"</f>
        <v>52</v>
      </c>
      <c r="J2134" t="s">
        <v>330</v>
      </c>
      <c r="K2134" t="s">
        <v>25</v>
      </c>
      <c r="L2134" t="s">
        <v>26</v>
      </c>
      <c r="M2134" t="s">
        <v>27</v>
      </c>
      <c r="N2134" s="1">
        <v>18629</v>
      </c>
      <c r="O2134">
        <v>0</v>
      </c>
      <c r="P2134">
        <v>0</v>
      </c>
      <c r="Q2134" t="s">
        <v>28</v>
      </c>
      <c r="R2134" t="s">
        <v>51</v>
      </c>
      <c r="S2134" s="2" t="s">
        <v>1148</v>
      </c>
      <c r="T2134" t="s">
        <v>1149</v>
      </c>
    </row>
    <row r="2135" spans="1:20" x14ac:dyDescent="0.25">
      <c r="A2135" t="s">
        <v>5671</v>
      </c>
      <c r="B2135" t="str">
        <f>"9062"</f>
        <v>9062</v>
      </c>
      <c r="C2135" t="str">
        <f>"272569062"</f>
        <v>272569062</v>
      </c>
      <c r="D2135" t="s">
        <v>5672</v>
      </c>
      <c r="E2135" t="s">
        <v>430</v>
      </c>
      <c r="G2135" s="1">
        <v>19842</v>
      </c>
      <c r="H2135" s="1">
        <v>40739</v>
      </c>
      <c r="I2135" t="str">
        <f>"41"</f>
        <v>41</v>
      </c>
      <c r="J2135" t="s">
        <v>24</v>
      </c>
      <c r="K2135" t="s">
        <v>25</v>
      </c>
      <c r="L2135" t="s">
        <v>26</v>
      </c>
      <c r="M2135" t="s">
        <v>27</v>
      </c>
      <c r="N2135" s="1">
        <v>18629</v>
      </c>
      <c r="O2135">
        <v>0</v>
      </c>
      <c r="P2135">
        <v>0</v>
      </c>
      <c r="Q2135" t="s">
        <v>28</v>
      </c>
      <c r="R2135" t="s">
        <v>71</v>
      </c>
      <c r="S2135" t="s">
        <v>402</v>
      </c>
      <c r="T2135" t="s">
        <v>403</v>
      </c>
    </row>
    <row r="2136" spans="1:20" x14ac:dyDescent="0.25">
      <c r="A2136" t="s">
        <v>5673</v>
      </c>
      <c r="B2136" t="str">
        <f>"2253"</f>
        <v>2253</v>
      </c>
      <c r="C2136" t="str">
        <f>"729052253"</f>
        <v>729052253</v>
      </c>
      <c r="D2136" t="s">
        <v>5674</v>
      </c>
      <c r="E2136" t="s">
        <v>5675</v>
      </c>
      <c r="F2136" t="s">
        <v>5676</v>
      </c>
      <c r="G2136" s="1">
        <v>24516</v>
      </c>
      <c r="H2136" s="1">
        <v>40736</v>
      </c>
      <c r="I2136" t="str">
        <f>"51"</f>
        <v>51</v>
      </c>
      <c r="J2136" t="s">
        <v>471</v>
      </c>
      <c r="K2136" t="s">
        <v>25</v>
      </c>
      <c r="L2136" t="s">
        <v>26</v>
      </c>
      <c r="M2136" t="s">
        <v>27</v>
      </c>
      <c r="N2136" s="1">
        <v>18629</v>
      </c>
      <c r="O2136">
        <v>0</v>
      </c>
      <c r="P2136">
        <v>0</v>
      </c>
      <c r="Q2136" t="s">
        <v>37</v>
      </c>
      <c r="R2136" t="s">
        <v>29</v>
      </c>
      <c r="S2136" t="s">
        <v>138</v>
      </c>
      <c r="T2136" t="s">
        <v>139</v>
      </c>
    </row>
    <row r="2137" spans="1:20" x14ac:dyDescent="0.25">
      <c r="A2137" t="s">
        <v>5677</v>
      </c>
      <c r="B2137" t="str">
        <f>"6104"</f>
        <v>6104</v>
      </c>
      <c r="C2137" t="str">
        <f>"298486104"</f>
        <v>298486104</v>
      </c>
      <c r="D2137" t="s">
        <v>5678</v>
      </c>
      <c r="E2137" t="s">
        <v>3412</v>
      </c>
      <c r="G2137" s="1">
        <v>21264</v>
      </c>
      <c r="H2137" s="1">
        <v>40736</v>
      </c>
      <c r="I2137" t="str">
        <f>"52"</f>
        <v>52</v>
      </c>
      <c r="J2137" t="s">
        <v>330</v>
      </c>
      <c r="K2137" t="s">
        <v>25</v>
      </c>
      <c r="L2137" t="s">
        <v>26</v>
      </c>
      <c r="M2137" t="s">
        <v>27</v>
      </c>
      <c r="N2137" s="1">
        <v>18629</v>
      </c>
      <c r="O2137">
        <v>0</v>
      </c>
      <c r="P2137">
        <v>0</v>
      </c>
      <c r="Q2137" t="s">
        <v>28</v>
      </c>
      <c r="R2137" t="s">
        <v>258</v>
      </c>
      <c r="S2137" t="s">
        <v>336</v>
      </c>
      <c r="T2137" t="s">
        <v>337</v>
      </c>
    </row>
    <row r="2138" spans="1:20" x14ac:dyDescent="0.25">
      <c r="A2138" t="s">
        <v>5679</v>
      </c>
      <c r="B2138" t="str">
        <f>"4392"</f>
        <v>4392</v>
      </c>
      <c r="C2138" t="str">
        <f>"295504392"</f>
        <v>295504392</v>
      </c>
      <c r="D2138" t="s">
        <v>5680</v>
      </c>
      <c r="E2138" t="s">
        <v>588</v>
      </c>
      <c r="F2138" t="s">
        <v>264</v>
      </c>
      <c r="G2138" s="1">
        <v>18818</v>
      </c>
      <c r="H2138" s="1">
        <v>40736</v>
      </c>
      <c r="I2138" t="str">
        <f>"52"</f>
        <v>52</v>
      </c>
      <c r="J2138" t="s">
        <v>330</v>
      </c>
      <c r="K2138" t="s">
        <v>25</v>
      </c>
      <c r="L2138" t="s">
        <v>26</v>
      </c>
      <c r="M2138" t="s">
        <v>27</v>
      </c>
      <c r="N2138" s="1">
        <v>18629</v>
      </c>
      <c r="O2138">
        <v>0</v>
      </c>
      <c r="P2138">
        <v>0</v>
      </c>
      <c r="Q2138" t="s">
        <v>28</v>
      </c>
      <c r="R2138" t="s">
        <v>258</v>
      </c>
      <c r="S2138" t="s">
        <v>336</v>
      </c>
      <c r="T2138" t="s">
        <v>337</v>
      </c>
    </row>
    <row r="2139" spans="1:20" x14ac:dyDescent="0.25">
      <c r="A2139" t="s">
        <v>5681</v>
      </c>
      <c r="B2139" t="str">
        <f>"6807"</f>
        <v>6807</v>
      </c>
      <c r="C2139" t="str">
        <f>"283906807"</f>
        <v>283906807</v>
      </c>
      <c r="D2139" t="s">
        <v>5682</v>
      </c>
      <c r="E2139" t="s">
        <v>3760</v>
      </c>
      <c r="G2139" s="1">
        <v>30871</v>
      </c>
      <c r="H2139" s="1">
        <v>40735</v>
      </c>
      <c r="I2139" t="str">
        <f>"05"</f>
        <v>05</v>
      </c>
      <c r="J2139" t="s">
        <v>58</v>
      </c>
      <c r="K2139" t="s">
        <v>98</v>
      </c>
      <c r="L2139" t="s">
        <v>37</v>
      </c>
      <c r="M2139" t="s">
        <v>117</v>
      </c>
      <c r="N2139" s="1">
        <v>41617</v>
      </c>
      <c r="O2139">
        <v>4951.96</v>
      </c>
      <c r="P2139">
        <v>1237.8599999999999</v>
      </c>
      <c r="Q2139" t="s">
        <v>37</v>
      </c>
      <c r="R2139" t="s">
        <v>29</v>
      </c>
      <c r="S2139" t="s">
        <v>3444</v>
      </c>
      <c r="T2139" t="s">
        <v>3445</v>
      </c>
    </row>
    <row r="2140" spans="1:20" x14ac:dyDescent="0.25">
      <c r="A2140" t="s">
        <v>5683</v>
      </c>
      <c r="B2140" t="str">
        <f>"1454"</f>
        <v>1454</v>
      </c>
      <c r="C2140" t="str">
        <f>"271681454"</f>
        <v>271681454</v>
      </c>
      <c r="D2140" t="s">
        <v>5684</v>
      </c>
      <c r="E2140" t="s">
        <v>2364</v>
      </c>
      <c r="F2140" t="s">
        <v>256</v>
      </c>
      <c r="G2140" s="1">
        <v>21557</v>
      </c>
      <c r="H2140" s="1">
        <v>40735</v>
      </c>
      <c r="I2140" t="str">
        <f>"05"</f>
        <v>05</v>
      </c>
      <c r="J2140" t="s">
        <v>58</v>
      </c>
      <c r="K2140" t="s">
        <v>175</v>
      </c>
      <c r="L2140" t="s">
        <v>37</v>
      </c>
      <c r="M2140" t="s">
        <v>117</v>
      </c>
      <c r="N2140" s="1">
        <v>41617</v>
      </c>
      <c r="O2140">
        <v>5288.66</v>
      </c>
      <c r="P2140">
        <v>1322.1</v>
      </c>
      <c r="Q2140" t="s">
        <v>37</v>
      </c>
      <c r="R2140" t="s">
        <v>258</v>
      </c>
      <c r="S2140" t="s">
        <v>491</v>
      </c>
      <c r="T2140" t="s">
        <v>492</v>
      </c>
    </row>
    <row r="2141" spans="1:20" x14ac:dyDescent="0.25">
      <c r="A2141" t="s">
        <v>5685</v>
      </c>
      <c r="B2141" t="str">
        <f>"7706"</f>
        <v>7706</v>
      </c>
      <c r="C2141" t="str">
        <f>"299927706"</f>
        <v>299927706</v>
      </c>
      <c r="D2141" t="s">
        <v>5686</v>
      </c>
      <c r="E2141" t="s">
        <v>5687</v>
      </c>
      <c r="F2141" t="s">
        <v>97</v>
      </c>
      <c r="G2141" s="1">
        <v>33334</v>
      </c>
      <c r="H2141" s="1">
        <v>40735</v>
      </c>
      <c r="I2141" t="str">
        <f>"42"</f>
        <v>42</v>
      </c>
      <c r="J2141" t="s">
        <v>367</v>
      </c>
      <c r="K2141" t="s">
        <v>25</v>
      </c>
      <c r="L2141" t="s">
        <v>26</v>
      </c>
      <c r="M2141" t="s">
        <v>27</v>
      </c>
      <c r="N2141" s="1">
        <v>18629</v>
      </c>
      <c r="O2141">
        <v>0</v>
      </c>
      <c r="P2141">
        <v>0</v>
      </c>
      <c r="Q2141" t="s">
        <v>37</v>
      </c>
      <c r="R2141" t="s">
        <v>346</v>
      </c>
      <c r="S2141" t="s">
        <v>495</v>
      </c>
      <c r="T2141" t="s">
        <v>496</v>
      </c>
    </row>
    <row r="2142" spans="1:20" x14ac:dyDescent="0.25">
      <c r="A2142" t="s">
        <v>5688</v>
      </c>
      <c r="B2142" t="str">
        <f>"3290"</f>
        <v>3290</v>
      </c>
      <c r="C2142" t="str">
        <f>"176483290"</f>
        <v>176483290</v>
      </c>
      <c r="D2142" t="s">
        <v>5689</v>
      </c>
      <c r="E2142" t="s">
        <v>3978</v>
      </c>
      <c r="F2142" t="s">
        <v>97</v>
      </c>
      <c r="G2142" s="1">
        <v>21418</v>
      </c>
      <c r="H2142" s="1">
        <v>40735</v>
      </c>
      <c r="I2142" t="str">
        <f>"08"</f>
        <v>08</v>
      </c>
      <c r="J2142" t="s">
        <v>265</v>
      </c>
      <c r="K2142" t="s">
        <v>98</v>
      </c>
      <c r="L2142" t="s">
        <v>37</v>
      </c>
      <c r="M2142" t="s">
        <v>257</v>
      </c>
      <c r="N2142" s="1">
        <v>41617</v>
      </c>
      <c r="O2142">
        <v>10753.08</v>
      </c>
      <c r="P2142">
        <v>2688.4</v>
      </c>
      <c r="Q2142" t="s">
        <v>28</v>
      </c>
      <c r="R2142" t="s">
        <v>29</v>
      </c>
      <c r="S2142" t="s">
        <v>982</v>
      </c>
      <c r="T2142" t="s">
        <v>983</v>
      </c>
    </row>
    <row r="2143" spans="1:20" x14ac:dyDescent="0.25">
      <c r="A2143" t="s">
        <v>5690</v>
      </c>
      <c r="B2143" t="str">
        <f>"0802"</f>
        <v>0802</v>
      </c>
      <c r="C2143" t="str">
        <f>"510580802"</f>
        <v>510580802</v>
      </c>
      <c r="D2143" t="s">
        <v>2022</v>
      </c>
      <c r="E2143" t="s">
        <v>5691</v>
      </c>
      <c r="G2143" s="1">
        <v>22116</v>
      </c>
      <c r="H2143" s="1">
        <v>40735</v>
      </c>
      <c r="I2143" t="str">
        <f>"01"</f>
        <v>01</v>
      </c>
      <c r="J2143" t="s">
        <v>116</v>
      </c>
      <c r="K2143" t="s">
        <v>98</v>
      </c>
      <c r="L2143" t="s">
        <v>37</v>
      </c>
      <c r="M2143" t="s">
        <v>99</v>
      </c>
      <c r="N2143" s="1">
        <v>41617</v>
      </c>
      <c r="O2143">
        <v>14801.8</v>
      </c>
      <c r="P2143">
        <v>3700.32</v>
      </c>
      <c r="Q2143" t="s">
        <v>37</v>
      </c>
      <c r="R2143" t="s">
        <v>71</v>
      </c>
      <c r="S2143" t="s">
        <v>522</v>
      </c>
      <c r="T2143" t="s">
        <v>523</v>
      </c>
    </row>
    <row r="2144" spans="1:20" x14ac:dyDescent="0.25">
      <c r="A2144" t="s">
        <v>5692</v>
      </c>
      <c r="B2144" t="str">
        <f>"3815"</f>
        <v>3815</v>
      </c>
      <c r="C2144" t="str">
        <f>"279783815"</f>
        <v>279783815</v>
      </c>
      <c r="D2144" t="s">
        <v>5693</v>
      </c>
      <c r="E2144" t="s">
        <v>146</v>
      </c>
      <c r="F2144" t="s">
        <v>358</v>
      </c>
      <c r="G2144" s="1">
        <v>29223</v>
      </c>
      <c r="H2144" s="1">
        <v>40735</v>
      </c>
      <c r="I2144" t="str">
        <f>"05"</f>
        <v>05</v>
      </c>
      <c r="J2144" t="s">
        <v>58</v>
      </c>
      <c r="K2144" t="s">
        <v>175</v>
      </c>
      <c r="L2144" t="s">
        <v>37</v>
      </c>
      <c r="M2144" t="s">
        <v>99</v>
      </c>
      <c r="N2144" s="1">
        <v>41841</v>
      </c>
      <c r="O2144">
        <v>16411.72</v>
      </c>
      <c r="P2144">
        <v>4102.8</v>
      </c>
      <c r="Q2144" t="s">
        <v>37</v>
      </c>
      <c r="R2144" t="s">
        <v>51</v>
      </c>
      <c r="S2144" s="2" t="s">
        <v>1972</v>
      </c>
      <c r="T2144" t="s">
        <v>1973</v>
      </c>
    </row>
    <row r="2145" spans="1:20" x14ac:dyDescent="0.25">
      <c r="A2145" t="s">
        <v>5694</v>
      </c>
      <c r="B2145" t="str">
        <f>"5241"</f>
        <v>5241</v>
      </c>
      <c r="C2145" t="str">
        <f>"287925241"</f>
        <v>287925241</v>
      </c>
      <c r="D2145" t="s">
        <v>5695</v>
      </c>
      <c r="E2145" t="s">
        <v>35</v>
      </c>
      <c r="F2145" t="s">
        <v>345</v>
      </c>
      <c r="G2145" s="1">
        <v>30217</v>
      </c>
      <c r="H2145" s="1">
        <v>40731</v>
      </c>
      <c r="I2145" t="str">
        <f>"41"</f>
        <v>41</v>
      </c>
      <c r="J2145" t="s">
        <v>24</v>
      </c>
      <c r="K2145" t="s">
        <v>25</v>
      </c>
      <c r="L2145" t="s">
        <v>26</v>
      </c>
      <c r="M2145" t="s">
        <v>27</v>
      </c>
      <c r="N2145" s="1">
        <v>18629</v>
      </c>
      <c r="O2145">
        <v>0</v>
      </c>
      <c r="P2145">
        <v>0</v>
      </c>
      <c r="Q2145" t="s">
        <v>37</v>
      </c>
      <c r="R2145" t="s">
        <v>51</v>
      </c>
      <c r="S2145" t="s">
        <v>83</v>
      </c>
      <c r="T2145" t="s">
        <v>84</v>
      </c>
    </row>
    <row r="2146" spans="1:20" x14ac:dyDescent="0.25">
      <c r="A2146" t="s">
        <v>5696</v>
      </c>
      <c r="B2146" t="str">
        <f>"7993"</f>
        <v>7993</v>
      </c>
      <c r="C2146" t="str">
        <f>"442607993"</f>
        <v>442607993</v>
      </c>
      <c r="D2146" t="s">
        <v>5697</v>
      </c>
      <c r="E2146" t="s">
        <v>5698</v>
      </c>
      <c r="G2146" s="1">
        <v>21464</v>
      </c>
      <c r="H2146" s="1">
        <v>40729</v>
      </c>
      <c r="I2146" t="str">
        <f>"52"</f>
        <v>52</v>
      </c>
      <c r="J2146" t="s">
        <v>330</v>
      </c>
      <c r="K2146" t="s">
        <v>25</v>
      </c>
      <c r="L2146" t="s">
        <v>26</v>
      </c>
      <c r="M2146" t="s">
        <v>27</v>
      </c>
      <c r="N2146" s="1">
        <v>18629</v>
      </c>
      <c r="O2146">
        <v>0</v>
      </c>
      <c r="P2146">
        <v>0</v>
      </c>
      <c r="Q2146" t="s">
        <v>28</v>
      </c>
      <c r="R2146" t="s">
        <v>77</v>
      </c>
      <c r="S2146" t="s">
        <v>1235</v>
      </c>
      <c r="T2146" t="s">
        <v>1236</v>
      </c>
    </row>
    <row r="2147" spans="1:20" x14ac:dyDescent="0.25">
      <c r="A2147" t="s">
        <v>5699</v>
      </c>
      <c r="B2147" t="str">
        <f>"0771"</f>
        <v>0771</v>
      </c>
      <c r="C2147" t="str">
        <f>"273480771"</f>
        <v>273480771</v>
      </c>
      <c r="D2147" t="s">
        <v>5700</v>
      </c>
      <c r="E2147" t="s">
        <v>381</v>
      </c>
      <c r="F2147" t="s">
        <v>93</v>
      </c>
      <c r="G2147" s="1">
        <v>21603</v>
      </c>
      <c r="H2147" s="1">
        <v>40729</v>
      </c>
      <c r="I2147" t="str">
        <f>"03"</f>
        <v>03</v>
      </c>
      <c r="J2147" t="s">
        <v>70</v>
      </c>
      <c r="K2147" t="s">
        <v>98</v>
      </c>
      <c r="L2147" t="s">
        <v>37</v>
      </c>
      <c r="M2147" t="s">
        <v>257</v>
      </c>
      <c r="N2147" s="1">
        <v>41617</v>
      </c>
      <c r="O2147">
        <v>10753.08</v>
      </c>
      <c r="P2147">
        <v>2688.4</v>
      </c>
      <c r="Q2147" t="s">
        <v>37</v>
      </c>
      <c r="R2147" t="s">
        <v>51</v>
      </c>
      <c r="S2147" s="2" t="s">
        <v>3406</v>
      </c>
      <c r="T2147" t="s">
        <v>3407</v>
      </c>
    </row>
    <row r="2148" spans="1:20" x14ac:dyDescent="0.25">
      <c r="A2148" t="s">
        <v>5701</v>
      </c>
      <c r="B2148" t="str">
        <f>"8607"</f>
        <v>8607</v>
      </c>
      <c r="C2148" t="str">
        <f>"287788607"</f>
        <v>287788607</v>
      </c>
      <c r="D2148" t="s">
        <v>5702</v>
      </c>
      <c r="E2148" t="s">
        <v>1026</v>
      </c>
      <c r="G2148" s="1">
        <v>24195</v>
      </c>
      <c r="H2148" s="1">
        <v>40729</v>
      </c>
      <c r="I2148" t="str">
        <f>"12"</f>
        <v>12</v>
      </c>
      <c r="J2148" t="s">
        <v>245</v>
      </c>
      <c r="K2148" t="s">
        <v>98</v>
      </c>
      <c r="L2148" t="s">
        <v>37</v>
      </c>
      <c r="M2148" t="s">
        <v>117</v>
      </c>
      <c r="N2148" s="1">
        <v>41617</v>
      </c>
      <c r="O2148">
        <v>4951.96</v>
      </c>
      <c r="P2148">
        <v>1237.8599999999999</v>
      </c>
      <c r="Q2148" t="s">
        <v>37</v>
      </c>
      <c r="R2148" t="s">
        <v>71</v>
      </c>
      <c r="S2148" t="s">
        <v>541</v>
      </c>
      <c r="T2148" t="s">
        <v>542</v>
      </c>
    </row>
    <row r="2149" spans="1:20" x14ac:dyDescent="0.25">
      <c r="A2149" t="s">
        <v>5703</v>
      </c>
      <c r="B2149" t="str">
        <f>"9694"</f>
        <v>9694</v>
      </c>
      <c r="C2149" t="str">
        <f>"297689694"</f>
        <v>297689694</v>
      </c>
      <c r="D2149" t="s">
        <v>3442</v>
      </c>
      <c r="E2149" t="s">
        <v>5704</v>
      </c>
      <c r="G2149" s="1">
        <v>26099</v>
      </c>
      <c r="H2149" s="1">
        <v>40728</v>
      </c>
      <c r="I2149" t="str">
        <f>"01"</f>
        <v>01</v>
      </c>
      <c r="J2149" t="s">
        <v>116</v>
      </c>
      <c r="K2149" t="s">
        <v>98</v>
      </c>
      <c r="L2149" t="s">
        <v>37</v>
      </c>
      <c r="M2149" t="s">
        <v>99</v>
      </c>
      <c r="N2149" s="1">
        <v>41617</v>
      </c>
      <c r="O2149">
        <v>14801.8</v>
      </c>
      <c r="P2149">
        <v>3700.32</v>
      </c>
      <c r="Q2149" t="s">
        <v>37</v>
      </c>
      <c r="R2149" t="s">
        <v>110</v>
      </c>
      <c r="S2149" t="s">
        <v>1346</v>
      </c>
      <c r="T2149" t="s">
        <v>1347</v>
      </c>
    </row>
    <row r="2150" spans="1:20" x14ac:dyDescent="0.25">
      <c r="A2150" t="s">
        <v>5705</v>
      </c>
      <c r="B2150" t="str">
        <f>"7412"</f>
        <v>7412</v>
      </c>
      <c r="C2150" t="str">
        <f>"371647412"</f>
        <v>371647412</v>
      </c>
      <c r="D2150" t="s">
        <v>1087</v>
      </c>
      <c r="E2150" t="s">
        <v>5706</v>
      </c>
      <c r="G2150" s="1">
        <v>21008</v>
      </c>
      <c r="H2150" s="1">
        <v>40725</v>
      </c>
      <c r="I2150" t="str">
        <f>"12"</f>
        <v>12</v>
      </c>
      <c r="J2150" t="s">
        <v>245</v>
      </c>
      <c r="K2150" t="s">
        <v>98</v>
      </c>
      <c r="L2150" t="s">
        <v>37</v>
      </c>
      <c r="M2150" t="s">
        <v>117</v>
      </c>
      <c r="N2150" s="1">
        <v>41617</v>
      </c>
      <c r="O2150">
        <v>4951.96</v>
      </c>
      <c r="P2150">
        <v>1237.8599999999999</v>
      </c>
      <c r="Q2150" t="s">
        <v>37</v>
      </c>
      <c r="R2150" t="s">
        <v>29</v>
      </c>
      <c r="S2150" t="s">
        <v>185</v>
      </c>
      <c r="T2150" t="s">
        <v>186</v>
      </c>
    </row>
    <row r="2151" spans="1:20" x14ac:dyDescent="0.25">
      <c r="A2151" t="s">
        <v>5707</v>
      </c>
      <c r="B2151" t="str">
        <f>"9160"</f>
        <v>9160</v>
      </c>
      <c r="C2151" t="str">
        <f>"294589160"</f>
        <v>294589160</v>
      </c>
      <c r="D2151" t="s">
        <v>5708</v>
      </c>
      <c r="E2151" t="s">
        <v>470</v>
      </c>
      <c r="F2151" t="s">
        <v>414</v>
      </c>
      <c r="G2151" s="1">
        <v>21382</v>
      </c>
      <c r="H2151" s="1">
        <v>40725</v>
      </c>
      <c r="I2151" t="str">
        <f>"52"</f>
        <v>52</v>
      </c>
      <c r="J2151" t="s">
        <v>330</v>
      </c>
      <c r="K2151" t="s">
        <v>25</v>
      </c>
      <c r="L2151" t="s">
        <v>26</v>
      </c>
      <c r="M2151" t="s">
        <v>27</v>
      </c>
      <c r="N2151" s="1">
        <v>18629</v>
      </c>
      <c r="O2151">
        <v>0</v>
      </c>
      <c r="P2151">
        <v>0</v>
      </c>
      <c r="Q2151" t="s">
        <v>28</v>
      </c>
      <c r="R2151" t="s">
        <v>71</v>
      </c>
      <c r="S2151" t="s">
        <v>402</v>
      </c>
      <c r="T2151" t="s">
        <v>403</v>
      </c>
    </row>
    <row r="2152" spans="1:20" x14ac:dyDescent="0.25">
      <c r="A2152" t="s">
        <v>5709</v>
      </c>
      <c r="B2152" t="str">
        <f>"1630"</f>
        <v>1630</v>
      </c>
      <c r="C2152" t="str">
        <f>"053621630"</f>
        <v>053621630</v>
      </c>
      <c r="D2152" t="s">
        <v>5710</v>
      </c>
      <c r="E2152" t="s">
        <v>1026</v>
      </c>
      <c r="F2152" t="s">
        <v>165</v>
      </c>
      <c r="G2152" s="1">
        <v>20735</v>
      </c>
      <c r="H2152" s="1">
        <v>40725</v>
      </c>
      <c r="I2152" t="str">
        <f>"12"</f>
        <v>12</v>
      </c>
      <c r="J2152" t="s">
        <v>245</v>
      </c>
      <c r="L2152" t="s">
        <v>37</v>
      </c>
      <c r="M2152" t="s">
        <v>143</v>
      </c>
      <c r="N2152" s="1">
        <v>41617</v>
      </c>
      <c r="O2152">
        <v>185.9</v>
      </c>
      <c r="P2152">
        <v>-185.9</v>
      </c>
      <c r="Q2152" t="s">
        <v>37</v>
      </c>
      <c r="R2152" t="s">
        <v>29</v>
      </c>
      <c r="S2152" t="s">
        <v>541</v>
      </c>
      <c r="T2152" t="s">
        <v>542</v>
      </c>
    </row>
    <row r="2153" spans="1:20" x14ac:dyDescent="0.25">
      <c r="A2153" t="s">
        <v>5711</v>
      </c>
      <c r="B2153" t="str">
        <f>"8483"</f>
        <v>8483</v>
      </c>
      <c r="C2153" t="str">
        <f>"314608483"</f>
        <v>314608483</v>
      </c>
      <c r="D2153" t="s">
        <v>5712</v>
      </c>
      <c r="E2153" t="s">
        <v>255</v>
      </c>
      <c r="F2153" t="s">
        <v>219</v>
      </c>
      <c r="G2153" s="1">
        <v>25218</v>
      </c>
      <c r="H2153" s="1">
        <v>40725</v>
      </c>
      <c r="I2153" t="str">
        <f>"41"</f>
        <v>41</v>
      </c>
      <c r="J2153" t="s">
        <v>24</v>
      </c>
      <c r="K2153" t="s">
        <v>25</v>
      </c>
      <c r="L2153" t="s">
        <v>26</v>
      </c>
      <c r="M2153" t="s">
        <v>27</v>
      </c>
      <c r="N2153" s="1">
        <v>18629</v>
      </c>
      <c r="O2153">
        <v>0</v>
      </c>
      <c r="P2153">
        <v>0</v>
      </c>
      <c r="Q2153" t="s">
        <v>37</v>
      </c>
      <c r="R2153" t="s">
        <v>51</v>
      </c>
      <c r="S2153" t="s">
        <v>527</v>
      </c>
      <c r="T2153" t="s">
        <v>528</v>
      </c>
    </row>
    <row r="2154" spans="1:20" x14ac:dyDescent="0.25">
      <c r="A2154" t="s">
        <v>5713</v>
      </c>
      <c r="B2154" t="str">
        <f>"8235"</f>
        <v>8235</v>
      </c>
      <c r="C2154" t="str">
        <f>"272648235"</f>
        <v>272648235</v>
      </c>
      <c r="D2154" t="s">
        <v>777</v>
      </c>
      <c r="E2154" t="s">
        <v>1722</v>
      </c>
      <c r="G2154" s="1">
        <v>21809</v>
      </c>
      <c r="H2154" s="1">
        <v>40725</v>
      </c>
      <c r="I2154" t="str">
        <f>"05"</f>
        <v>05</v>
      </c>
      <c r="J2154" t="s">
        <v>58</v>
      </c>
      <c r="K2154" t="s">
        <v>98</v>
      </c>
      <c r="L2154" t="s">
        <v>37</v>
      </c>
      <c r="M2154" t="s">
        <v>257</v>
      </c>
      <c r="N2154" s="1">
        <v>41617</v>
      </c>
      <c r="O2154">
        <v>10753.08</v>
      </c>
      <c r="P2154">
        <v>2688.4</v>
      </c>
      <c r="Q2154" t="s">
        <v>37</v>
      </c>
      <c r="R2154" t="s">
        <v>71</v>
      </c>
      <c r="S2154" t="s">
        <v>2790</v>
      </c>
      <c r="T2154" t="s">
        <v>2791</v>
      </c>
    </row>
    <row r="2155" spans="1:20" x14ac:dyDescent="0.25">
      <c r="A2155" t="s">
        <v>5714</v>
      </c>
      <c r="B2155" t="str">
        <f>"0973"</f>
        <v>0973</v>
      </c>
      <c r="C2155" t="str">
        <f>"272380973"</f>
        <v>272380973</v>
      </c>
      <c r="D2155" t="s">
        <v>5715</v>
      </c>
      <c r="E2155" t="s">
        <v>2908</v>
      </c>
      <c r="F2155" t="s">
        <v>2256</v>
      </c>
      <c r="G2155" s="1">
        <v>15609</v>
      </c>
      <c r="H2155" s="1">
        <v>40725</v>
      </c>
      <c r="I2155" t="str">
        <f>"41"</f>
        <v>41</v>
      </c>
      <c r="J2155" t="s">
        <v>24</v>
      </c>
      <c r="K2155" t="s">
        <v>25</v>
      </c>
      <c r="L2155" t="s">
        <v>26</v>
      </c>
      <c r="M2155" t="s">
        <v>27</v>
      </c>
      <c r="N2155" s="1">
        <v>18629</v>
      </c>
      <c r="O2155">
        <v>0</v>
      </c>
      <c r="P2155">
        <v>0</v>
      </c>
      <c r="Q2155" t="s">
        <v>37</v>
      </c>
      <c r="R2155" t="s">
        <v>100</v>
      </c>
      <c r="S2155" t="s">
        <v>138</v>
      </c>
      <c r="T2155" t="s">
        <v>139</v>
      </c>
    </row>
    <row r="2156" spans="1:20" x14ac:dyDescent="0.25">
      <c r="A2156" t="s">
        <v>5716</v>
      </c>
      <c r="B2156" t="str">
        <f>"6401"</f>
        <v>6401</v>
      </c>
      <c r="C2156" t="str">
        <f>"298726401"</f>
        <v>298726401</v>
      </c>
      <c r="D2156" t="s">
        <v>3232</v>
      </c>
      <c r="E2156" t="s">
        <v>49</v>
      </c>
      <c r="F2156" t="s">
        <v>438</v>
      </c>
      <c r="G2156" s="1">
        <v>23362</v>
      </c>
      <c r="H2156" s="1">
        <v>40725</v>
      </c>
      <c r="I2156" t="str">
        <f>"41"</f>
        <v>41</v>
      </c>
      <c r="J2156" t="s">
        <v>24</v>
      </c>
      <c r="K2156" t="s">
        <v>25</v>
      </c>
      <c r="L2156" t="s">
        <v>26</v>
      </c>
      <c r="M2156" t="s">
        <v>27</v>
      </c>
      <c r="N2156" s="1">
        <v>18629</v>
      </c>
      <c r="O2156">
        <v>0</v>
      </c>
      <c r="P2156">
        <v>0</v>
      </c>
      <c r="Q2156" t="s">
        <v>37</v>
      </c>
      <c r="R2156" t="s">
        <v>100</v>
      </c>
      <c r="S2156" t="s">
        <v>541</v>
      </c>
      <c r="T2156" t="s">
        <v>542</v>
      </c>
    </row>
    <row r="2157" spans="1:20" x14ac:dyDescent="0.25">
      <c r="A2157" t="s">
        <v>5717</v>
      </c>
      <c r="B2157" t="str">
        <f>"6076"</f>
        <v>6076</v>
      </c>
      <c r="C2157" t="str">
        <f>"284866076"</f>
        <v>284866076</v>
      </c>
      <c r="D2157" t="s">
        <v>5718</v>
      </c>
      <c r="E2157" t="s">
        <v>5719</v>
      </c>
      <c r="F2157" t="s">
        <v>156</v>
      </c>
      <c r="G2157" s="1">
        <v>28994</v>
      </c>
      <c r="H2157" s="1">
        <v>40725</v>
      </c>
      <c r="I2157" t="str">
        <f>"30"</f>
        <v>30</v>
      </c>
      <c r="J2157" t="s">
        <v>50</v>
      </c>
      <c r="K2157" t="s">
        <v>25</v>
      </c>
      <c r="L2157" t="s">
        <v>26</v>
      </c>
      <c r="M2157" t="s">
        <v>27</v>
      </c>
      <c r="N2157" s="1">
        <v>18629</v>
      </c>
      <c r="O2157">
        <v>0</v>
      </c>
      <c r="P2157">
        <v>0</v>
      </c>
      <c r="Q2157" t="s">
        <v>37</v>
      </c>
      <c r="R2157" t="s">
        <v>29</v>
      </c>
      <c r="S2157" t="s">
        <v>3322</v>
      </c>
      <c r="T2157" t="s">
        <v>3323</v>
      </c>
    </row>
    <row r="2158" spans="1:20" x14ac:dyDescent="0.25">
      <c r="A2158" t="s">
        <v>5720</v>
      </c>
      <c r="B2158" t="str">
        <f>"6041"</f>
        <v>6041</v>
      </c>
      <c r="C2158" t="str">
        <f>"275766041"</f>
        <v>275766041</v>
      </c>
      <c r="D2158" t="s">
        <v>5721</v>
      </c>
      <c r="E2158" t="s">
        <v>35</v>
      </c>
      <c r="F2158" t="s">
        <v>219</v>
      </c>
      <c r="G2158" s="1">
        <v>25563</v>
      </c>
      <c r="H2158" s="1">
        <v>40725</v>
      </c>
      <c r="I2158" t="str">
        <f>"41"</f>
        <v>41</v>
      </c>
      <c r="J2158" t="s">
        <v>24</v>
      </c>
      <c r="K2158" t="s">
        <v>25</v>
      </c>
      <c r="L2158" t="s">
        <v>26</v>
      </c>
      <c r="M2158" t="s">
        <v>27</v>
      </c>
      <c r="N2158" s="1">
        <v>18629</v>
      </c>
      <c r="O2158">
        <v>0</v>
      </c>
      <c r="P2158">
        <v>0</v>
      </c>
      <c r="Q2158" t="s">
        <v>28</v>
      </c>
      <c r="R2158" t="s">
        <v>71</v>
      </c>
      <c r="S2158" t="s">
        <v>402</v>
      </c>
      <c r="T2158" t="s">
        <v>403</v>
      </c>
    </row>
    <row r="2159" spans="1:20" x14ac:dyDescent="0.25">
      <c r="A2159" t="s">
        <v>5722</v>
      </c>
      <c r="B2159" t="str">
        <f>"7640"</f>
        <v>7640</v>
      </c>
      <c r="C2159" t="str">
        <f>"293747640"</f>
        <v>293747640</v>
      </c>
      <c r="D2159" t="s">
        <v>5006</v>
      </c>
      <c r="E2159" t="s">
        <v>870</v>
      </c>
      <c r="G2159" s="1">
        <v>25526</v>
      </c>
      <c r="H2159" s="1">
        <v>40725</v>
      </c>
      <c r="I2159" t="str">
        <f>"05"</f>
        <v>05</v>
      </c>
      <c r="J2159" t="s">
        <v>58</v>
      </c>
      <c r="K2159" t="s">
        <v>98</v>
      </c>
      <c r="L2159" t="s">
        <v>37</v>
      </c>
      <c r="M2159" t="s">
        <v>117</v>
      </c>
      <c r="N2159" s="1">
        <v>41617</v>
      </c>
      <c r="O2159">
        <v>4951.96</v>
      </c>
      <c r="P2159">
        <v>1237.8599999999999</v>
      </c>
      <c r="Q2159" t="s">
        <v>37</v>
      </c>
      <c r="R2159" t="s">
        <v>51</v>
      </c>
      <c r="S2159" s="2" t="s">
        <v>3406</v>
      </c>
      <c r="T2159" t="s">
        <v>3407</v>
      </c>
    </row>
    <row r="2160" spans="1:20" x14ac:dyDescent="0.25">
      <c r="A2160" t="s">
        <v>5723</v>
      </c>
      <c r="B2160" t="str">
        <f>"5685"</f>
        <v>5685</v>
      </c>
      <c r="C2160" t="str">
        <f>"287525685"</f>
        <v>287525685</v>
      </c>
      <c r="D2160" t="s">
        <v>5724</v>
      </c>
      <c r="E2160" t="s">
        <v>35</v>
      </c>
      <c r="F2160" t="s">
        <v>93</v>
      </c>
      <c r="G2160" s="1">
        <v>19466</v>
      </c>
      <c r="H2160" s="1">
        <v>40725</v>
      </c>
      <c r="I2160" t="str">
        <f>"30"</f>
        <v>30</v>
      </c>
      <c r="J2160" t="s">
        <v>50</v>
      </c>
      <c r="K2160" t="s">
        <v>25</v>
      </c>
      <c r="L2160" t="s">
        <v>26</v>
      </c>
      <c r="M2160" t="s">
        <v>27</v>
      </c>
      <c r="N2160" s="1">
        <v>18629</v>
      </c>
      <c r="O2160">
        <v>0</v>
      </c>
      <c r="P2160">
        <v>0</v>
      </c>
      <c r="Q2160" t="s">
        <v>28</v>
      </c>
      <c r="R2160" t="s">
        <v>29</v>
      </c>
      <c r="S2160" t="s">
        <v>5068</v>
      </c>
      <c r="T2160" t="s">
        <v>5069</v>
      </c>
    </row>
    <row r="2161" spans="1:20" x14ac:dyDescent="0.25">
      <c r="A2161" t="s">
        <v>5725</v>
      </c>
      <c r="B2161" t="str">
        <f>"0755"</f>
        <v>0755</v>
      </c>
      <c r="C2161" t="str">
        <f>"141540755"</f>
        <v>141540755</v>
      </c>
      <c r="D2161" t="s">
        <v>5726</v>
      </c>
      <c r="E2161" t="s">
        <v>756</v>
      </c>
      <c r="G2161" s="1">
        <v>20854</v>
      </c>
      <c r="H2161" s="1">
        <v>40725</v>
      </c>
      <c r="I2161" t="str">
        <f>"30"</f>
        <v>30</v>
      </c>
      <c r="J2161" t="s">
        <v>50</v>
      </c>
      <c r="K2161" t="s">
        <v>25</v>
      </c>
      <c r="L2161" t="s">
        <v>26</v>
      </c>
      <c r="M2161" t="s">
        <v>27</v>
      </c>
      <c r="N2161" s="1">
        <v>18629</v>
      </c>
      <c r="O2161">
        <v>0</v>
      </c>
      <c r="P2161">
        <v>0</v>
      </c>
      <c r="Q2161" t="s">
        <v>37</v>
      </c>
      <c r="R2161" t="s">
        <v>29</v>
      </c>
      <c r="S2161" t="s">
        <v>5068</v>
      </c>
      <c r="T2161" t="s">
        <v>5069</v>
      </c>
    </row>
    <row r="2162" spans="1:20" x14ac:dyDescent="0.25">
      <c r="A2162" t="s">
        <v>5727</v>
      </c>
      <c r="B2162" t="str">
        <f>"4461"</f>
        <v>4461</v>
      </c>
      <c r="C2162" t="str">
        <f>"273464461"</f>
        <v>273464461</v>
      </c>
      <c r="D2162" t="s">
        <v>5728</v>
      </c>
      <c r="E2162" t="s">
        <v>2463</v>
      </c>
      <c r="F2162" t="s">
        <v>629</v>
      </c>
      <c r="G2162" s="1">
        <v>21823</v>
      </c>
      <c r="H2162" s="1">
        <v>40725</v>
      </c>
      <c r="I2162" t="str">
        <f>"30"</f>
        <v>30</v>
      </c>
      <c r="J2162" t="s">
        <v>50</v>
      </c>
      <c r="K2162" t="s">
        <v>25</v>
      </c>
      <c r="L2162" t="s">
        <v>26</v>
      </c>
      <c r="M2162" t="s">
        <v>27</v>
      </c>
      <c r="N2162" s="1">
        <v>18629</v>
      </c>
      <c r="O2162">
        <v>0</v>
      </c>
      <c r="P2162">
        <v>0</v>
      </c>
      <c r="Q2162" t="s">
        <v>37</v>
      </c>
      <c r="R2162" t="s">
        <v>51</v>
      </c>
      <c r="S2162" s="2" t="s">
        <v>198</v>
      </c>
      <c r="T2162" t="s">
        <v>199</v>
      </c>
    </row>
    <row r="2163" spans="1:20" x14ac:dyDescent="0.25">
      <c r="A2163" t="s">
        <v>5729</v>
      </c>
      <c r="B2163" t="str">
        <f>"9328"</f>
        <v>9328</v>
      </c>
      <c r="C2163" t="str">
        <f>"301809328"</f>
        <v>301809328</v>
      </c>
      <c r="D2163" t="s">
        <v>5730</v>
      </c>
      <c r="E2163" t="s">
        <v>933</v>
      </c>
      <c r="F2163" t="s">
        <v>5731</v>
      </c>
      <c r="G2163" s="1">
        <v>29309</v>
      </c>
      <c r="H2163" s="1">
        <v>40725</v>
      </c>
      <c r="I2163" t="str">
        <f>"52"</f>
        <v>52</v>
      </c>
      <c r="J2163" t="s">
        <v>330</v>
      </c>
      <c r="K2163" t="s">
        <v>25</v>
      </c>
      <c r="L2163" t="s">
        <v>26</v>
      </c>
      <c r="M2163" t="s">
        <v>27</v>
      </c>
      <c r="N2163" s="1">
        <v>18629</v>
      </c>
      <c r="O2163">
        <v>0</v>
      </c>
      <c r="P2163">
        <v>0</v>
      </c>
      <c r="Q2163" t="s">
        <v>28</v>
      </c>
      <c r="R2163" t="s">
        <v>71</v>
      </c>
      <c r="S2163" t="s">
        <v>402</v>
      </c>
      <c r="T2163" t="s">
        <v>403</v>
      </c>
    </row>
    <row r="2164" spans="1:20" x14ac:dyDescent="0.25">
      <c r="A2164" t="s">
        <v>5732</v>
      </c>
      <c r="B2164" t="str">
        <f>"7057"</f>
        <v>7057</v>
      </c>
      <c r="C2164" t="str">
        <f>"293467057"</f>
        <v>293467057</v>
      </c>
      <c r="D2164" t="s">
        <v>2952</v>
      </c>
      <c r="E2164" t="s">
        <v>4954</v>
      </c>
      <c r="F2164" t="s">
        <v>317</v>
      </c>
      <c r="G2164" s="1">
        <v>18497</v>
      </c>
      <c r="H2164" s="1">
        <v>40725</v>
      </c>
      <c r="I2164" t="str">
        <f>"41"</f>
        <v>41</v>
      </c>
      <c r="J2164" t="s">
        <v>24</v>
      </c>
      <c r="K2164" t="s">
        <v>25</v>
      </c>
      <c r="L2164" t="s">
        <v>26</v>
      </c>
      <c r="M2164" t="s">
        <v>27</v>
      </c>
      <c r="N2164" s="1">
        <v>18629</v>
      </c>
      <c r="O2164">
        <v>0</v>
      </c>
      <c r="P2164">
        <v>0</v>
      </c>
      <c r="Q2164" t="s">
        <v>37</v>
      </c>
      <c r="R2164" t="s">
        <v>258</v>
      </c>
      <c r="S2164" t="s">
        <v>527</v>
      </c>
      <c r="T2164" t="s">
        <v>528</v>
      </c>
    </row>
    <row r="2165" spans="1:20" x14ac:dyDescent="0.25">
      <c r="A2165" t="s">
        <v>5733</v>
      </c>
      <c r="B2165" t="str">
        <f>"6473"</f>
        <v>6473</v>
      </c>
      <c r="C2165" t="str">
        <f>"284866473"</f>
        <v>284866473</v>
      </c>
      <c r="D2165" t="s">
        <v>5734</v>
      </c>
      <c r="E2165" t="s">
        <v>938</v>
      </c>
      <c r="G2165" s="1">
        <v>27858</v>
      </c>
      <c r="H2165" s="1">
        <v>40725</v>
      </c>
      <c r="I2165" t="str">
        <f>"30"</f>
        <v>30</v>
      </c>
      <c r="J2165" t="s">
        <v>50</v>
      </c>
      <c r="K2165" t="s">
        <v>25</v>
      </c>
      <c r="L2165" t="s">
        <v>26</v>
      </c>
      <c r="M2165" t="s">
        <v>27</v>
      </c>
      <c r="N2165" s="1">
        <v>18629</v>
      </c>
      <c r="O2165">
        <v>0</v>
      </c>
      <c r="P2165">
        <v>0</v>
      </c>
      <c r="Q2165" t="s">
        <v>37</v>
      </c>
      <c r="R2165" t="s">
        <v>29</v>
      </c>
      <c r="S2165" t="s">
        <v>3322</v>
      </c>
      <c r="T2165" t="s">
        <v>3323</v>
      </c>
    </row>
    <row r="2166" spans="1:20" x14ac:dyDescent="0.25">
      <c r="A2166" t="s">
        <v>5735</v>
      </c>
      <c r="B2166" t="str">
        <f>"7972"</f>
        <v>7972</v>
      </c>
      <c r="C2166" t="str">
        <f>"294907972"</f>
        <v>294907972</v>
      </c>
      <c r="D2166" t="s">
        <v>5736</v>
      </c>
      <c r="E2166" t="s">
        <v>938</v>
      </c>
      <c r="F2166" t="s">
        <v>97</v>
      </c>
      <c r="G2166" s="1">
        <v>31225</v>
      </c>
      <c r="H2166" s="1">
        <v>40725</v>
      </c>
      <c r="I2166" t="str">
        <f>"30"</f>
        <v>30</v>
      </c>
      <c r="J2166" t="s">
        <v>50</v>
      </c>
      <c r="K2166" t="s">
        <v>25</v>
      </c>
      <c r="L2166" t="s">
        <v>26</v>
      </c>
      <c r="M2166" t="s">
        <v>27</v>
      </c>
      <c r="N2166" s="1">
        <v>18629</v>
      </c>
      <c r="O2166">
        <v>0</v>
      </c>
      <c r="P2166">
        <v>0</v>
      </c>
      <c r="Q2166" t="s">
        <v>37</v>
      </c>
      <c r="R2166" t="s">
        <v>29</v>
      </c>
      <c r="S2166" t="s">
        <v>3322</v>
      </c>
      <c r="T2166" t="s">
        <v>3323</v>
      </c>
    </row>
    <row r="2167" spans="1:20" x14ac:dyDescent="0.25">
      <c r="A2167" t="s">
        <v>5737</v>
      </c>
      <c r="B2167" t="str">
        <f>"2112"</f>
        <v>2112</v>
      </c>
      <c r="C2167" t="str">
        <f>"097642112"</f>
        <v>097642112</v>
      </c>
      <c r="D2167" t="s">
        <v>2873</v>
      </c>
      <c r="E2167" t="s">
        <v>1589</v>
      </c>
      <c r="F2167" t="s">
        <v>28</v>
      </c>
      <c r="G2167" s="1">
        <v>23189</v>
      </c>
      <c r="H2167" s="1">
        <v>40724</v>
      </c>
      <c r="I2167" t="str">
        <f>"15"</f>
        <v>15</v>
      </c>
      <c r="J2167" t="s">
        <v>36</v>
      </c>
      <c r="K2167" t="s">
        <v>98</v>
      </c>
      <c r="L2167" t="s">
        <v>37</v>
      </c>
      <c r="M2167" t="s">
        <v>117</v>
      </c>
      <c r="N2167" s="1">
        <v>41617</v>
      </c>
      <c r="O2167">
        <v>4951.96</v>
      </c>
      <c r="P2167">
        <v>1237.8599999999999</v>
      </c>
      <c r="Q2167" t="s">
        <v>37</v>
      </c>
      <c r="R2167" t="s">
        <v>38</v>
      </c>
      <c r="S2167" t="s">
        <v>39</v>
      </c>
      <c r="T2167" t="s">
        <v>40</v>
      </c>
    </row>
    <row r="2168" spans="1:20" x14ac:dyDescent="0.25">
      <c r="A2168" t="s">
        <v>5738</v>
      </c>
      <c r="B2168" t="str">
        <f>"6443"</f>
        <v>6443</v>
      </c>
      <c r="C2168" t="str">
        <f>"283046443"</f>
        <v>283046443</v>
      </c>
      <c r="D2168" t="s">
        <v>5739</v>
      </c>
      <c r="E2168" t="s">
        <v>5740</v>
      </c>
      <c r="G2168" s="1">
        <v>25465</v>
      </c>
      <c r="H2168" s="1">
        <v>40722</v>
      </c>
      <c r="I2168" t="str">
        <f>"51"</f>
        <v>51</v>
      </c>
      <c r="J2168" t="s">
        <v>471</v>
      </c>
      <c r="K2168" t="s">
        <v>25</v>
      </c>
      <c r="L2168" t="s">
        <v>26</v>
      </c>
      <c r="M2168" t="s">
        <v>27</v>
      </c>
      <c r="N2168" s="1">
        <v>18629</v>
      </c>
      <c r="O2168">
        <v>0</v>
      </c>
      <c r="P2168">
        <v>0</v>
      </c>
      <c r="Q2168" t="s">
        <v>37</v>
      </c>
      <c r="R2168" t="s">
        <v>51</v>
      </c>
      <c r="S2168" s="2" t="s">
        <v>774</v>
      </c>
      <c r="T2168" t="s">
        <v>775</v>
      </c>
    </row>
    <row r="2169" spans="1:20" x14ac:dyDescent="0.25">
      <c r="A2169" t="s">
        <v>5741</v>
      </c>
      <c r="B2169" t="str">
        <f>"2986"</f>
        <v>2986</v>
      </c>
      <c r="C2169" t="str">
        <f>"302482986"</f>
        <v>302482986</v>
      </c>
      <c r="D2169" t="s">
        <v>1383</v>
      </c>
      <c r="E2169" t="s">
        <v>5742</v>
      </c>
      <c r="F2169" t="s">
        <v>219</v>
      </c>
      <c r="G2169" s="1">
        <v>17669</v>
      </c>
      <c r="H2169" s="1">
        <v>40721</v>
      </c>
      <c r="I2169" t="str">
        <f>"15"</f>
        <v>15</v>
      </c>
      <c r="J2169" t="s">
        <v>36</v>
      </c>
      <c r="K2169" t="s">
        <v>98</v>
      </c>
      <c r="L2169" t="s">
        <v>37</v>
      </c>
      <c r="M2169" t="s">
        <v>117</v>
      </c>
      <c r="N2169" s="1">
        <v>41617</v>
      </c>
      <c r="O2169">
        <v>4951.96</v>
      </c>
      <c r="P2169">
        <v>1237.8599999999999</v>
      </c>
      <c r="Q2169" t="s">
        <v>37</v>
      </c>
      <c r="R2169" t="s">
        <v>29</v>
      </c>
      <c r="S2169" t="s">
        <v>240</v>
      </c>
      <c r="T2169" t="s">
        <v>241</v>
      </c>
    </row>
    <row r="2170" spans="1:20" x14ac:dyDescent="0.25">
      <c r="A2170" t="s">
        <v>5743</v>
      </c>
      <c r="B2170" t="str">
        <f>"5576"</f>
        <v>5576</v>
      </c>
      <c r="C2170" t="str">
        <f>"281705576"</f>
        <v>281705576</v>
      </c>
      <c r="D2170" t="s">
        <v>5744</v>
      </c>
      <c r="E2170" t="s">
        <v>518</v>
      </c>
      <c r="F2170" t="s">
        <v>28</v>
      </c>
      <c r="G2170" s="1">
        <v>22716</v>
      </c>
      <c r="H2170" s="1">
        <v>40721</v>
      </c>
      <c r="I2170" t="str">
        <f>"12"</f>
        <v>12</v>
      </c>
      <c r="J2170" t="s">
        <v>245</v>
      </c>
      <c r="K2170" t="s">
        <v>98</v>
      </c>
      <c r="L2170" t="s">
        <v>37</v>
      </c>
      <c r="M2170" t="s">
        <v>99</v>
      </c>
      <c r="N2170" s="1">
        <v>41617</v>
      </c>
      <c r="O2170">
        <v>14801.8</v>
      </c>
      <c r="P2170">
        <v>3700.32</v>
      </c>
      <c r="Q2170" t="s">
        <v>37</v>
      </c>
      <c r="R2170" t="s">
        <v>29</v>
      </c>
      <c r="S2170" t="s">
        <v>1887</v>
      </c>
      <c r="T2170" t="s">
        <v>1888</v>
      </c>
    </row>
    <row r="2171" spans="1:20" x14ac:dyDescent="0.25">
      <c r="A2171" t="s">
        <v>5745</v>
      </c>
      <c r="B2171" t="str">
        <f>"3057"</f>
        <v>3057</v>
      </c>
      <c r="C2171" t="str">
        <f>"289623057"</f>
        <v>289623057</v>
      </c>
      <c r="D2171" t="s">
        <v>5746</v>
      </c>
      <c r="E2171" t="s">
        <v>2339</v>
      </c>
      <c r="F2171" t="s">
        <v>97</v>
      </c>
      <c r="G2171" s="1">
        <v>21479</v>
      </c>
      <c r="H2171" s="1">
        <v>40721</v>
      </c>
      <c r="I2171" t="str">
        <f>"41"</f>
        <v>41</v>
      </c>
      <c r="J2171" t="s">
        <v>24</v>
      </c>
      <c r="K2171" t="s">
        <v>25</v>
      </c>
      <c r="L2171" t="s">
        <v>26</v>
      </c>
      <c r="M2171" t="s">
        <v>27</v>
      </c>
      <c r="N2171" s="1">
        <v>18629</v>
      </c>
      <c r="O2171">
        <v>0</v>
      </c>
      <c r="P2171">
        <v>0</v>
      </c>
      <c r="Q2171" t="s">
        <v>37</v>
      </c>
      <c r="R2171" t="s">
        <v>71</v>
      </c>
      <c r="S2171" t="s">
        <v>955</v>
      </c>
      <c r="T2171" t="s">
        <v>956</v>
      </c>
    </row>
    <row r="2172" spans="1:20" x14ac:dyDescent="0.25">
      <c r="A2172" t="s">
        <v>5747</v>
      </c>
      <c r="B2172" t="str">
        <f>"5936"</f>
        <v>5936</v>
      </c>
      <c r="C2172" t="str">
        <f>"276645936"</f>
        <v>276645936</v>
      </c>
      <c r="D2172" t="s">
        <v>5405</v>
      </c>
      <c r="E2172" t="s">
        <v>197</v>
      </c>
      <c r="G2172" s="1">
        <v>22290</v>
      </c>
      <c r="H2172" s="1">
        <v>40721</v>
      </c>
      <c r="I2172" t="str">
        <f>"03"</f>
        <v>03</v>
      </c>
      <c r="J2172" t="s">
        <v>70</v>
      </c>
      <c r="L2172" t="s">
        <v>37</v>
      </c>
      <c r="M2172" t="s">
        <v>143</v>
      </c>
      <c r="N2172" s="1">
        <v>41617</v>
      </c>
      <c r="O2172">
        <v>185.9</v>
      </c>
      <c r="P2172">
        <v>-185.9</v>
      </c>
      <c r="Q2172" t="s">
        <v>28</v>
      </c>
      <c r="R2172" t="s">
        <v>110</v>
      </c>
      <c r="S2172" t="s">
        <v>4439</v>
      </c>
      <c r="T2172" t="s">
        <v>4440</v>
      </c>
    </row>
    <row r="2173" spans="1:20" x14ac:dyDescent="0.25">
      <c r="A2173" t="s">
        <v>5748</v>
      </c>
      <c r="B2173" t="str">
        <f>"1834"</f>
        <v>1834</v>
      </c>
      <c r="C2173" t="str">
        <f>"286401834"</f>
        <v>286401834</v>
      </c>
      <c r="D2173" t="s">
        <v>5749</v>
      </c>
      <c r="E2173" t="s">
        <v>5750</v>
      </c>
      <c r="F2173" t="s">
        <v>93</v>
      </c>
      <c r="G2173" s="1">
        <v>16789</v>
      </c>
      <c r="H2173" s="1">
        <v>40721</v>
      </c>
      <c r="I2173" t="str">
        <f>"33"</f>
        <v>33</v>
      </c>
      <c r="J2173" t="s">
        <v>45</v>
      </c>
      <c r="K2173" t="s">
        <v>25</v>
      </c>
      <c r="L2173" t="s">
        <v>26</v>
      </c>
      <c r="M2173" t="s">
        <v>27</v>
      </c>
      <c r="N2173" s="1">
        <v>18629</v>
      </c>
      <c r="O2173">
        <v>0</v>
      </c>
      <c r="P2173">
        <v>0</v>
      </c>
      <c r="Q2173" t="s">
        <v>37</v>
      </c>
      <c r="R2173" t="s">
        <v>71</v>
      </c>
      <c r="S2173" t="s">
        <v>157</v>
      </c>
      <c r="T2173" t="s">
        <v>158</v>
      </c>
    </row>
    <row r="2174" spans="1:20" x14ac:dyDescent="0.25">
      <c r="A2174" t="s">
        <v>5751</v>
      </c>
      <c r="B2174" t="str">
        <f>"1641"</f>
        <v>1641</v>
      </c>
      <c r="C2174" t="str">
        <f>"289741641"</f>
        <v>289741641</v>
      </c>
      <c r="D2174" t="s">
        <v>5752</v>
      </c>
      <c r="E2174" t="s">
        <v>5753</v>
      </c>
      <c r="G2174" s="1">
        <v>24456</v>
      </c>
      <c r="H2174" s="1">
        <v>40721</v>
      </c>
      <c r="I2174" t="str">
        <f>"03"</f>
        <v>03</v>
      </c>
      <c r="J2174" t="s">
        <v>70</v>
      </c>
      <c r="K2174" t="s">
        <v>98</v>
      </c>
      <c r="L2174" t="s">
        <v>37</v>
      </c>
      <c r="M2174" t="s">
        <v>117</v>
      </c>
      <c r="N2174" s="1">
        <v>41617</v>
      </c>
      <c r="O2174">
        <v>4951.96</v>
      </c>
      <c r="P2174">
        <v>1237.8599999999999</v>
      </c>
      <c r="Q2174" t="s">
        <v>37</v>
      </c>
      <c r="R2174" t="s">
        <v>71</v>
      </c>
      <c r="S2174" t="s">
        <v>2790</v>
      </c>
      <c r="T2174" t="s">
        <v>2791</v>
      </c>
    </row>
    <row r="2175" spans="1:20" x14ac:dyDescent="0.25">
      <c r="A2175" t="s">
        <v>5754</v>
      </c>
      <c r="B2175" t="str">
        <f>"9751"</f>
        <v>9751</v>
      </c>
      <c r="C2175" t="str">
        <f>"270829751"</f>
        <v>270829751</v>
      </c>
      <c r="D2175" t="s">
        <v>5755</v>
      </c>
      <c r="E2175" t="s">
        <v>3346</v>
      </c>
      <c r="F2175" t="s">
        <v>174</v>
      </c>
      <c r="G2175" s="1">
        <v>27240</v>
      </c>
      <c r="H2175" s="1">
        <v>40721</v>
      </c>
      <c r="I2175" t="str">
        <f>"01"</f>
        <v>01</v>
      </c>
      <c r="J2175" t="s">
        <v>116</v>
      </c>
      <c r="K2175" t="s">
        <v>98</v>
      </c>
      <c r="L2175" t="s">
        <v>37</v>
      </c>
      <c r="M2175" t="s">
        <v>117</v>
      </c>
      <c r="N2175" s="1">
        <v>41617</v>
      </c>
      <c r="O2175">
        <v>4951.96</v>
      </c>
      <c r="P2175">
        <v>1237.8599999999999</v>
      </c>
      <c r="Q2175" t="s">
        <v>28</v>
      </c>
      <c r="R2175" t="s">
        <v>312</v>
      </c>
      <c r="S2175" t="s">
        <v>541</v>
      </c>
      <c r="T2175" t="s">
        <v>542</v>
      </c>
    </row>
    <row r="2176" spans="1:20" x14ac:dyDescent="0.25">
      <c r="A2176" t="s">
        <v>5756</v>
      </c>
      <c r="B2176" t="str">
        <f>"1920"</f>
        <v>1920</v>
      </c>
      <c r="C2176" t="str">
        <f>"273801920"</f>
        <v>273801920</v>
      </c>
      <c r="D2176" t="s">
        <v>860</v>
      </c>
      <c r="E2176" t="s">
        <v>5757</v>
      </c>
      <c r="F2176" t="s">
        <v>231</v>
      </c>
      <c r="G2176" s="1">
        <v>30298</v>
      </c>
      <c r="H2176" s="1">
        <v>40721</v>
      </c>
      <c r="I2176" t="str">
        <f>"15"</f>
        <v>15</v>
      </c>
      <c r="J2176" t="s">
        <v>36</v>
      </c>
      <c r="K2176" t="s">
        <v>175</v>
      </c>
      <c r="L2176" t="s">
        <v>37</v>
      </c>
      <c r="M2176" t="s">
        <v>117</v>
      </c>
      <c r="N2176" s="1">
        <v>41617</v>
      </c>
      <c r="O2176">
        <v>5288.66</v>
      </c>
      <c r="P2176">
        <v>1322.1</v>
      </c>
      <c r="Q2176" t="s">
        <v>37</v>
      </c>
      <c r="R2176" t="s">
        <v>29</v>
      </c>
      <c r="S2176" t="s">
        <v>240</v>
      </c>
      <c r="T2176" t="s">
        <v>241</v>
      </c>
    </row>
    <row r="2177" spans="1:20" x14ac:dyDescent="0.25">
      <c r="A2177" t="s">
        <v>5758</v>
      </c>
      <c r="B2177" t="str">
        <f>"9532"</f>
        <v>9532</v>
      </c>
      <c r="C2177" t="str">
        <f>"278609532"</f>
        <v>278609532</v>
      </c>
      <c r="D2177" t="s">
        <v>5759</v>
      </c>
      <c r="E2177" t="s">
        <v>184</v>
      </c>
      <c r="F2177" t="s">
        <v>264</v>
      </c>
      <c r="G2177" s="1">
        <v>21645</v>
      </c>
      <c r="H2177" s="1">
        <v>40721</v>
      </c>
      <c r="I2177" t="str">
        <f>"01"</f>
        <v>01</v>
      </c>
      <c r="J2177" t="s">
        <v>116</v>
      </c>
      <c r="K2177" t="s">
        <v>175</v>
      </c>
      <c r="L2177" t="s">
        <v>37</v>
      </c>
      <c r="M2177" t="s">
        <v>99</v>
      </c>
      <c r="N2177" s="1">
        <v>41617</v>
      </c>
      <c r="O2177">
        <v>16411.72</v>
      </c>
      <c r="P2177">
        <v>4102.8</v>
      </c>
      <c r="Q2177" t="s">
        <v>37</v>
      </c>
      <c r="R2177" t="s">
        <v>258</v>
      </c>
      <c r="S2177" t="s">
        <v>978</v>
      </c>
      <c r="T2177" t="s">
        <v>979</v>
      </c>
    </row>
    <row r="2178" spans="1:20" x14ac:dyDescent="0.25">
      <c r="A2178" t="s">
        <v>5760</v>
      </c>
      <c r="B2178" t="str">
        <f>"9919"</f>
        <v>9919</v>
      </c>
      <c r="C2178" t="str">
        <f>"290669919"</f>
        <v>290669919</v>
      </c>
      <c r="D2178" t="s">
        <v>5761</v>
      </c>
      <c r="E2178" t="s">
        <v>5135</v>
      </c>
      <c r="F2178" t="s">
        <v>93</v>
      </c>
      <c r="G2178" s="1">
        <v>25232</v>
      </c>
      <c r="H2178" s="1">
        <v>40720</v>
      </c>
      <c r="I2178" t="str">
        <f>"52"</f>
        <v>52</v>
      </c>
      <c r="J2178" t="s">
        <v>330</v>
      </c>
      <c r="K2178" t="s">
        <v>25</v>
      </c>
      <c r="L2178" t="s">
        <v>26</v>
      </c>
      <c r="M2178" t="s">
        <v>27</v>
      </c>
      <c r="N2178" s="1">
        <v>18629</v>
      </c>
      <c r="O2178">
        <v>0</v>
      </c>
      <c r="P2178">
        <v>0</v>
      </c>
      <c r="Q2178" t="s">
        <v>28</v>
      </c>
      <c r="R2178" t="s">
        <v>258</v>
      </c>
      <c r="S2178" t="s">
        <v>336</v>
      </c>
      <c r="T2178" t="s">
        <v>337</v>
      </c>
    </row>
    <row r="2179" spans="1:20" x14ac:dyDescent="0.25">
      <c r="A2179" t="s">
        <v>5762</v>
      </c>
      <c r="B2179" t="str">
        <f>"0206"</f>
        <v>0206</v>
      </c>
      <c r="C2179" t="str">
        <f>"281460206"</f>
        <v>281460206</v>
      </c>
      <c r="D2179" t="s">
        <v>5763</v>
      </c>
      <c r="E2179" t="s">
        <v>2027</v>
      </c>
      <c r="F2179" t="s">
        <v>97</v>
      </c>
      <c r="G2179" s="1">
        <v>22568</v>
      </c>
      <c r="H2179" s="1">
        <v>40717</v>
      </c>
      <c r="I2179" t="str">
        <f>"52"</f>
        <v>52</v>
      </c>
      <c r="J2179" t="s">
        <v>330</v>
      </c>
      <c r="K2179" t="s">
        <v>25</v>
      </c>
      <c r="L2179" t="s">
        <v>26</v>
      </c>
      <c r="M2179" t="s">
        <v>27</v>
      </c>
      <c r="N2179" s="1">
        <v>18629</v>
      </c>
      <c r="O2179">
        <v>0</v>
      </c>
      <c r="P2179">
        <v>0</v>
      </c>
      <c r="Q2179" t="s">
        <v>28</v>
      </c>
      <c r="R2179" t="s">
        <v>71</v>
      </c>
      <c r="S2179" t="s">
        <v>336</v>
      </c>
      <c r="T2179" t="s">
        <v>337</v>
      </c>
    </row>
    <row r="2180" spans="1:20" x14ac:dyDescent="0.25">
      <c r="A2180" t="s">
        <v>5764</v>
      </c>
      <c r="B2180" t="str">
        <f>"5182"</f>
        <v>5182</v>
      </c>
      <c r="C2180" t="str">
        <f>"300785182"</f>
        <v>300785182</v>
      </c>
      <c r="D2180" t="s">
        <v>553</v>
      </c>
      <c r="E2180" t="s">
        <v>263</v>
      </c>
      <c r="G2180" s="1">
        <v>24511</v>
      </c>
      <c r="H2180" s="1">
        <v>40710</v>
      </c>
      <c r="I2180" t="str">
        <f>"52"</f>
        <v>52</v>
      </c>
      <c r="J2180" t="s">
        <v>330</v>
      </c>
      <c r="K2180" t="s">
        <v>25</v>
      </c>
      <c r="L2180" t="s">
        <v>26</v>
      </c>
      <c r="M2180" t="s">
        <v>27</v>
      </c>
      <c r="N2180" s="1">
        <v>18629</v>
      </c>
      <c r="O2180">
        <v>0</v>
      </c>
      <c r="P2180">
        <v>0</v>
      </c>
      <c r="Q2180" t="s">
        <v>28</v>
      </c>
      <c r="R2180" t="s">
        <v>71</v>
      </c>
      <c r="S2180" t="s">
        <v>336</v>
      </c>
      <c r="T2180" t="s">
        <v>337</v>
      </c>
    </row>
    <row r="2181" spans="1:20" x14ac:dyDescent="0.25">
      <c r="A2181" t="s">
        <v>5765</v>
      </c>
      <c r="B2181" t="str">
        <f>"4330"</f>
        <v>4330</v>
      </c>
      <c r="C2181" t="str">
        <f>"269784330"</f>
        <v>269784330</v>
      </c>
      <c r="D2181" t="s">
        <v>5766</v>
      </c>
      <c r="E2181" t="s">
        <v>227</v>
      </c>
      <c r="F2181" t="s">
        <v>28</v>
      </c>
      <c r="G2181" s="1">
        <v>26490</v>
      </c>
      <c r="H2181" s="1">
        <v>40707</v>
      </c>
      <c r="I2181" t="str">
        <f>"31"</f>
        <v>31</v>
      </c>
      <c r="J2181" t="s">
        <v>3321</v>
      </c>
      <c r="K2181" t="s">
        <v>25</v>
      </c>
      <c r="L2181" t="s">
        <v>26</v>
      </c>
      <c r="M2181" t="s">
        <v>27</v>
      </c>
      <c r="N2181" s="1">
        <v>18629</v>
      </c>
      <c r="O2181">
        <v>0</v>
      </c>
      <c r="P2181">
        <v>0</v>
      </c>
      <c r="Q2181" t="s">
        <v>28</v>
      </c>
      <c r="R2181" t="s">
        <v>29</v>
      </c>
      <c r="S2181" t="s">
        <v>3322</v>
      </c>
      <c r="T2181" t="s">
        <v>3323</v>
      </c>
    </row>
    <row r="2182" spans="1:20" x14ac:dyDescent="0.25">
      <c r="A2182" t="s">
        <v>5767</v>
      </c>
      <c r="B2182" t="str">
        <f>"6495"</f>
        <v>6495</v>
      </c>
      <c r="C2182" t="str">
        <f>"345506495"</f>
        <v>345506495</v>
      </c>
      <c r="D2182" t="s">
        <v>5768</v>
      </c>
      <c r="E2182" t="s">
        <v>1468</v>
      </c>
      <c r="F2182" t="s">
        <v>44</v>
      </c>
      <c r="G2182" s="1">
        <v>20354</v>
      </c>
      <c r="H2182" s="1">
        <v>40707</v>
      </c>
      <c r="I2182" t="str">
        <f>"12"</f>
        <v>12</v>
      </c>
      <c r="J2182" t="s">
        <v>245</v>
      </c>
      <c r="K2182" t="s">
        <v>98</v>
      </c>
      <c r="L2182" t="s">
        <v>37</v>
      </c>
      <c r="M2182" t="s">
        <v>117</v>
      </c>
      <c r="N2182" s="1">
        <v>41743</v>
      </c>
      <c r="O2182">
        <v>4951.96</v>
      </c>
      <c r="P2182">
        <v>1237.8599999999999</v>
      </c>
      <c r="Q2182" t="s">
        <v>37</v>
      </c>
      <c r="R2182" t="s">
        <v>29</v>
      </c>
      <c r="S2182" t="s">
        <v>1474</v>
      </c>
      <c r="T2182" t="s">
        <v>1475</v>
      </c>
    </row>
    <row r="2183" spans="1:20" x14ac:dyDescent="0.25">
      <c r="A2183" t="s">
        <v>5769</v>
      </c>
      <c r="B2183" t="str">
        <f>"1511"</f>
        <v>1511</v>
      </c>
      <c r="C2183" t="str">
        <f>"273761511"</f>
        <v>273761511</v>
      </c>
      <c r="D2183" t="s">
        <v>1715</v>
      </c>
      <c r="E2183" t="s">
        <v>466</v>
      </c>
      <c r="F2183" t="s">
        <v>1032</v>
      </c>
      <c r="G2183" s="1">
        <v>25626</v>
      </c>
      <c r="H2183" s="1">
        <v>40707</v>
      </c>
      <c r="I2183" t="str">
        <f>"01"</f>
        <v>01</v>
      </c>
      <c r="J2183" t="s">
        <v>116</v>
      </c>
      <c r="K2183" t="s">
        <v>98</v>
      </c>
      <c r="L2183" t="s">
        <v>37</v>
      </c>
      <c r="M2183" t="s">
        <v>117</v>
      </c>
      <c r="N2183" s="1">
        <v>41617</v>
      </c>
      <c r="O2183">
        <v>4951.96</v>
      </c>
      <c r="P2183">
        <v>1237.8599999999999</v>
      </c>
      <c r="Q2183" t="s">
        <v>28</v>
      </c>
      <c r="R2183" t="s">
        <v>346</v>
      </c>
      <c r="S2183" t="s">
        <v>5770</v>
      </c>
      <c r="T2183" t="s">
        <v>5771</v>
      </c>
    </row>
    <row r="2184" spans="1:20" x14ac:dyDescent="0.25">
      <c r="A2184" t="s">
        <v>5772</v>
      </c>
      <c r="B2184" t="str">
        <f>"0443"</f>
        <v>0443</v>
      </c>
      <c r="C2184" t="str">
        <f>"272540443"</f>
        <v>272540443</v>
      </c>
      <c r="D2184" t="s">
        <v>5773</v>
      </c>
      <c r="E2184" t="s">
        <v>1666</v>
      </c>
      <c r="F2184" t="s">
        <v>44</v>
      </c>
      <c r="G2184" s="1">
        <v>19400</v>
      </c>
      <c r="H2184" s="1">
        <v>40707</v>
      </c>
      <c r="I2184" t="str">
        <f>"12"</f>
        <v>12</v>
      </c>
      <c r="J2184" t="s">
        <v>245</v>
      </c>
      <c r="K2184" t="s">
        <v>175</v>
      </c>
      <c r="L2184" t="s">
        <v>37</v>
      </c>
      <c r="M2184" t="s">
        <v>117</v>
      </c>
      <c r="N2184" s="1">
        <v>41617</v>
      </c>
      <c r="O2184">
        <v>5288.66</v>
      </c>
      <c r="P2184">
        <v>1322.1</v>
      </c>
      <c r="Q2184" t="s">
        <v>37</v>
      </c>
      <c r="R2184" t="s">
        <v>71</v>
      </c>
      <c r="S2184" t="s">
        <v>373</v>
      </c>
      <c r="T2184" t="s">
        <v>374</v>
      </c>
    </row>
    <row r="2185" spans="1:20" x14ac:dyDescent="0.25">
      <c r="A2185" t="s">
        <v>5774</v>
      </c>
      <c r="B2185" t="str">
        <f>"9963"</f>
        <v>9963</v>
      </c>
      <c r="C2185" t="str">
        <f>"275529963"</f>
        <v>275529963</v>
      </c>
      <c r="D2185" t="s">
        <v>5775</v>
      </c>
      <c r="E2185" t="s">
        <v>33</v>
      </c>
      <c r="G2185" s="1">
        <v>19318</v>
      </c>
      <c r="H2185" s="1">
        <v>40707</v>
      </c>
      <c r="I2185" t="str">
        <f>"08"</f>
        <v>08</v>
      </c>
      <c r="J2185" t="s">
        <v>265</v>
      </c>
      <c r="K2185" t="s">
        <v>98</v>
      </c>
      <c r="L2185" t="s">
        <v>37</v>
      </c>
      <c r="M2185" t="s">
        <v>99</v>
      </c>
      <c r="N2185" s="1">
        <v>41617</v>
      </c>
      <c r="O2185">
        <v>14801.8</v>
      </c>
      <c r="P2185">
        <v>3700.32</v>
      </c>
      <c r="Q2185" t="s">
        <v>28</v>
      </c>
      <c r="R2185" t="s">
        <v>29</v>
      </c>
      <c r="S2185" t="s">
        <v>266</v>
      </c>
      <c r="T2185" t="s">
        <v>267</v>
      </c>
    </row>
    <row r="2186" spans="1:20" x14ac:dyDescent="0.25">
      <c r="A2186" t="s">
        <v>5776</v>
      </c>
      <c r="B2186" t="str">
        <f>"3369"</f>
        <v>3369</v>
      </c>
      <c r="C2186" t="str">
        <f>"320783369"</f>
        <v>320783369</v>
      </c>
      <c r="D2186" t="s">
        <v>5777</v>
      </c>
      <c r="E2186" t="s">
        <v>509</v>
      </c>
      <c r="G2186" s="1">
        <v>27544</v>
      </c>
      <c r="H2186" s="1">
        <v>40707</v>
      </c>
      <c r="I2186" t="str">
        <f>"51"</f>
        <v>51</v>
      </c>
      <c r="J2186" t="s">
        <v>471</v>
      </c>
      <c r="K2186" t="s">
        <v>25</v>
      </c>
      <c r="L2186" t="s">
        <v>26</v>
      </c>
      <c r="M2186" t="s">
        <v>27</v>
      </c>
      <c r="N2186" s="1">
        <v>18629</v>
      </c>
      <c r="O2186">
        <v>0</v>
      </c>
      <c r="P2186">
        <v>0</v>
      </c>
      <c r="Q2186" t="s">
        <v>37</v>
      </c>
      <c r="R2186" t="s">
        <v>71</v>
      </c>
      <c r="S2186" t="s">
        <v>2634</v>
      </c>
      <c r="T2186" t="s">
        <v>2635</v>
      </c>
    </row>
    <row r="2187" spans="1:20" x14ac:dyDescent="0.25">
      <c r="A2187" t="s">
        <v>5778</v>
      </c>
      <c r="B2187" t="str">
        <f>"0943"</f>
        <v>0943</v>
      </c>
      <c r="C2187" t="str">
        <f>"384820943"</f>
        <v>384820943</v>
      </c>
      <c r="D2187" t="s">
        <v>5779</v>
      </c>
      <c r="E2187" t="s">
        <v>2126</v>
      </c>
      <c r="G2187" s="1">
        <v>22026</v>
      </c>
      <c r="H2187" s="1">
        <v>40707</v>
      </c>
      <c r="I2187" t="str">
        <f>"33"</f>
        <v>33</v>
      </c>
      <c r="J2187" t="s">
        <v>45</v>
      </c>
      <c r="K2187" t="s">
        <v>25</v>
      </c>
      <c r="L2187" t="s">
        <v>26</v>
      </c>
      <c r="M2187" t="s">
        <v>27</v>
      </c>
      <c r="N2187" s="1">
        <v>18629</v>
      </c>
      <c r="O2187">
        <v>0</v>
      </c>
      <c r="P2187">
        <v>0</v>
      </c>
      <c r="Q2187" t="s">
        <v>37</v>
      </c>
      <c r="R2187" t="s">
        <v>100</v>
      </c>
      <c r="S2187" t="s">
        <v>757</v>
      </c>
      <c r="T2187" t="s">
        <v>758</v>
      </c>
    </row>
    <row r="2188" spans="1:20" x14ac:dyDescent="0.25">
      <c r="A2188" t="s">
        <v>5780</v>
      </c>
      <c r="B2188" t="str">
        <f>"4225"</f>
        <v>4225</v>
      </c>
      <c r="C2188" t="str">
        <f>"490904225"</f>
        <v>490904225</v>
      </c>
      <c r="D2188" t="s">
        <v>5781</v>
      </c>
      <c r="E2188" t="s">
        <v>5782</v>
      </c>
      <c r="F2188" t="s">
        <v>28</v>
      </c>
      <c r="G2188" s="1">
        <v>26556</v>
      </c>
      <c r="H2188" s="1">
        <v>40705</v>
      </c>
      <c r="I2188" t="str">
        <f>"52"</f>
        <v>52</v>
      </c>
      <c r="J2188" t="s">
        <v>330</v>
      </c>
      <c r="K2188" t="s">
        <v>25</v>
      </c>
      <c r="L2188" t="s">
        <v>26</v>
      </c>
      <c r="M2188" t="s">
        <v>27</v>
      </c>
      <c r="N2188" s="1">
        <v>18629</v>
      </c>
      <c r="O2188">
        <v>0</v>
      </c>
      <c r="P2188">
        <v>0</v>
      </c>
      <c r="Q2188" t="s">
        <v>28</v>
      </c>
      <c r="R2188" t="s">
        <v>258</v>
      </c>
      <c r="S2188" t="s">
        <v>331</v>
      </c>
      <c r="T2188" t="s">
        <v>332</v>
      </c>
    </row>
    <row r="2189" spans="1:20" x14ac:dyDescent="0.25">
      <c r="A2189" t="s">
        <v>5783</v>
      </c>
      <c r="B2189" t="str">
        <f>"3046"</f>
        <v>3046</v>
      </c>
      <c r="C2189" t="str">
        <f>"290623046"</f>
        <v>290623046</v>
      </c>
      <c r="D2189" t="s">
        <v>5784</v>
      </c>
      <c r="E2189" t="s">
        <v>35</v>
      </c>
      <c r="G2189" s="1">
        <v>23436</v>
      </c>
      <c r="H2189" s="1">
        <v>40701</v>
      </c>
      <c r="I2189" t="str">
        <f>"52"</f>
        <v>52</v>
      </c>
      <c r="J2189" t="s">
        <v>330</v>
      </c>
      <c r="K2189" t="s">
        <v>25</v>
      </c>
      <c r="L2189" t="s">
        <v>26</v>
      </c>
      <c r="M2189" t="s">
        <v>27</v>
      </c>
      <c r="N2189" s="1">
        <v>18629</v>
      </c>
      <c r="O2189">
        <v>0</v>
      </c>
      <c r="P2189">
        <v>0</v>
      </c>
      <c r="Q2189" t="s">
        <v>28</v>
      </c>
      <c r="R2189" t="s">
        <v>258</v>
      </c>
      <c r="S2189" t="s">
        <v>5785</v>
      </c>
      <c r="T2189" t="s">
        <v>5786</v>
      </c>
    </row>
    <row r="2190" spans="1:20" x14ac:dyDescent="0.25">
      <c r="A2190" t="s">
        <v>5787</v>
      </c>
      <c r="B2190" t="str">
        <f>"3514"</f>
        <v>3514</v>
      </c>
      <c r="C2190" t="str">
        <f>"289743514"</f>
        <v>289743514</v>
      </c>
      <c r="D2190" t="s">
        <v>5788</v>
      </c>
      <c r="E2190" t="s">
        <v>33</v>
      </c>
      <c r="F2190" t="s">
        <v>282</v>
      </c>
      <c r="G2190" s="1">
        <v>22884</v>
      </c>
      <c r="H2190" s="1">
        <v>40701</v>
      </c>
      <c r="I2190" t="str">
        <f>"52"</f>
        <v>52</v>
      </c>
      <c r="J2190" t="s">
        <v>330</v>
      </c>
      <c r="K2190" t="s">
        <v>25</v>
      </c>
      <c r="L2190" t="s">
        <v>26</v>
      </c>
      <c r="M2190" t="s">
        <v>27</v>
      </c>
      <c r="N2190" s="1">
        <v>18629</v>
      </c>
      <c r="O2190">
        <v>0</v>
      </c>
      <c r="P2190">
        <v>0</v>
      </c>
      <c r="Q2190" t="s">
        <v>28</v>
      </c>
      <c r="R2190" t="s">
        <v>258</v>
      </c>
      <c r="S2190" t="s">
        <v>1235</v>
      </c>
      <c r="T2190" t="s">
        <v>1236</v>
      </c>
    </row>
    <row r="2191" spans="1:20" x14ac:dyDescent="0.25">
      <c r="A2191" t="s">
        <v>5789</v>
      </c>
      <c r="B2191" t="str">
        <f>"8939"</f>
        <v>8939</v>
      </c>
      <c r="C2191" t="str">
        <f>"299788939"</f>
        <v>299788939</v>
      </c>
      <c r="D2191" t="s">
        <v>5790</v>
      </c>
      <c r="E2191" t="s">
        <v>4987</v>
      </c>
      <c r="F2191" t="s">
        <v>544</v>
      </c>
      <c r="G2191" s="1">
        <v>24720</v>
      </c>
      <c r="H2191" s="1">
        <v>40700</v>
      </c>
      <c r="I2191" t="str">
        <f>"12"</f>
        <v>12</v>
      </c>
      <c r="J2191" t="s">
        <v>245</v>
      </c>
      <c r="K2191" t="s">
        <v>98</v>
      </c>
      <c r="L2191" t="s">
        <v>37</v>
      </c>
      <c r="M2191" t="s">
        <v>99</v>
      </c>
      <c r="N2191" s="1">
        <v>41617</v>
      </c>
      <c r="O2191">
        <v>14801.8</v>
      </c>
      <c r="P2191">
        <v>3700.32</v>
      </c>
      <c r="Q2191" t="s">
        <v>37</v>
      </c>
      <c r="R2191" t="s">
        <v>71</v>
      </c>
      <c r="S2191" t="s">
        <v>2825</v>
      </c>
      <c r="T2191" t="s">
        <v>2826</v>
      </c>
    </row>
    <row r="2192" spans="1:20" x14ac:dyDescent="0.25">
      <c r="A2192" t="s">
        <v>5791</v>
      </c>
      <c r="B2192" t="str">
        <f>"7538"</f>
        <v>7538</v>
      </c>
      <c r="C2192" t="str">
        <f>"280907538"</f>
        <v>280907538</v>
      </c>
      <c r="D2192" t="s">
        <v>5792</v>
      </c>
      <c r="E2192" t="s">
        <v>1546</v>
      </c>
      <c r="G2192" s="1">
        <v>32432</v>
      </c>
      <c r="H2192" s="1">
        <v>40696</v>
      </c>
      <c r="I2192" t="str">
        <f>"52"</f>
        <v>52</v>
      </c>
      <c r="J2192" t="s">
        <v>330</v>
      </c>
      <c r="K2192" t="s">
        <v>25</v>
      </c>
      <c r="L2192" t="s">
        <v>26</v>
      </c>
      <c r="M2192" t="s">
        <v>27</v>
      </c>
      <c r="N2192" s="1">
        <v>18629</v>
      </c>
      <c r="O2192">
        <v>0</v>
      </c>
      <c r="P2192">
        <v>0</v>
      </c>
      <c r="Q2192" t="s">
        <v>37</v>
      </c>
      <c r="R2192" t="s">
        <v>29</v>
      </c>
      <c r="S2192" t="s">
        <v>300</v>
      </c>
      <c r="T2192" t="s">
        <v>301</v>
      </c>
    </row>
    <row r="2193" spans="1:20" x14ac:dyDescent="0.25">
      <c r="A2193" t="s">
        <v>5793</v>
      </c>
      <c r="B2193" t="str">
        <f>"2033"</f>
        <v>2033</v>
      </c>
      <c r="C2193" t="str">
        <f>"592742033"</f>
        <v>592742033</v>
      </c>
      <c r="D2193" t="s">
        <v>2064</v>
      </c>
      <c r="E2193" t="s">
        <v>344</v>
      </c>
      <c r="F2193" t="s">
        <v>165</v>
      </c>
      <c r="G2193" s="1">
        <v>28171</v>
      </c>
      <c r="H2193" s="1">
        <v>40695</v>
      </c>
      <c r="I2193" t="str">
        <f>"51"</f>
        <v>51</v>
      </c>
      <c r="J2193" t="s">
        <v>471</v>
      </c>
      <c r="K2193" t="s">
        <v>25</v>
      </c>
      <c r="L2193" t="s">
        <v>26</v>
      </c>
      <c r="M2193" t="s">
        <v>27</v>
      </c>
      <c r="N2193" s="1">
        <v>18629</v>
      </c>
      <c r="O2193">
        <v>0</v>
      </c>
      <c r="P2193">
        <v>0</v>
      </c>
      <c r="Q2193" t="s">
        <v>37</v>
      </c>
      <c r="R2193" t="s">
        <v>100</v>
      </c>
      <c r="S2193" t="s">
        <v>1392</v>
      </c>
      <c r="T2193" t="s">
        <v>1393</v>
      </c>
    </row>
    <row r="2194" spans="1:20" x14ac:dyDescent="0.25">
      <c r="A2194" t="s">
        <v>5794</v>
      </c>
      <c r="B2194" t="str">
        <f>"2622"</f>
        <v>2622</v>
      </c>
      <c r="C2194" t="str">
        <f>"286662622"</f>
        <v>286662622</v>
      </c>
      <c r="D2194" t="s">
        <v>114</v>
      </c>
      <c r="E2194" t="s">
        <v>308</v>
      </c>
      <c r="F2194" t="s">
        <v>26</v>
      </c>
      <c r="G2194" s="1">
        <v>21396</v>
      </c>
      <c r="H2194" s="1">
        <v>40695</v>
      </c>
      <c r="I2194" t="str">
        <f>"52"</f>
        <v>52</v>
      </c>
      <c r="J2194" t="s">
        <v>330</v>
      </c>
      <c r="K2194" t="s">
        <v>25</v>
      </c>
      <c r="L2194" t="s">
        <v>26</v>
      </c>
      <c r="M2194" t="s">
        <v>27</v>
      </c>
      <c r="N2194" s="1">
        <v>18629</v>
      </c>
      <c r="O2194">
        <v>0</v>
      </c>
      <c r="P2194">
        <v>0</v>
      </c>
      <c r="Q2194" t="s">
        <v>37</v>
      </c>
      <c r="R2194" t="s">
        <v>29</v>
      </c>
      <c r="S2194" t="s">
        <v>3368</v>
      </c>
      <c r="T2194" t="s">
        <v>3369</v>
      </c>
    </row>
    <row r="2195" spans="1:20" x14ac:dyDescent="0.25">
      <c r="A2195" t="s">
        <v>5795</v>
      </c>
      <c r="B2195" t="str">
        <f>"4963"</f>
        <v>4963</v>
      </c>
      <c r="C2195" t="str">
        <f>"281804963"</f>
        <v>281804963</v>
      </c>
      <c r="D2195" t="s">
        <v>5796</v>
      </c>
      <c r="E2195" t="s">
        <v>2364</v>
      </c>
      <c r="F2195" t="s">
        <v>231</v>
      </c>
      <c r="G2195" s="1">
        <v>30306</v>
      </c>
      <c r="H2195" s="1">
        <v>40694</v>
      </c>
      <c r="I2195" t="str">
        <f>"33"</f>
        <v>33</v>
      </c>
      <c r="J2195" t="s">
        <v>45</v>
      </c>
      <c r="K2195" t="s">
        <v>25</v>
      </c>
      <c r="L2195" t="s">
        <v>26</v>
      </c>
      <c r="M2195" t="s">
        <v>27</v>
      </c>
      <c r="N2195" s="1">
        <v>18629</v>
      </c>
      <c r="O2195">
        <v>0</v>
      </c>
      <c r="P2195">
        <v>0</v>
      </c>
      <c r="Q2195" t="s">
        <v>37</v>
      </c>
      <c r="R2195" t="s">
        <v>51</v>
      </c>
      <c r="S2195" t="s">
        <v>795</v>
      </c>
      <c r="T2195" t="s">
        <v>796</v>
      </c>
    </row>
    <row r="2196" spans="1:20" x14ac:dyDescent="0.25">
      <c r="A2196" t="s">
        <v>5797</v>
      </c>
      <c r="B2196" t="str">
        <f>"0492"</f>
        <v>0492</v>
      </c>
      <c r="C2196" t="str">
        <f>"286720492"</f>
        <v>286720492</v>
      </c>
      <c r="D2196" t="s">
        <v>5798</v>
      </c>
      <c r="E2196" t="s">
        <v>1104</v>
      </c>
      <c r="F2196" t="s">
        <v>69</v>
      </c>
      <c r="G2196" s="1">
        <v>25355</v>
      </c>
      <c r="H2196" s="1">
        <v>40694</v>
      </c>
      <c r="I2196" t="str">
        <f>"51"</f>
        <v>51</v>
      </c>
      <c r="J2196" t="s">
        <v>471</v>
      </c>
      <c r="K2196" t="s">
        <v>25</v>
      </c>
      <c r="L2196" t="s">
        <v>26</v>
      </c>
      <c r="M2196" t="s">
        <v>27</v>
      </c>
      <c r="N2196" s="1">
        <v>18629</v>
      </c>
      <c r="O2196">
        <v>0</v>
      </c>
      <c r="P2196">
        <v>0</v>
      </c>
      <c r="Q2196" t="s">
        <v>28</v>
      </c>
      <c r="R2196" t="s">
        <v>71</v>
      </c>
      <c r="S2196" t="s">
        <v>808</v>
      </c>
      <c r="T2196" t="s">
        <v>809</v>
      </c>
    </row>
    <row r="2197" spans="1:20" x14ac:dyDescent="0.25">
      <c r="A2197" t="s">
        <v>5799</v>
      </c>
      <c r="B2197" t="str">
        <f>"4899"</f>
        <v>4899</v>
      </c>
      <c r="C2197" t="str">
        <f>"268864899"</f>
        <v>268864899</v>
      </c>
      <c r="D2197" t="s">
        <v>5800</v>
      </c>
      <c r="E2197" t="s">
        <v>344</v>
      </c>
      <c r="F2197" t="s">
        <v>165</v>
      </c>
      <c r="G2197" s="1">
        <v>29892</v>
      </c>
      <c r="H2197" s="1">
        <v>40694</v>
      </c>
      <c r="I2197" t="str">
        <f>"51"</f>
        <v>51</v>
      </c>
      <c r="J2197" t="s">
        <v>471</v>
      </c>
      <c r="K2197" t="s">
        <v>25</v>
      </c>
      <c r="L2197" t="s">
        <v>26</v>
      </c>
      <c r="M2197" t="s">
        <v>27</v>
      </c>
      <c r="N2197" s="1">
        <v>18629</v>
      </c>
      <c r="O2197">
        <v>0</v>
      </c>
      <c r="P2197">
        <v>0</v>
      </c>
      <c r="Q2197" t="s">
        <v>37</v>
      </c>
      <c r="R2197" t="s">
        <v>51</v>
      </c>
      <c r="S2197" s="2" t="s">
        <v>3730</v>
      </c>
      <c r="T2197" t="s">
        <v>3731</v>
      </c>
    </row>
    <row r="2198" spans="1:20" x14ac:dyDescent="0.25">
      <c r="A2198" t="s">
        <v>5801</v>
      </c>
      <c r="B2198" t="str">
        <f>"8838"</f>
        <v>8838</v>
      </c>
      <c r="C2198" t="str">
        <f>"281708838"</f>
        <v>281708838</v>
      </c>
      <c r="D2198" t="s">
        <v>3476</v>
      </c>
      <c r="E2198" t="s">
        <v>682</v>
      </c>
      <c r="F2198" t="s">
        <v>2075</v>
      </c>
      <c r="G2198" s="1">
        <v>25464</v>
      </c>
      <c r="H2198" s="1">
        <v>40694</v>
      </c>
      <c r="I2198" t="str">
        <f>"03"</f>
        <v>03</v>
      </c>
      <c r="J2198" t="s">
        <v>70</v>
      </c>
      <c r="K2198" t="s">
        <v>98</v>
      </c>
      <c r="L2198" t="s">
        <v>37</v>
      </c>
      <c r="M2198" t="s">
        <v>99</v>
      </c>
      <c r="N2198" s="1">
        <v>41617</v>
      </c>
      <c r="O2198">
        <v>14801.8</v>
      </c>
      <c r="P2198">
        <v>3700.32</v>
      </c>
      <c r="Q2198" t="s">
        <v>37</v>
      </c>
      <c r="R2198" t="s">
        <v>29</v>
      </c>
      <c r="S2198" t="s">
        <v>88</v>
      </c>
      <c r="T2198" t="s">
        <v>89</v>
      </c>
    </row>
    <row r="2199" spans="1:20" x14ac:dyDescent="0.25">
      <c r="A2199" t="s">
        <v>5802</v>
      </c>
      <c r="B2199" t="str">
        <f>"4790"</f>
        <v>4790</v>
      </c>
      <c r="C2199" t="str">
        <f>"300764790"</f>
        <v>300764790</v>
      </c>
      <c r="D2199" t="s">
        <v>5803</v>
      </c>
      <c r="E2199" t="s">
        <v>1081</v>
      </c>
      <c r="F2199" t="s">
        <v>165</v>
      </c>
      <c r="G2199" s="1">
        <v>28040</v>
      </c>
      <c r="H2199" s="1">
        <v>40694</v>
      </c>
      <c r="I2199" t="str">
        <f>"51"</f>
        <v>51</v>
      </c>
      <c r="J2199" t="s">
        <v>471</v>
      </c>
      <c r="K2199" t="s">
        <v>25</v>
      </c>
      <c r="L2199" t="s">
        <v>26</v>
      </c>
      <c r="M2199" t="s">
        <v>27</v>
      </c>
      <c r="N2199" s="1">
        <v>18629</v>
      </c>
      <c r="O2199">
        <v>0</v>
      </c>
      <c r="P2199">
        <v>0</v>
      </c>
      <c r="Q2199" t="s">
        <v>28</v>
      </c>
      <c r="R2199" t="s">
        <v>51</v>
      </c>
      <c r="S2199" s="2" t="s">
        <v>5804</v>
      </c>
      <c r="T2199" t="s">
        <v>5805</v>
      </c>
    </row>
    <row r="2200" spans="1:20" x14ac:dyDescent="0.25">
      <c r="A2200" t="s">
        <v>5806</v>
      </c>
      <c r="B2200" t="str">
        <f>"7023"</f>
        <v>7023</v>
      </c>
      <c r="C2200" t="str">
        <f>"302647023"</f>
        <v>302647023</v>
      </c>
      <c r="D2200" t="s">
        <v>5807</v>
      </c>
      <c r="E2200" t="s">
        <v>2339</v>
      </c>
      <c r="F2200" t="s">
        <v>5808</v>
      </c>
      <c r="G2200" s="1">
        <v>22007</v>
      </c>
      <c r="H2200" s="1">
        <v>40694</v>
      </c>
      <c r="I2200" t="str">
        <f>"12"</f>
        <v>12</v>
      </c>
      <c r="J2200" t="s">
        <v>245</v>
      </c>
      <c r="K2200" t="s">
        <v>98</v>
      </c>
      <c r="L2200" t="s">
        <v>37</v>
      </c>
      <c r="M2200" t="s">
        <v>117</v>
      </c>
      <c r="N2200" s="1">
        <v>41617</v>
      </c>
      <c r="O2200">
        <v>4951.96</v>
      </c>
      <c r="P2200">
        <v>1237.8599999999999</v>
      </c>
      <c r="Q2200" t="s">
        <v>37</v>
      </c>
      <c r="R2200" t="s">
        <v>71</v>
      </c>
      <c r="S2200" t="s">
        <v>203</v>
      </c>
      <c r="T2200" t="s">
        <v>204</v>
      </c>
    </row>
    <row r="2201" spans="1:20" x14ac:dyDescent="0.25">
      <c r="A2201" t="s">
        <v>5809</v>
      </c>
      <c r="B2201" t="str">
        <f>"0232"</f>
        <v>0232</v>
      </c>
      <c r="C2201" t="str">
        <f>"596050232"</f>
        <v>596050232</v>
      </c>
      <c r="D2201" t="s">
        <v>5119</v>
      </c>
      <c r="E2201" t="s">
        <v>2354</v>
      </c>
      <c r="F2201" t="s">
        <v>165</v>
      </c>
      <c r="G2201" s="1">
        <v>31363</v>
      </c>
      <c r="H2201" s="1">
        <v>40694</v>
      </c>
      <c r="I2201" t="str">
        <f>"05"</f>
        <v>05</v>
      </c>
      <c r="J2201" t="s">
        <v>58</v>
      </c>
      <c r="K2201" t="s">
        <v>98</v>
      </c>
      <c r="L2201" t="s">
        <v>37</v>
      </c>
      <c r="M2201" t="s">
        <v>99</v>
      </c>
      <c r="N2201" s="1">
        <v>41617</v>
      </c>
      <c r="O2201">
        <v>14801.8</v>
      </c>
      <c r="P2201">
        <v>3700.32</v>
      </c>
      <c r="Q2201" t="s">
        <v>37</v>
      </c>
      <c r="R2201" t="s">
        <v>71</v>
      </c>
      <c r="S2201" t="s">
        <v>790</v>
      </c>
      <c r="T2201" t="s">
        <v>791</v>
      </c>
    </row>
    <row r="2202" spans="1:20" x14ac:dyDescent="0.25">
      <c r="A2202" t="s">
        <v>5810</v>
      </c>
      <c r="B2202" t="str">
        <f>"2273"</f>
        <v>2273</v>
      </c>
      <c r="C2202" t="str">
        <f>"280132273"</f>
        <v>280132273</v>
      </c>
      <c r="D2202" t="s">
        <v>5811</v>
      </c>
      <c r="E2202" t="s">
        <v>5812</v>
      </c>
      <c r="G2202" s="1">
        <v>28311</v>
      </c>
      <c r="H2202" s="1">
        <v>40694</v>
      </c>
      <c r="I2202" t="str">
        <f>"05"</f>
        <v>05</v>
      </c>
      <c r="J2202" t="s">
        <v>58</v>
      </c>
      <c r="K2202" t="s">
        <v>98</v>
      </c>
      <c r="L2202" t="s">
        <v>37</v>
      </c>
      <c r="M2202" t="s">
        <v>257</v>
      </c>
      <c r="N2202" s="1">
        <v>41617</v>
      </c>
      <c r="O2202">
        <v>10753.08</v>
      </c>
      <c r="P2202">
        <v>2688.4</v>
      </c>
      <c r="Q2202" t="s">
        <v>37</v>
      </c>
      <c r="R2202" t="s">
        <v>71</v>
      </c>
      <c r="S2202" t="s">
        <v>790</v>
      </c>
      <c r="T2202" t="s">
        <v>791</v>
      </c>
    </row>
    <row r="2203" spans="1:20" x14ac:dyDescent="0.25">
      <c r="A2203" t="s">
        <v>5813</v>
      </c>
      <c r="B2203" t="str">
        <f>"5449"</f>
        <v>5449</v>
      </c>
      <c r="C2203" t="str">
        <f>"062505449"</f>
        <v>062505449</v>
      </c>
      <c r="D2203" t="s">
        <v>5814</v>
      </c>
      <c r="E2203" t="s">
        <v>2027</v>
      </c>
      <c r="F2203" t="s">
        <v>438</v>
      </c>
      <c r="G2203" s="1">
        <v>20646</v>
      </c>
      <c r="H2203" s="1">
        <v>40694</v>
      </c>
      <c r="I2203" t="str">
        <f>"51"</f>
        <v>51</v>
      </c>
      <c r="J2203" t="s">
        <v>471</v>
      </c>
      <c r="K2203" t="s">
        <v>25</v>
      </c>
      <c r="L2203" t="s">
        <v>26</v>
      </c>
      <c r="M2203" t="s">
        <v>27</v>
      </c>
      <c r="N2203" s="1">
        <v>18629</v>
      </c>
      <c r="O2203">
        <v>0</v>
      </c>
      <c r="P2203">
        <v>0</v>
      </c>
      <c r="Q2203" t="s">
        <v>28</v>
      </c>
      <c r="R2203" t="s">
        <v>71</v>
      </c>
      <c r="S2203" t="s">
        <v>1513</v>
      </c>
      <c r="T2203" t="s">
        <v>1514</v>
      </c>
    </row>
    <row r="2204" spans="1:20" x14ac:dyDescent="0.25">
      <c r="A2204" t="s">
        <v>5815</v>
      </c>
      <c r="B2204" t="str">
        <f>"8179"</f>
        <v>8179</v>
      </c>
      <c r="C2204" t="str">
        <f>"287608179"</f>
        <v>287608179</v>
      </c>
      <c r="D2204" t="s">
        <v>5816</v>
      </c>
      <c r="E2204" t="s">
        <v>2177</v>
      </c>
      <c r="G2204" s="1">
        <v>28229</v>
      </c>
      <c r="H2204" s="1">
        <v>40694</v>
      </c>
      <c r="I2204" t="str">
        <f>"12"</f>
        <v>12</v>
      </c>
      <c r="J2204" t="s">
        <v>245</v>
      </c>
      <c r="K2204" t="s">
        <v>98</v>
      </c>
      <c r="L2204" t="s">
        <v>37</v>
      </c>
      <c r="M2204" t="s">
        <v>99</v>
      </c>
      <c r="N2204" s="1">
        <v>41617</v>
      </c>
      <c r="O2204">
        <v>14801.8</v>
      </c>
      <c r="P2204">
        <v>3700.32</v>
      </c>
      <c r="Q2204" t="s">
        <v>37</v>
      </c>
      <c r="R2204" t="s">
        <v>29</v>
      </c>
      <c r="S2204" t="s">
        <v>1099</v>
      </c>
      <c r="T2204" t="s">
        <v>1100</v>
      </c>
    </row>
    <row r="2205" spans="1:20" x14ac:dyDescent="0.25">
      <c r="A2205" t="s">
        <v>5817</v>
      </c>
      <c r="B2205" t="str">
        <f>"1677"</f>
        <v>1677</v>
      </c>
      <c r="C2205" t="str">
        <f>"279961677"</f>
        <v>279961677</v>
      </c>
      <c r="D2205" t="s">
        <v>5818</v>
      </c>
      <c r="E2205" t="s">
        <v>5819</v>
      </c>
      <c r="F2205" t="s">
        <v>93</v>
      </c>
      <c r="G2205" s="1">
        <v>27069</v>
      </c>
      <c r="H2205" s="1">
        <v>40694</v>
      </c>
      <c r="I2205" t="str">
        <f>"51"</f>
        <v>51</v>
      </c>
      <c r="J2205" t="s">
        <v>471</v>
      </c>
      <c r="K2205" t="s">
        <v>25</v>
      </c>
      <c r="L2205" t="s">
        <v>26</v>
      </c>
      <c r="M2205" t="s">
        <v>27</v>
      </c>
      <c r="N2205" s="1">
        <v>18629</v>
      </c>
      <c r="O2205">
        <v>0</v>
      </c>
      <c r="P2205">
        <v>0</v>
      </c>
      <c r="Q2205" t="s">
        <v>28</v>
      </c>
      <c r="R2205" t="s">
        <v>71</v>
      </c>
      <c r="S2205" t="s">
        <v>2458</v>
      </c>
      <c r="T2205" t="s">
        <v>2459</v>
      </c>
    </row>
    <row r="2206" spans="1:20" x14ac:dyDescent="0.25">
      <c r="A2206" t="s">
        <v>5820</v>
      </c>
      <c r="B2206" t="str">
        <f>"1619"</f>
        <v>1619</v>
      </c>
      <c r="C2206" t="str">
        <f>"274561619"</f>
        <v>274561619</v>
      </c>
      <c r="D2206" t="s">
        <v>5821</v>
      </c>
      <c r="E2206" t="s">
        <v>2450</v>
      </c>
      <c r="G2206" s="1">
        <v>19715</v>
      </c>
      <c r="H2206" s="1">
        <v>40686</v>
      </c>
      <c r="I2206" t="str">
        <f>"52"</f>
        <v>52</v>
      </c>
      <c r="J2206" t="s">
        <v>330</v>
      </c>
      <c r="K2206" t="s">
        <v>25</v>
      </c>
      <c r="L2206" t="s">
        <v>26</v>
      </c>
      <c r="M2206" t="s">
        <v>27</v>
      </c>
      <c r="N2206" s="1">
        <v>18629</v>
      </c>
      <c r="O2206">
        <v>0</v>
      </c>
      <c r="P2206">
        <v>0</v>
      </c>
      <c r="Q2206" t="s">
        <v>37</v>
      </c>
      <c r="R2206" t="s">
        <v>346</v>
      </c>
      <c r="S2206" t="s">
        <v>678</v>
      </c>
      <c r="T2206" t="s">
        <v>679</v>
      </c>
    </row>
    <row r="2207" spans="1:20" x14ac:dyDescent="0.25">
      <c r="A2207" t="s">
        <v>5822</v>
      </c>
      <c r="B2207" t="str">
        <f>"8324"</f>
        <v>8324</v>
      </c>
      <c r="C2207" t="str">
        <f>"283668324"</f>
        <v>283668324</v>
      </c>
      <c r="D2207" t="s">
        <v>5823</v>
      </c>
      <c r="E2207" t="s">
        <v>179</v>
      </c>
      <c r="F2207" t="s">
        <v>219</v>
      </c>
      <c r="G2207" s="1">
        <v>22163</v>
      </c>
      <c r="H2207" s="1">
        <v>40679</v>
      </c>
      <c r="I2207" t="str">
        <f>"08"</f>
        <v>08</v>
      </c>
      <c r="J2207" t="s">
        <v>265</v>
      </c>
      <c r="K2207" t="s">
        <v>98</v>
      </c>
      <c r="L2207" t="s">
        <v>37</v>
      </c>
      <c r="M2207" t="s">
        <v>99</v>
      </c>
      <c r="N2207" s="1">
        <v>41617</v>
      </c>
      <c r="O2207">
        <v>14801.8</v>
      </c>
      <c r="P2207">
        <v>3700.32</v>
      </c>
      <c r="Q2207" t="s">
        <v>28</v>
      </c>
      <c r="R2207" t="s">
        <v>51</v>
      </c>
      <c r="S2207" t="s">
        <v>650</v>
      </c>
      <c r="T2207" t="s">
        <v>651</v>
      </c>
    </row>
    <row r="2208" spans="1:20" x14ac:dyDescent="0.25">
      <c r="A2208" t="s">
        <v>5824</v>
      </c>
      <c r="B2208" t="str">
        <f>"0574"</f>
        <v>0574</v>
      </c>
      <c r="C2208" t="str">
        <f>"270760574"</f>
        <v>270760574</v>
      </c>
      <c r="D2208" t="s">
        <v>5825</v>
      </c>
      <c r="E2208" t="s">
        <v>1453</v>
      </c>
      <c r="F2208" t="s">
        <v>26</v>
      </c>
      <c r="G2208" s="1">
        <v>23693</v>
      </c>
      <c r="H2208" s="1">
        <v>40676</v>
      </c>
      <c r="I2208" t="str">
        <f>"52"</f>
        <v>52</v>
      </c>
      <c r="J2208" t="s">
        <v>330</v>
      </c>
      <c r="K2208" t="s">
        <v>25</v>
      </c>
      <c r="L2208" t="s">
        <v>26</v>
      </c>
      <c r="M2208" t="s">
        <v>27</v>
      </c>
      <c r="N2208" s="1">
        <v>18629</v>
      </c>
      <c r="O2208">
        <v>0</v>
      </c>
      <c r="P2208">
        <v>0</v>
      </c>
      <c r="Q2208" t="s">
        <v>28</v>
      </c>
      <c r="R2208" t="s">
        <v>71</v>
      </c>
      <c r="S2208" t="s">
        <v>402</v>
      </c>
      <c r="T2208" t="s">
        <v>403</v>
      </c>
    </row>
    <row r="2209" spans="1:20" x14ac:dyDescent="0.25">
      <c r="A2209" t="s">
        <v>5826</v>
      </c>
      <c r="B2209" t="str">
        <f>"9046"</f>
        <v>9046</v>
      </c>
      <c r="C2209" t="str">
        <f>"287549046"</f>
        <v>287549046</v>
      </c>
      <c r="D2209" t="s">
        <v>5827</v>
      </c>
      <c r="E2209" t="s">
        <v>5828</v>
      </c>
      <c r="F2209" t="s">
        <v>44</v>
      </c>
      <c r="G2209" s="1">
        <v>24494</v>
      </c>
      <c r="H2209" s="1">
        <v>40675</v>
      </c>
      <c r="I2209" t="str">
        <f>"41"</f>
        <v>41</v>
      </c>
      <c r="J2209" t="s">
        <v>24</v>
      </c>
      <c r="K2209" t="s">
        <v>25</v>
      </c>
      <c r="L2209" t="s">
        <v>26</v>
      </c>
      <c r="M2209" t="s">
        <v>27</v>
      </c>
      <c r="N2209" s="1">
        <v>18629</v>
      </c>
      <c r="O2209">
        <v>0</v>
      </c>
      <c r="P2209">
        <v>0</v>
      </c>
      <c r="Q2209" t="s">
        <v>28</v>
      </c>
      <c r="R2209" t="s">
        <v>71</v>
      </c>
      <c r="S2209" t="s">
        <v>402</v>
      </c>
      <c r="T2209" t="s">
        <v>403</v>
      </c>
    </row>
    <row r="2210" spans="1:20" x14ac:dyDescent="0.25">
      <c r="A2210" t="s">
        <v>5829</v>
      </c>
      <c r="B2210" t="str">
        <f>"4788"</f>
        <v>4788</v>
      </c>
      <c r="C2210" t="str">
        <f>"269684788"</f>
        <v>269684788</v>
      </c>
      <c r="D2210" t="s">
        <v>5830</v>
      </c>
      <c r="E2210" t="s">
        <v>1049</v>
      </c>
      <c r="F2210" t="s">
        <v>556</v>
      </c>
      <c r="G2210" s="1">
        <v>23842</v>
      </c>
      <c r="H2210" s="1">
        <v>40665</v>
      </c>
      <c r="I2210" t="str">
        <f>"52"</f>
        <v>52</v>
      </c>
      <c r="J2210" t="s">
        <v>330</v>
      </c>
      <c r="K2210" t="s">
        <v>25</v>
      </c>
      <c r="L2210" t="s">
        <v>26</v>
      </c>
      <c r="M2210" t="s">
        <v>27</v>
      </c>
      <c r="N2210" s="1">
        <v>18629</v>
      </c>
      <c r="O2210">
        <v>0</v>
      </c>
      <c r="P2210">
        <v>0</v>
      </c>
      <c r="Q2210" t="s">
        <v>28</v>
      </c>
      <c r="R2210" t="s">
        <v>258</v>
      </c>
      <c r="S2210" t="s">
        <v>1078</v>
      </c>
      <c r="T2210" t="s">
        <v>1079</v>
      </c>
    </row>
    <row r="2211" spans="1:20" x14ac:dyDescent="0.25">
      <c r="A2211" t="s">
        <v>5831</v>
      </c>
      <c r="B2211" t="str">
        <f>"7320"</f>
        <v>7320</v>
      </c>
      <c r="C2211" t="str">
        <f>"275687320"</f>
        <v>275687320</v>
      </c>
      <c r="D2211" t="s">
        <v>1798</v>
      </c>
      <c r="E2211" t="s">
        <v>1098</v>
      </c>
      <c r="F2211" t="s">
        <v>5832</v>
      </c>
      <c r="G2211" s="1">
        <v>22485</v>
      </c>
      <c r="H2211" s="1">
        <v>40663</v>
      </c>
      <c r="I2211" t="str">
        <f>"52"</f>
        <v>52</v>
      </c>
      <c r="J2211" t="s">
        <v>330</v>
      </c>
      <c r="K2211" t="s">
        <v>25</v>
      </c>
      <c r="L2211" t="s">
        <v>26</v>
      </c>
      <c r="M2211" t="s">
        <v>27</v>
      </c>
      <c r="N2211" s="1">
        <v>18629</v>
      </c>
      <c r="O2211">
        <v>0</v>
      </c>
      <c r="P2211">
        <v>0</v>
      </c>
      <c r="Q2211" t="s">
        <v>28</v>
      </c>
      <c r="R2211" t="s">
        <v>258</v>
      </c>
      <c r="S2211" t="s">
        <v>331</v>
      </c>
      <c r="T2211" t="s">
        <v>332</v>
      </c>
    </row>
    <row r="2212" spans="1:20" x14ac:dyDescent="0.25">
      <c r="A2212" t="s">
        <v>5833</v>
      </c>
      <c r="B2212" t="str">
        <f>"0051"</f>
        <v>0051</v>
      </c>
      <c r="C2212" t="str">
        <f>"294660051"</f>
        <v>294660051</v>
      </c>
      <c r="D2212" t="s">
        <v>5834</v>
      </c>
      <c r="E2212" t="s">
        <v>1790</v>
      </c>
      <c r="F2212" t="s">
        <v>37</v>
      </c>
      <c r="G2212" s="1">
        <v>25724</v>
      </c>
      <c r="H2212" s="1">
        <v>40662</v>
      </c>
      <c r="I2212" t="str">
        <f>"52"</f>
        <v>52</v>
      </c>
      <c r="J2212" t="s">
        <v>330</v>
      </c>
      <c r="K2212" t="s">
        <v>25</v>
      </c>
      <c r="L2212" t="s">
        <v>26</v>
      </c>
      <c r="M2212" t="s">
        <v>27</v>
      </c>
      <c r="N2212" s="1">
        <v>18629</v>
      </c>
      <c r="O2212">
        <v>0</v>
      </c>
      <c r="P2212">
        <v>0</v>
      </c>
      <c r="Q2212" t="s">
        <v>37</v>
      </c>
      <c r="R2212" t="s">
        <v>258</v>
      </c>
      <c r="S2212" t="s">
        <v>331</v>
      </c>
      <c r="T2212" t="s">
        <v>332</v>
      </c>
    </row>
    <row r="2213" spans="1:20" x14ac:dyDescent="0.25">
      <c r="A2213" t="s">
        <v>5835</v>
      </c>
      <c r="B2213" t="str">
        <f>"9551"</f>
        <v>9551</v>
      </c>
      <c r="C2213" t="str">
        <f>"540969551"</f>
        <v>540969551</v>
      </c>
      <c r="D2213" t="s">
        <v>1156</v>
      </c>
      <c r="E2213" t="s">
        <v>5096</v>
      </c>
      <c r="G2213" s="1">
        <v>28977</v>
      </c>
      <c r="H2213" s="1">
        <v>40651</v>
      </c>
      <c r="I2213" t="str">
        <f>"01"</f>
        <v>01</v>
      </c>
      <c r="J2213" t="s">
        <v>116</v>
      </c>
      <c r="K2213" t="s">
        <v>175</v>
      </c>
      <c r="L2213" t="s">
        <v>37</v>
      </c>
      <c r="M2213" t="s">
        <v>117</v>
      </c>
      <c r="N2213" s="1">
        <v>41617</v>
      </c>
      <c r="O2213">
        <v>5288.66</v>
      </c>
      <c r="P2213">
        <v>1322.1</v>
      </c>
      <c r="Q2213" t="s">
        <v>37</v>
      </c>
      <c r="R2213" t="s">
        <v>29</v>
      </c>
      <c r="S2213" t="s">
        <v>283</v>
      </c>
      <c r="T2213" t="s">
        <v>284</v>
      </c>
    </row>
    <row r="2214" spans="1:20" x14ac:dyDescent="0.25">
      <c r="A2214" t="s">
        <v>5836</v>
      </c>
      <c r="B2214" t="str">
        <f>"9969"</f>
        <v>9969</v>
      </c>
      <c r="C2214" t="str">
        <f>"275969969"</f>
        <v>275969969</v>
      </c>
      <c r="D2214" t="s">
        <v>5837</v>
      </c>
      <c r="E2214" t="s">
        <v>227</v>
      </c>
      <c r="F2214" t="s">
        <v>165</v>
      </c>
      <c r="G2214" s="1">
        <v>31616</v>
      </c>
      <c r="H2214" s="1">
        <v>40651</v>
      </c>
      <c r="I2214" t="str">
        <f>"42"</f>
        <v>42</v>
      </c>
      <c r="J2214" t="s">
        <v>367</v>
      </c>
      <c r="K2214" t="s">
        <v>25</v>
      </c>
      <c r="L2214" t="s">
        <v>26</v>
      </c>
      <c r="M2214" t="s">
        <v>27</v>
      </c>
      <c r="N2214" s="1">
        <v>18629</v>
      </c>
      <c r="O2214">
        <v>0</v>
      </c>
      <c r="P2214">
        <v>0</v>
      </c>
      <c r="Q2214" t="s">
        <v>28</v>
      </c>
      <c r="R2214" t="s">
        <v>29</v>
      </c>
      <c r="S2214" t="s">
        <v>982</v>
      </c>
      <c r="T2214" t="s">
        <v>983</v>
      </c>
    </row>
    <row r="2215" spans="1:20" x14ac:dyDescent="0.25">
      <c r="A2215" t="s">
        <v>5838</v>
      </c>
      <c r="B2215" t="str">
        <f>"5573"</f>
        <v>5573</v>
      </c>
      <c r="C2215" t="str">
        <f>"302745573"</f>
        <v>302745573</v>
      </c>
      <c r="D2215" t="s">
        <v>5839</v>
      </c>
      <c r="E2215" t="s">
        <v>1981</v>
      </c>
      <c r="F2215" t="s">
        <v>358</v>
      </c>
      <c r="G2215" s="1">
        <v>23335</v>
      </c>
      <c r="H2215" s="1">
        <v>40651</v>
      </c>
      <c r="I2215" t="str">
        <f>"08"</f>
        <v>08</v>
      </c>
      <c r="J2215" t="s">
        <v>265</v>
      </c>
      <c r="K2215" t="s">
        <v>98</v>
      </c>
      <c r="L2215" t="s">
        <v>37</v>
      </c>
      <c r="M2215" t="s">
        <v>99</v>
      </c>
      <c r="N2215" s="1">
        <v>41617</v>
      </c>
      <c r="O2215">
        <v>14801.8</v>
      </c>
      <c r="P2215">
        <v>3700.32</v>
      </c>
      <c r="Q2215" t="s">
        <v>37</v>
      </c>
      <c r="R2215" t="s">
        <v>71</v>
      </c>
      <c r="S2215" t="s">
        <v>1438</v>
      </c>
      <c r="T2215" t="s">
        <v>1439</v>
      </c>
    </row>
    <row r="2216" spans="1:20" x14ac:dyDescent="0.25">
      <c r="A2216" t="s">
        <v>5840</v>
      </c>
      <c r="B2216" t="str">
        <f>"0760"</f>
        <v>0760</v>
      </c>
      <c r="C2216" t="str">
        <f>"280840760"</f>
        <v>280840760</v>
      </c>
      <c r="D2216" t="s">
        <v>5841</v>
      </c>
      <c r="E2216" t="s">
        <v>822</v>
      </c>
      <c r="F2216" t="s">
        <v>28</v>
      </c>
      <c r="G2216" s="1">
        <v>30893</v>
      </c>
      <c r="H2216" s="1">
        <v>40651</v>
      </c>
      <c r="I2216" t="str">
        <f>"30"</f>
        <v>30</v>
      </c>
      <c r="J2216" t="s">
        <v>50</v>
      </c>
      <c r="K2216" t="s">
        <v>25</v>
      </c>
      <c r="L2216" t="s">
        <v>26</v>
      </c>
      <c r="M2216" t="s">
        <v>27</v>
      </c>
      <c r="N2216" s="1">
        <v>18629</v>
      </c>
      <c r="O2216">
        <v>0</v>
      </c>
      <c r="P2216">
        <v>0</v>
      </c>
      <c r="Q2216" t="s">
        <v>37</v>
      </c>
      <c r="R2216" t="s">
        <v>71</v>
      </c>
      <c r="S2216" t="s">
        <v>5842</v>
      </c>
      <c r="T2216" t="s">
        <v>5843</v>
      </c>
    </row>
    <row r="2217" spans="1:20" x14ac:dyDescent="0.25">
      <c r="A2217" t="s">
        <v>5844</v>
      </c>
      <c r="B2217" t="str">
        <f>"3190"</f>
        <v>3190</v>
      </c>
      <c r="C2217" t="str">
        <f>"271463190"</f>
        <v>271463190</v>
      </c>
      <c r="D2217" t="s">
        <v>5845</v>
      </c>
      <c r="E2217" t="s">
        <v>1007</v>
      </c>
      <c r="F2217" t="s">
        <v>44</v>
      </c>
      <c r="G2217" s="1">
        <v>20044</v>
      </c>
      <c r="H2217" s="1">
        <v>40651</v>
      </c>
      <c r="I2217" t="str">
        <f>"51"</f>
        <v>51</v>
      </c>
      <c r="J2217" t="s">
        <v>471</v>
      </c>
      <c r="K2217" t="s">
        <v>25</v>
      </c>
      <c r="L2217" t="s">
        <v>26</v>
      </c>
      <c r="M2217" t="s">
        <v>27</v>
      </c>
      <c r="N2217" s="1">
        <v>18629</v>
      </c>
      <c r="O2217">
        <v>0</v>
      </c>
      <c r="P2217">
        <v>0</v>
      </c>
      <c r="Q2217" t="s">
        <v>37</v>
      </c>
      <c r="R2217" t="s">
        <v>29</v>
      </c>
      <c r="S2217" t="s">
        <v>138</v>
      </c>
      <c r="T2217" t="s">
        <v>139</v>
      </c>
    </row>
    <row r="2218" spans="1:20" x14ac:dyDescent="0.25">
      <c r="A2218" t="s">
        <v>5846</v>
      </c>
      <c r="B2218" t="str">
        <f>"5905"</f>
        <v>5905</v>
      </c>
      <c r="C2218" t="str">
        <f>"291645905"</f>
        <v>291645905</v>
      </c>
      <c r="D2218" t="s">
        <v>5847</v>
      </c>
      <c r="E2218" t="s">
        <v>2617</v>
      </c>
      <c r="G2218" s="1">
        <v>23983</v>
      </c>
      <c r="H2218" s="1">
        <v>40651</v>
      </c>
      <c r="I2218" t="str">
        <f>"12"</f>
        <v>12</v>
      </c>
      <c r="J2218" t="s">
        <v>245</v>
      </c>
      <c r="K2218" t="s">
        <v>98</v>
      </c>
      <c r="L2218" t="s">
        <v>37</v>
      </c>
      <c r="M2218" t="s">
        <v>99</v>
      </c>
      <c r="N2218" s="1">
        <v>41617</v>
      </c>
      <c r="O2218">
        <v>14801.8</v>
      </c>
      <c r="P2218">
        <v>3700.32</v>
      </c>
      <c r="Q2218" t="s">
        <v>28</v>
      </c>
      <c r="R2218" t="s">
        <v>110</v>
      </c>
      <c r="S2218" t="s">
        <v>482</v>
      </c>
      <c r="T2218" t="s">
        <v>483</v>
      </c>
    </row>
    <row r="2219" spans="1:20" x14ac:dyDescent="0.25">
      <c r="A2219" t="s">
        <v>5848</v>
      </c>
      <c r="B2219" t="str">
        <f>"2174"</f>
        <v>2174</v>
      </c>
      <c r="C2219" t="str">
        <f>"292802174"</f>
        <v>292802174</v>
      </c>
      <c r="D2219" t="s">
        <v>5849</v>
      </c>
      <c r="E2219" t="s">
        <v>5850</v>
      </c>
      <c r="F2219" t="s">
        <v>2075</v>
      </c>
      <c r="G2219" s="1">
        <v>26142</v>
      </c>
      <c r="H2219" s="1">
        <v>40651</v>
      </c>
      <c r="I2219" t="str">
        <f>"42"</f>
        <v>42</v>
      </c>
      <c r="J2219" t="s">
        <v>367</v>
      </c>
      <c r="K2219" t="s">
        <v>25</v>
      </c>
      <c r="L2219" t="s">
        <v>26</v>
      </c>
      <c r="M2219" t="s">
        <v>27</v>
      </c>
      <c r="N2219" s="1">
        <v>18629</v>
      </c>
      <c r="O2219">
        <v>0</v>
      </c>
      <c r="P2219">
        <v>0</v>
      </c>
      <c r="Q2219" t="s">
        <v>28</v>
      </c>
      <c r="R2219" t="s">
        <v>29</v>
      </c>
      <c r="S2219" t="s">
        <v>982</v>
      </c>
      <c r="T2219" t="s">
        <v>983</v>
      </c>
    </row>
    <row r="2220" spans="1:20" x14ac:dyDescent="0.25">
      <c r="A2220" t="s">
        <v>5851</v>
      </c>
      <c r="B2220" t="str">
        <f>"5834"</f>
        <v>5834</v>
      </c>
      <c r="C2220" t="str">
        <f>"284705834"</f>
        <v>284705834</v>
      </c>
      <c r="D2220" t="s">
        <v>5852</v>
      </c>
      <c r="E2220" t="s">
        <v>2617</v>
      </c>
      <c r="F2220" t="s">
        <v>97</v>
      </c>
      <c r="G2220" s="1">
        <v>27959</v>
      </c>
      <c r="H2220" s="1">
        <v>40645</v>
      </c>
      <c r="I2220" t="str">
        <f>"41"</f>
        <v>41</v>
      </c>
      <c r="J2220" t="s">
        <v>24</v>
      </c>
      <c r="K2220" t="s">
        <v>25</v>
      </c>
      <c r="L2220" t="s">
        <v>26</v>
      </c>
      <c r="M2220" t="s">
        <v>27</v>
      </c>
      <c r="N2220" s="1">
        <v>18629</v>
      </c>
      <c r="O2220">
        <v>0</v>
      </c>
      <c r="P2220">
        <v>0</v>
      </c>
      <c r="Q2220" t="s">
        <v>28</v>
      </c>
      <c r="R2220" t="s">
        <v>71</v>
      </c>
      <c r="S2220" t="s">
        <v>402</v>
      </c>
      <c r="T2220" t="s">
        <v>403</v>
      </c>
    </row>
    <row r="2221" spans="1:20" x14ac:dyDescent="0.25">
      <c r="A2221" t="s">
        <v>5853</v>
      </c>
      <c r="B2221" t="str">
        <f>"1809"</f>
        <v>1809</v>
      </c>
      <c r="C2221" t="str">
        <f>"285061809"</f>
        <v>285061809</v>
      </c>
      <c r="D2221" t="s">
        <v>5854</v>
      </c>
      <c r="E2221" t="s">
        <v>1948</v>
      </c>
      <c r="G2221" s="1">
        <v>24924</v>
      </c>
      <c r="H2221" s="1">
        <v>40644</v>
      </c>
      <c r="I2221" t="str">
        <f>"41"</f>
        <v>41</v>
      </c>
      <c r="J2221" t="s">
        <v>24</v>
      </c>
      <c r="K2221" t="s">
        <v>25</v>
      </c>
      <c r="L2221" t="s">
        <v>26</v>
      </c>
      <c r="M2221" t="s">
        <v>27</v>
      </c>
      <c r="N2221" s="1">
        <v>18629</v>
      </c>
      <c r="O2221">
        <v>0</v>
      </c>
      <c r="P2221">
        <v>0</v>
      </c>
      <c r="Q2221" t="s">
        <v>28</v>
      </c>
      <c r="R2221" t="s">
        <v>51</v>
      </c>
      <c r="S2221" t="s">
        <v>691</v>
      </c>
      <c r="T2221" t="s">
        <v>692</v>
      </c>
    </row>
    <row r="2222" spans="1:20" x14ac:dyDescent="0.25">
      <c r="A2222" t="s">
        <v>5855</v>
      </c>
      <c r="B2222" t="str">
        <f>"9192"</f>
        <v>9192</v>
      </c>
      <c r="C2222" t="str">
        <f>"291829192"</f>
        <v>291829192</v>
      </c>
      <c r="D2222" t="s">
        <v>5856</v>
      </c>
      <c r="E2222" t="s">
        <v>3558</v>
      </c>
      <c r="F2222" t="s">
        <v>93</v>
      </c>
      <c r="G2222" s="1">
        <v>25357</v>
      </c>
      <c r="H2222" s="1">
        <v>40640</v>
      </c>
      <c r="I2222" t="str">
        <f>"52"</f>
        <v>52</v>
      </c>
      <c r="J2222" t="s">
        <v>330</v>
      </c>
      <c r="K2222" t="s">
        <v>25</v>
      </c>
      <c r="L2222" t="s">
        <v>26</v>
      </c>
      <c r="M2222" t="s">
        <v>27</v>
      </c>
      <c r="N2222" s="1">
        <v>18629</v>
      </c>
      <c r="O2222">
        <v>0</v>
      </c>
      <c r="P2222">
        <v>0</v>
      </c>
      <c r="Q2222" t="s">
        <v>28</v>
      </c>
      <c r="R2222" t="s">
        <v>71</v>
      </c>
      <c r="S2222" t="s">
        <v>336</v>
      </c>
      <c r="T2222" t="s">
        <v>337</v>
      </c>
    </row>
    <row r="2223" spans="1:20" x14ac:dyDescent="0.25">
      <c r="A2223" t="s">
        <v>5857</v>
      </c>
      <c r="B2223" t="str">
        <f>"7441"</f>
        <v>7441</v>
      </c>
      <c r="C2223" t="str">
        <f>"281587441"</f>
        <v>281587441</v>
      </c>
      <c r="D2223" t="s">
        <v>5858</v>
      </c>
      <c r="E2223" t="s">
        <v>5859</v>
      </c>
      <c r="F2223" t="s">
        <v>219</v>
      </c>
      <c r="G2223" s="1">
        <v>20289</v>
      </c>
      <c r="H2223" s="1">
        <v>40639</v>
      </c>
      <c r="I2223" t="str">
        <f>"41"</f>
        <v>41</v>
      </c>
      <c r="J2223" t="s">
        <v>24</v>
      </c>
      <c r="K2223" t="s">
        <v>25</v>
      </c>
      <c r="L2223" t="s">
        <v>26</v>
      </c>
      <c r="M2223" t="s">
        <v>27</v>
      </c>
      <c r="N2223" s="1">
        <v>18629</v>
      </c>
      <c r="O2223">
        <v>0</v>
      </c>
      <c r="P2223">
        <v>0</v>
      </c>
      <c r="Q2223" t="s">
        <v>37</v>
      </c>
      <c r="R2223" t="s">
        <v>71</v>
      </c>
      <c r="S2223" t="s">
        <v>2667</v>
      </c>
      <c r="T2223" t="s">
        <v>2668</v>
      </c>
    </row>
    <row r="2224" spans="1:20" x14ac:dyDescent="0.25">
      <c r="A2224" t="s">
        <v>5860</v>
      </c>
      <c r="B2224" t="str">
        <f>"6604"</f>
        <v>6604</v>
      </c>
      <c r="C2224" t="str">
        <f>"283606604"</f>
        <v>283606604</v>
      </c>
      <c r="D2224" t="s">
        <v>5861</v>
      </c>
      <c r="E2224" t="s">
        <v>5862</v>
      </c>
      <c r="F2224" t="s">
        <v>93</v>
      </c>
      <c r="G2224" s="1">
        <v>26416</v>
      </c>
      <c r="H2224" s="1">
        <v>40637</v>
      </c>
      <c r="I2224" t="str">
        <f>"50"</f>
        <v>50</v>
      </c>
      <c r="J2224" t="s">
        <v>208</v>
      </c>
      <c r="K2224" t="s">
        <v>25</v>
      </c>
      <c r="L2224" t="s">
        <v>26</v>
      </c>
      <c r="M2224" t="s">
        <v>27</v>
      </c>
      <c r="N2224" s="1">
        <v>18629</v>
      </c>
      <c r="O2224">
        <v>0</v>
      </c>
      <c r="P2224">
        <v>0</v>
      </c>
      <c r="Q2224" t="s">
        <v>37</v>
      </c>
      <c r="R2224" t="s">
        <v>100</v>
      </c>
      <c r="S2224" t="s">
        <v>246</v>
      </c>
      <c r="T2224" t="s">
        <v>247</v>
      </c>
    </row>
    <row r="2225" spans="1:20" x14ac:dyDescent="0.25">
      <c r="A2225" t="s">
        <v>5863</v>
      </c>
      <c r="B2225" t="str">
        <f>"2015"</f>
        <v>2015</v>
      </c>
      <c r="C2225" t="str">
        <f>"269562015"</f>
        <v>269562015</v>
      </c>
      <c r="D2225" t="s">
        <v>5864</v>
      </c>
      <c r="E2225" t="s">
        <v>184</v>
      </c>
      <c r="F2225" t="s">
        <v>28</v>
      </c>
      <c r="G2225" s="1">
        <v>20289</v>
      </c>
      <c r="H2225" s="1">
        <v>40637</v>
      </c>
      <c r="I2225" t="str">
        <f>"03"</f>
        <v>03</v>
      </c>
      <c r="J2225" t="s">
        <v>70</v>
      </c>
      <c r="K2225" t="s">
        <v>98</v>
      </c>
      <c r="L2225" t="s">
        <v>37</v>
      </c>
      <c r="M2225" t="s">
        <v>257</v>
      </c>
      <c r="N2225" s="1">
        <v>41617</v>
      </c>
      <c r="O2225">
        <v>10753.08</v>
      </c>
      <c r="P2225">
        <v>2688.4</v>
      </c>
      <c r="Q2225" t="s">
        <v>37</v>
      </c>
      <c r="R2225" t="s">
        <v>38</v>
      </c>
      <c r="S2225" t="s">
        <v>2678</v>
      </c>
      <c r="T2225" t="s">
        <v>2679</v>
      </c>
    </row>
    <row r="2226" spans="1:20" x14ac:dyDescent="0.25">
      <c r="A2226" t="s">
        <v>5865</v>
      </c>
      <c r="B2226" t="str">
        <f>"1462"</f>
        <v>1462</v>
      </c>
      <c r="C2226" t="str">
        <f>"277801462"</f>
        <v>277801462</v>
      </c>
      <c r="D2226" t="s">
        <v>5866</v>
      </c>
      <c r="E2226" t="s">
        <v>2017</v>
      </c>
      <c r="F2226" t="s">
        <v>28</v>
      </c>
      <c r="G2226" s="1">
        <v>28977</v>
      </c>
      <c r="H2226" s="1">
        <v>40631</v>
      </c>
      <c r="I2226" t="str">
        <f>"51"</f>
        <v>51</v>
      </c>
      <c r="J2226" t="s">
        <v>471</v>
      </c>
      <c r="K2226" t="s">
        <v>25</v>
      </c>
      <c r="L2226" t="s">
        <v>26</v>
      </c>
      <c r="M2226" t="s">
        <v>27</v>
      </c>
      <c r="N2226" s="1">
        <v>18629</v>
      </c>
      <c r="O2226">
        <v>0</v>
      </c>
      <c r="P2226">
        <v>0</v>
      </c>
      <c r="Q2226" t="s">
        <v>37</v>
      </c>
      <c r="R2226" t="s">
        <v>29</v>
      </c>
      <c r="S2226" t="s">
        <v>138</v>
      </c>
      <c r="T2226" t="s">
        <v>139</v>
      </c>
    </row>
    <row r="2227" spans="1:20" x14ac:dyDescent="0.25">
      <c r="A2227" t="s">
        <v>5867</v>
      </c>
      <c r="B2227" t="str">
        <f>"4527"</f>
        <v>4527</v>
      </c>
      <c r="C2227" t="str">
        <f>"288844527"</f>
        <v>288844527</v>
      </c>
      <c r="D2227" t="s">
        <v>114</v>
      </c>
      <c r="E2227" t="s">
        <v>1007</v>
      </c>
      <c r="F2227" t="s">
        <v>219</v>
      </c>
      <c r="G2227" s="1">
        <v>31520</v>
      </c>
      <c r="H2227" s="1">
        <v>40630</v>
      </c>
      <c r="I2227" t="str">
        <f>"01"</f>
        <v>01</v>
      </c>
      <c r="J2227" t="s">
        <v>116</v>
      </c>
      <c r="K2227" t="s">
        <v>98</v>
      </c>
      <c r="L2227" t="s">
        <v>37</v>
      </c>
      <c r="M2227" t="s">
        <v>117</v>
      </c>
      <c r="N2227" s="1">
        <v>41617</v>
      </c>
      <c r="O2227">
        <v>4951.96</v>
      </c>
      <c r="P2227">
        <v>1237.8599999999999</v>
      </c>
      <c r="Q2227" t="s">
        <v>37</v>
      </c>
      <c r="R2227" t="s">
        <v>38</v>
      </c>
      <c r="S2227" t="s">
        <v>5868</v>
      </c>
      <c r="T2227" t="s">
        <v>5869</v>
      </c>
    </row>
    <row r="2228" spans="1:20" x14ac:dyDescent="0.25">
      <c r="A2228" t="s">
        <v>5870</v>
      </c>
      <c r="B2228" t="str">
        <f>"5314"</f>
        <v>5314</v>
      </c>
      <c r="C2228" t="str">
        <f>"292445314"</f>
        <v>292445314</v>
      </c>
      <c r="D2228" t="s">
        <v>5871</v>
      </c>
      <c r="E2228" t="s">
        <v>1453</v>
      </c>
      <c r="F2228" t="s">
        <v>69</v>
      </c>
      <c r="G2228" s="1">
        <v>17484</v>
      </c>
      <c r="H2228" s="1">
        <v>40627</v>
      </c>
      <c r="I2228" t="str">
        <f>"52"</f>
        <v>52</v>
      </c>
      <c r="J2228" t="s">
        <v>330</v>
      </c>
      <c r="K2228" t="s">
        <v>25</v>
      </c>
      <c r="L2228" t="s">
        <v>26</v>
      </c>
      <c r="M2228" t="s">
        <v>27</v>
      </c>
      <c r="N2228" s="1">
        <v>18629</v>
      </c>
      <c r="O2228">
        <v>0</v>
      </c>
      <c r="P2228">
        <v>0</v>
      </c>
      <c r="Q2228" t="s">
        <v>28</v>
      </c>
      <c r="R2228" t="s">
        <v>71</v>
      </c>
      <c r="S2228" s="2" t="s">
        <v>362</v>
      </c>
      <c r="T2228" t="s">
        <v>363</v>
      </c>
    </row>
    <row r="2229" spans="1:20" x14ac:dyDescent="0.25">
      <c r="A2229" t="s">
        <v>5872</v>
      </c>
      <c r="B2229" t="str">
        <f>"2339"</f>
        <v>2339</v>
      </c>
      <c r="C2229" t="str">
        <f>"061342339"</f>
        <v>061342339</v>
      </c>
      <c r="D2229" t="s">
        <v>5873</v>
      </c>
      <c r="E2229" t="s">
        <v>1074</v>
      </c>
      <c r="F2229" t="s">
        <v>93</v>
      </c>
      <c r="G2229" s="1">
        <v>13404</v>
      </c>
      <c r="H2229" s="1">
        <v>40627</v>
      </c>
      <c r="I2229" t="str">
        <f>"52"</f>
        <v>52</v>
      </c>
      <c r="J2229" t="s">
        <v>330</v>
      </c>
      <c r="K2229" t="s">
        <v>25</v>
      </c>
      <c r="L2229" t="s">
        <v>26</v>
      </c>
      <c r="M2229" t="s">
        <v>27</v>
      </c>
      <c r="N2229" s="1">
        <v>18629</v>
      </c>
      <c r="O2229">
        <v>0</v>
      </c>
      <c r="P2229">
        <v>0</v>
      </c>
      <c r="Q2229" t="s">
        <v>37</v>
      </c>
      <c r="R2229" t="s">
        <v>51</v>
      </c>
      <c r="S2229" s="2" t="s">
        <v>362</v>
      </c>
      <c r="T2229" t="s">
        <v>363</v>
      </c>
    </row>
    <row r="2230" spans="1:20" x14ac:dyDescent="0.25">
      <c r="A2230" t="s">
        <v>5874</v>
      </c>
      <c r="B2230" t="str">
        <f>"1292"</f>
        <v>1292</v>
      </c>
      <c r="C2230" t="str">
        <f>"271481292"</f>
        <v>271481292</v>
      </c>
      <c r="D2230" t="s">
        <v>5875</v>
      </c>
      <c r="E2230" t="s">
        <v>1067</v>
      </c>
      <c r="F2230" t="s">
        <v>414</v>
      </c>
      <c r="G2230" s="1">
        <v>19317</v>
      </c>
      <c r="H2230" s="1">
        <v>40627</v>
      </c>
      <c r="I2230" t="str">
        <f>"52"</f>
        <v>52</v>
      </c>
      <c r="J2230" t="s">
        <v>330</v>
      </c>
      <c r="K2230" t="s">
        <v>25</v>
      </c>
      <c r="L2230" t="s">
        <v>26</v>
      </c>
      <c r="M2230" t="s">
        <v>27</v>
      </c>
      <c r="N2230" s="1">
        <v>18629</v>
      </c>
      <c r="O2230">
        <v>0</v>
      </c>
      <c r="P2230">
        <v>0</v>
      </c>
      <c r="Q2230" t="s">
        <v>28</v>
      </c>
      <c r="R2230" t="s">
        <v>71</v>
      </c>
      <c r="S2230" s="2" t="s">
        <v>362</v>
      </c>
      <c r="T2230" t="s">
        <v>363</v>
      </c>
    </row>
    <row r="2231" spans="1:20" x14ac:dyDescent="0.25">
      <c r="A2231" t="s">
        <v>5876</v>
      </c>
      <c r="B2231" t="str">
        <f>"2969"</f>
        <v>2969</v>
      </c>
      <c r="C2231" t="str">
        <f>"285702969"</f>
        <v>285702969</v>
      </c>
      <c r="D2231" t="s">
        <v>5877</v>
      </c>
      <c r="E2231" t="s">
        <v>672</v>
      </c>
      <c r="F2231" t="s">
        <v>466</v>
      </c>
      <c r="G2231" s="1">
        <v>22503</v>
      </c>
      <c r="H2231" s="1">
        <v>40627</v>
      </c>
      <c r="I2231" t="str">
        <f>"52"</f>
        <v>52</v>
      </c>
      <c r="J2231" t="s">
        <v>330</v>
      </c>
      <c r="K2231" t="s">
        <v>25</v>
      </c>
      <c r="L2231" t="s">
        <v>26</v>
      </c>
      <c r="M2231" t="s">
        <v>27</v>
      </c>
      <c r="N2231" s="1">
        <v>18629</v>
      </c>
      <c r="O2231">
        <v>0</v>
      </c>
      <c r="P2231">
        <v>0</v>
      </c>
      <c r="Q2231" t="s">
        <v>28</v>
      </c>
      <c r="R2231" t="s">
        <v>71</v>
      </c>
      <c r="S2231" t="s">
        <v>402</v>
      </c>
      <c r="T2231" t="s">
        <v>403</v>
      </c>
    </row>
    <row r="2232" spans="1:20" x14ac:dyDescent="0.25">
      <c r="A2232" t="s">
        <v>5878</v>
      </c>
      <c r="B2232" t="str">
        <f>"3039"</f>
        <v>3039</v>
      </c>
      <c r="C2232" t="str">
        <f>"285623039"</f>
        <v>285623039</v>
      </c>
      <c r="D2232" t="s">
        <v>663</v>
      </c>
      <c r="E2232" t="s">
        <v>4566</v>
      </c>
      <c r="F2232" t="s">
        <v>219</v>
      </c>
      <c r="G2232" s="1">
        <v>22343</v>
      </c>
      <c r="H2232" s="1">
        <v>40623</v>
      </c>
      <c r="I2232" t="str">
        <f>"05"</f>
        <v>05</v>
      </c>
      <c r="J2232" t="s">
        <v>58</v>
      </c>
      <c r="K2232" t="s">
        <v>98</v>
      </c>
      <c r="L2232" t="s">
        <v>37</v>
      </c>
      <c r="M2232" t="s">
        <v>117</v>
      </c>
      <c r="N2232" s="1">
        <v>41617</v>
      </c>
      <c r="O2232">
        <v>4951.96</v>
      </c>
      <c r="P2232">
        <v>1237.8599999999999</v>
      </c>
      <c r="Q2232" t="s">
        <v>37</v>
      </c>
      <c r="R2232" t="s">
        <v>71</v>
      </c>
      <c r="S2232" t="s">
        <v>522</v>
      </c>
      <c r="T2232" t="s">
        <v>523</v>
      </c>
    </row>
    <row r="2233" spans="1:20" x14ac:dyDescent="0.25">
      <c r="A2233" t="s">
        <v>5879</v>
      </c>
      <c r="B2233" t="str">
        <f>"1083"</f>
        <v>1083</v>
      </c>
      <c r="C2233" t="str">
        <f>"225041083"</f>
        <v>225041083</v>
      </c>
      <c r="D2233" t="s">
        <v>5880</v>
      </c>
      <c r="E2233" t="s">
        <v>588</v>
      </c>
      <c r="F2233" t="s">
        <v>28</v>
      </c>
      <c r="G2233" s="1">
        <v>26226</v>
      </c>
      <c r="H2233" s="1">
        <v>40623</v>
      </c>
      <c r="I2233" t="str">
        <f>"20"</f>
        <v>20</v>
      </c>
      <c r="J2233" t="s">
        <v>123</v>
      </c>
      <c r="K2233" t="s">
        <v>98</v>
      </c>
      <c r="L2233" t="s">
        <v>37</v>
      </c>
      <c r="M2233" t="s">
        <v>257</v>
      </c>
      <c r="N2233" s="1">
        <v>41631</v>
      </c>
      <c r="O2233">
        <v>10753.16</v>
      </c>
      <c r="P2233">
        <v>2688.4</v>
      </c>
      <c r="Q2233" t="s">
        <v>28</v>
      </c>
      <c r="R2233" t="s">
        <v>71</v>
      </c>
      <c r="S2233" t="s">
        <v>157</v>
      </c>
      <c r="T2233" t="s">
        <v>158</v>
      </c>
    </row>
    <row r="2234" spans="1:20" x14ac:dyDescent="0.25">
      <c r="A2234" t="s">
        <v>5881</v>
      </c>
      <c r="B2234" t="str">
        <f>"3724"</f>
        <v>3724</v>
      </c>
      <c r="C2234" t="str">
        <f>"282603724"</f>
        <v>282603724</v>
      </c>
      <c r="D2234" t="s">
        <v>5882</v>
      </c>
      <c r="E2234" t="s">
        <v>109</v>
      </c>
      <c r="G2234" s="1">
        <v>25769</v>
      </c>
      <c r="H2234" s="1">
        <v>40623</v>
      </c>
      <c r="I2234" t="str">
        <f>"51"</f>
        <v>51</v>
      </c>
      <c r="J2234" t="s">
        <v>471</v>
      </c>
      <c r="K2234" t="s">
        <v>25</v>
      </c>
      <c r="L2234" t="s">
        <v>26</v>
      </c>
      <c r="M2234" t="s">
        <v>27</v>
      </c>
      <c r="N2234" s="1">
        <v>18629</v>
      </c>
      <c r="O2234">
        <v>0</v>
      </c>
      <c r="P2234">
        <v>0</v>
      </c>
      <c r="Q2234" t="s">
        <v>37</v>
      </c>
      <c r="R2234" t="s">
        <v>29</v>
      </c>
      <c r="S2234" t="s">
        <v>138</v>
      </c>
      <c r="T2234" t="s">
        <v>139</v>
      </c>
    </row>
    <row r="2235" spans="1:20" x14ac:dyDescent="0.25">
      <c r="A2235" t="s">
        <v>5883</v>
      </c>
      <c r="B2235" t="str">
        <f>"8659"</f>
        <v>8659</v>
      </c>
      <c r="C2235" t="str">
        <f>"288488659"</f>
        <v>288488659</v>
      </c>
      <c r="D2235" t="s">
        <v>5884</v>
      </c>
      <c r="E2235" t="s">
        <v>988</v>
      </c>
      <c r="F2235" t="s">
        <v>219</v>
      </c>
      <c r="G2235" s="1">
        <v>18268</v>
      </c>
      <c r="H2235" s="1">
        <v>40623</v>
      </c>
      <c r="I2235" t="str">
        <f>"51"</f>
        <v>51</v>
      </c>
      <c r="J2235" t="s">
        <v>471</v>
      </c>
      <c r="K2235" t="s">
        <v>25</v>
      </c>
      <c r="L2235" t="s">
        <v>26</v>
      </c>
      <c r="M2235" t="s">
        <v>27</v>
      </c>
      <c r="N2235" s="1">
        <v>18629</v>
      </c>
      <c r="O2235">
        <v>0</v>
      </c>
      <c r="P2235">
        <v>0</v>
      </c>
      <c r="Q2235" t="s">
        <v>28</v>
      </c>
      <c r="R2235" t="s">
        <v>346</v>
      </c>
      <c r="S2235" t="s">
        <v>1681</v>
      </c>
      <c r="T2235" t="s">
        <v>1682</v>
      </c>
    </row>
    <row r="2236" spans="1:20" x14ac:dyDescent="0.25">
      <c r="A2236" t="s">
        <v>5885</v>
      </c>
      <c r="B2236" t="str">
        <f>"9432"</f>
        <v>9432</v>
      </c>
      <c r="C2236" t="str">
        <f>"275909432"</f>
        <v>275909432</v>
      </c>
      <c r="D2236" t="s">
        <v>5886</v>
      </c>
      <c r="E2236" t="s">
        <v>832</v>
      </c>
      <c r="F2236" t="s">
        <v>28</v>
      </c>
      <c r="G2236" s="1">
        <v>30631</v>
      </c>
      <c r="H2236" s="1">
        <v>40623</v>
      </c>
      <c r="I2236" t="str">
        <f>"51"</f>
        <v>51</v>
      </c>
      <c r="J2236" t="s">
        <v>471</v>
      </c>
      <c r="K2236" t="s">
        <v>25</v>
      </c>
      <c r="L2236" t="s">
        <v>26</v>
      </c>
      <c r="M2236" t="s">
        <v>27</v>
      </c>
      <c r="N2236" s="1">
        <v>18629</v>
      </c>
      <c r="O2236">
        <v>0</v>
      </c>
      <c r="P2236">
        <v>0</v>
      </c>
      <c r="Q2236" t="s">
        <v>28</v>
      </c>
      <c r="R2236" t="s">
        <v>71</v>
      </c>
      <c r="S2236" t="s">
        <v>1474</v>
      </c>
      <c r="T2236" t="s">
        <v>1475</v>
      </c>
    </row>
    <row r="2237" spans="1:20" x14ac:dyDescent="0.25">
      <c r="A2237" t="s">
        <v>5887</v>
      </c>
      <c r="B2237" t="str">
        <f>"5050"</f>
        <v>5050</v>
      </c>
      <c r="C2237" t="str">
        <f>"274765050"</f>
        <v>274765050</v>
      </c>
      <c r="D2237" t="s">
        <v>5888</v>
      </c>
      <c r="E2237" t="s">
        <v>5889</v>
      </c>
      <c r="F2237" t="s">
        <v>329</v>
      </c>
      <c r="G2237" s="1">
        <v>26291</v>
      </c>
      <c r="H2237" s="1">
        <v>40617</v>
      </c>
      <c r="I2237" t="str">
        <f>"52"</f>
        <v>52</v>
      </c>
      <c r="J2237" t="s">
        <v>330</v>
      </c>
      <c r="K2237" t="s">
        <v>25</v>
      </c>
      <c r="L2237" t="s">
        <v>26</v>
      </c>
      <c r="M2237" t="s">
        <v>27</v>
      </c>
      <c r="N2237" s="1">
        <v>18629</v>
      </c>
      <c r="O2237">
        <v>0</v>
      </c>
      <c r="P2237">
        <v>0</v>
      </c>
      <c r="Q2237" t="s">
        <v>28</v>
      </c>
      <c r="R2237" t="s">
        <v>258</v>
      </c>
      <c r="S2237" t="s">
        <v>331</v>
      </c>
      <c r="T2237" t="s">
        <v>332</v>
      </c>
    </row>
    <row r="2238" spans="1:20" x14ac:dyDescent="0.25">
      <c r="A2238" t="s">
        <v>5890</v>
      </c>
      <c r="B2238" t="str">
        <f>"9439"</f>
        <v>9439</v>
      </c>
      <c r="C2238" t="str">
        <f>"295649439"</f>
        <v>295649439</v>
      </c>
      <c r="D2238" t="s">
        <v>5891</v>
      </c>
      <c r="E2238" t="s">
        <v>335</v>
      </c>
      <c r="F2238" t="s">
        <v>3181</v>
      </c>
      <c r="G2238" s="1">
        <v>22084</v>
      </c>
      <c r="H2238" s="1">
        <v>40616</v>
      </c>
      <c r="I2238" t="str">
        <f>"05"</f>
        <v>05</v>
      </c>
      <c r="J2238" t="s">
        <v>58</v>
      </c>
      <c r="L2238" t="s">
        <v>37</v>
      </c>
      <c r="M2238" t="s">
        <v>143</v>
      </c>
      <c r="N2238" s="1">
        <v>41617</v>
      </c>
      <c r="O2238">
        <v>185.9</v>
      </c>
      <c r="P2238">
        <v>-185.9</v>
      </c>
      <c r="Q2238" t="s">
        <v>28</v>
      </c>
      <c r="R2238" t="s">
        <v>100</v>
      </c>
      <c r="S2238" t="s">
        <v>655</v>
      </c>
      <c r="T2238" t="s">
        <v>656</v>
      </c>
    </row>
    <row r="2239" spans="1:20" x14ac:dyDescent="0.25">
      <c r="A2239" t="s">
        <v>5892</v>
      </c>
      <c r="B2239" t="str">
        <f>"8259"</f>
        <v>8259</v>
      </c>
      <c r="C2239" t="str">
        <f>"272588259"</f>
        <v>272588259</v>
      </c>
      <c r="D2239" t="s">
        <v>5893</v>
      </c>
      <c r="E2239" t="s">
        <v>1248</v>
      </c>
      <c r="F2239" t="s">
        <v>28</v>
      </c>
      <c r="G2239" s="1">
        <v>25644</v>
      </c>
      <c r="H2239" s="1">
        <v>40610</v>
      </c>
      <c r="I2239" t="str">
        <f>"41"</f>
        <v>41</v>
      </c>
      <c r="J2239" t="s">
        <v>24</v>
      </c>
      <c r="K2239" t="s">
        <v>25</v>
      </c>
      <c r="L2239" t="s">
        <v>26</v>
      </c>
      <c r="M2239" t="s">
        <v>27</v>
      </c>
      <c r="N2239" s="1">
        <v>18629</v>
      </c>
      <c r="O2239">
        <v>0</v>
      </c>
      <c r="P2239">
        <v>0</v>
      </c>
      <c r="Q2239" t="s">
        <v>37</v>
      </c>
      <c r="R2239" t="s">
        <v>51</v>
      </c>
      <c r="S2239" s="2" t="s">
        <v>3450</v>
      </c>
      <c r="T2239" t="s">
        <v>3451</v>
      </c>
    </row>
    <row r="2240" spans="1:20" x14ac:dyDescent="0.25">
      <c r="A2240" t="s">
        <v>5894</v>
      </c>
      <c r="B2240" t="str">
        <f>"0418"</f>
        <v>0418</v>
      </c>
      <c r="C2240" t="str">
        <f>"284900418"</f>
        <v>284900418</v>
      </c>
      <c r="D2240" t="s">
        <v>5895</v>
      </c>
      <c r="E2240" t="s">
        <v>56</v>
      </c>
      <c r="F2240" t="s">
        <v>438</v>
      </c>
      <c r="G2240" s="1">
        <v>31643</v>
      </c>
      <c r="H2240" s="1">
        <v>40610</v>
      </c>
      <c r="I2240" t="str">
        <f>"41"</f>
        <v>41</v>
      </c>
      <c r="J2240" t="s">
        <v>24</v>
      </c>
      <c r="K2240" t="s">
        <v>25</v>
      </c>
      <c r="L2240" t="s">
        <v>26</v>
      </c>
      <c r="M2240" t="s">
        <v>27</v>
      </c>
      <c r="N2240" s="1">
        <v>18629</v>
      </c>
      <c r="O2240">
        <v>0</v>
      </c>
      <c r="P2240">
        <v>0</v>
      </c>
      <c r="Q2240" t="s">
        <v>28</v>
      </c>
      <c r="R2240" t="s">
        <v>71</v>
      </c>
      <c r="S2240" t="s">
        <v>83</v>
      </c>
      <c r="T2240" t="s">
        <v>84</v>
      </c>
    </row>
    <row r="2241" spans="1:20" x14ac:dyDescent="0.25">
      <c r="A2241" t="s">
        <v>5896</v>
      </c>
      <c r="B2241" t="str">
        <f>"2649"</f>
        <v>2649</v>
      </c>
      <c r="C2241" t="str">
        <f>"300622649"</f>
        <v>300622649</v>
      </c>
      <c r="D2241" t="s">
        <v>5897</v>
      </c>
      <c r="E2241" t="s">
        <v>941</v>
      </c>
      <c r="F2241" t="s">
        <v>414</v>
      </c>
      <c r="G2241" s="1">
        <v>21480</v>
      </c>
      <c r="H2241" s="1">
        <v>40609</v>
      </c>
      <c r="I2241" t="str">
        <f>"41"</f>
        <v>41</v>
      </c>
      <c r="J2241" t="s">
        <v>24</v>
      </c>
      <c r="K2241" t="s">
        <v>25</v>
      </c>
      <c r="L2241" t="s">
        <v>26</v>
      </c>
      <c r="M2241" t="s">
        <v>27</v>
      </c>
      <c r="N2241" s="1">
        <v>18629</v>
      </c>
      <c r="O2241">
        <v>0</v>
      </c>
      <c r="P2241">
        <v>0</v>
      </c>
      <c r="Q2241" t="s">
        <v>28</v>
      </c>
      <c r="R2241" t="s">
        <v>38</v>
      </c>
      <c r="S2241" t="s">
        <v>982</v>
      </c>
      <c r="T2241" t="s">
        <v>983</v>
      </c>
    </row>
    <row r="2242" spans="1:20" x14ac:dyDescent="0.25">
      <c r="A2242" t="s">
        <v>5898</v>
      </c>
      <c r="B2242" t="str">
        <f>"1953"</f>
        <v>1953</v>
      </c>
      <c r="C2242" t="str">
        <f>"136901953"</f>
        <v>136901953</v>
      </c>
      <c r="D2242" t="s">
        <v>5899</v>
      </c>
      <c r="E2242" t="s">
        <v>4797</v>
      </c>
      <c r="G2242" s="1">
        <v>33058</v>
      </c>
      <c r="H2242" s="1">
        <v>40609</v>
      </c>
      <c r="I2242" t="str">
        <f>"41"</f>
        <v>41</v>
      </c>
      <c r="J2242" t="s">
        <v>24</v>
      </c>
      <c r="K2242" t="s">
        <v>25</v>
      </c>
      <c r="L2242" t="s">
        <v>26</v>
      </c>
      <c r="M2242" t="s">
        <v>27</v>
      </c>
      <c r="N2242" s="1">
        <v>18629</v>
      </c>
      <c r="O2242">
        <v>0</v>
      </c>
      <c r="P2242">
        <v>0</v>
      </c>
      <c r="Q2242" t="s">
        <v>28</v>
      </c>
      <c r="R2242" t="s">
        <v>29</v>
      </c>
      <c r="S2242" t="s">
        <v>615</v>
      </c>
      <c r="T2242" t="s">
        <v>616</v>
      </c>
    </row>
    <row r="2243" spans="1:20" x14ac:dyDescent="0.25">
      <c r="A2243" t="s">
        <v>5900</v>
      </c>
      <c r="B2243" t="str">
        <f>"2013"</f>
        <v>2013</v>
      </c>
      <c r="C2243" t="str">
        <f>"286682013"</f>
        <v>286682013</v>
      </c>
      <c r="D2243" t="s">
        <v>3539</v>
      </c>
      <c r="E2243" t="s">
        <v>1942</v>
      </c>
      <c r="F2243" t="s">
        <v>264</v>
      </c>
      <c r="G2243" s="1">
        <v>26078</v>
      </c>
      <c r="H2243" s="1">
        <v>40609</v>
      </c>
      <c r="I2243" t="str">
        <f>"08"</f>
        <v>08</v>
      </c>
      <c r="J2243" t="s">
        <v>265</v>
      </c>
      <c r="K2243" t="s">
        <v>98</v>
      </c>
      <c r="L2243" t="s">
        <v>37</v>
      </c>
      <c r="M2243" t="s">
        <v>99</v>
      </c>
      <c r="N2243" s="1">
        <v>41617</v>
      </c>
      <c r="O2243">
        <v>14801.8</v>
      </c>
      <c r="P2243">
        <v>3700.32</v>
      </c>
      <c r="Q2243" t="s">
        <v>28</v>
      </c>
      <c r="R2243" t="s">
        <v>29</v>
      </c>
      <c r="S2243" t="s">
        <v>982</v>
      </c>
      <c r="T2243" t="s">
        <v>983</v>
      </c>
    </row>
    <row r="2244" spans="1:20" x14ac:dyDescent="0.25">
      <c r="A2244" t="s">
        <v>5901</v>
      </c>
      <c r="B2244" t="str">
        <f>"7176"</f>
        <v>7176</v>
      </c>
      <c r="C2244" t="str">
        <f>"297687176"</f>
        <v>297687176</v>
      </c>
      <c r="D2244" t="s">
        <v>5902</v>
      </c>
      <c r="E2244" t="s">
        <v>944</v>
      </c>
      <c r="F2244" t="s">
        <v>93</v>
      </c>
      <c r="G2244" s="1">
        <v>22583</v>
      </c>
      <c r="H2244" s="1">
        <v>40609</v>
      </c>
      <c r="I2244" t="str">
        <f>"42"</f>
        <v>42</v>
      </c>
      <c r="J2244" t="s">
        <v>367</v>
      </c>
      <c r="K2244" t="s">
        <v>25</v>
      </c>
      <c r="L2244" t="s">
        <v>26</v>
      </c>
      <c r="M2244" t="s">
        <v>27</v>
      </c>
      <c r="N2244" s="1">
        <v>18629</v>
      </c>
      <c r="O2244">
        <v>0</v>
      </c>
      <c r="P2244">
        <v>0</v>
      </c>
      <c r="Q2244" t="s">
        <v>28</v>
      </c>
      <c r="R2244" t="s">
        <v>100</v>
      </c>
      <c r="S2244" t="s">
        <v>3959</v>
      </c>
      <c r="T2244" t="s">
        <v>3960</v>
      </c>
    </row>
    <row r="2245" spans="1:20" x14ac:dyDescent="0.25">
      <c r="A2245" t="s">
        <v>5903</v>
      </c>
      <c r="B2245" t="str">
        <f>"8719"</f>
        <v>8719</v>
      </c>
      <c r="C2245" t="str">
        <f>"126448719"</f>
        <v>126448719</v>
      </c>
      <c r="D2245" t="s">
        <v>5904</v>
      </c>
      <c r="E2245" t="s">
        <v>5442</v>
      </c>
      <c r="F2245" t="s">
        <v>219</v>
      </c>
      <c r="G2245" s="1">
        <v>19656</v>
      </c>
      <c r="H2245" s="1">
        <v>40609</v>
      </c>
      <c r="I2245" t="str">
        <f>"03"</f>
        <v>03</v>
      </c>
      <c r="J2245" t="s">
        <v>70</v>
      </c>
      <c r="K2245" t="s">
        <v>98</v>
      </c>
      <c r="L2245" t="s">
        <v>37</v>
      </c>
      <c r="M2245" t="s">
        <v>257</v>
      </c>
      <c r="N2245" s="1">
        <v>41617</v>
      </c>
      <c r="O2245">
        <v>10753.08</v>
      </c>
      <c r="P2245">
        <v>2688.4</v>
      </c>
      <c r="Q2245" t="s">
        <v>37</v>
      </c>
      <c r="R2245" t="s">
        <v>51</v>
      </c>
      <c r="S2245" t="s">
        <v>527</v>
      </c>
      <c r="T2245" t="s">
        <v>528</v>
      </c>
    </row>
    <row r="2246" spans="1:20" x14ac:dyDescent="0.25">
      <c r="A2246" t="s">
        <v>5905</v>
      </c>
      <c r="B2246" t="str">
        <f>"8288"</f>
        <v>8288</v>
      </c>
      <c r="C2246" t="str">
        <f>"429088288"</f>
        <v>429088288</v>
      </c>
      <c r="D2246" t="s">
        <v>5906</v>
      </c>
      <c r="E2246" t="s">
        <v>1134</v>
      </c>
      <c r="G2246" s="1">
        <v>19912</v>
      </c>
      <c r="H2246" s="1">
        <v>40609</v>
      </c>
      <c r="I2246" t="str">
        <f>"52"</f>
        <v>52</v>
      </c>
      <c r="J2246" t="s">
        <v>330</v>
      </c>
      <c r="K2246" t="s">
        <v>25</v>
      </c>
      <c r="L2246" t="s">
        <v>26</v>
      </c>
      <c r="M2246" t="s">
        <v>27</v>
      </c>
      <c r="N2246" s="1">
        <v>18629</v>
      </c>
      <c r="O2246">
        <v>0</v>
      </c>
      <c r="P2246">
        <v>0</v>
      </c>
      <c r="Q2246" t="s">
        <v>37</v>
      </c>
      <c r="R2246" t="s">
        <v>71</v>
      </c>
      <c r="S2246" t="s">
        <v>678</v>
      </c>
      <c r="T2246" t="s">
        <v>679</v>
      </c>
    </row>
    <row r="2247" spans="1:20" x14ac:dyDescent="0.25">
      <c r="A2247" t="s">
        <v>5907</v>
      </c>
      <c r="B2247" t="str">
        <f>"4632"</f>
        <v>4632</v>
      </c>
      <c r="C2247" t="str">
        <f>"282784632"</f>
        <v>282784632</v>
      </c>
      <c r="D2247" t="s">
        <v>881</v>
      </c>
      <c r="E2247" t="s">
        <v>5908</v>
      </c>
      <c r="F2247" t="s">
        <v>5909</v>
      </c>
      <c r="G2247" s="1">
        <v>25770</v>
      </c>
      <c r="H2247" s="1">
        <v>40609</v>
      </c>
      <c r="I2247" t="str">
        <f>"42"</f>
        <v>42</v>
      </c>
      <c r="J2247" t="s">
        <v>367</v>
      </c>
      <c r="K2247" t="s">
        <v>25</v>
      </c>
      <c r="L2247" t="s">
        <v>26</v>
      </c>
      <c r="M2247" t="s">
        <v>27</v>
      </c>
      <c r="N2247" s="1">
        <v>18629</v>
      </c>
      <c r="O2247">
        <v>0</v>
      </c>
      <c r="P2247">
        <v>0</v>
      </c>
      <c r="Q2247" t="s">
        <v>28</v>
      </c>
      <c r="R2247" t="s">
        <v>29</v>
      </c>
      <c r="S2247" t="s">
        <v>982</v>
      </c>
      <c r="T2247" t="s">
        <v>983</v>
      </c>
    </row>
    <row r="2248" spans="1:20" x14ac:dyDescent="0.25">
      <c r="A2248" t="s">
        <v>5910</v>
      </c>
      <c r="B2248" t="str">
        <f>"0206"</f>
        <v>0206</v>
      </c>
      <c r="C2248" t="str">
        <f>"283440206"</f>
        <v>283440206</v>
      </c>
      <c r="D2248" t="s">
        <v>5911</v>
      </c>
      <c r="E2248" t="s">
        <v>2519</v>
      </c>
      <c r="F2248" t="s">
        <v>69</v>
      </c>
      <c r="G2248" s="1">
        <v>17422</v>
      </c>
      <c r="H2248" s="1">
        <v>40603</v>
      </c>
      <c r="I2248" t="str">
        <f>"52"</f>
        <v>52</v>
      </c>
      <c r="J2248" t="s">
        <v>330</v>
      </c>
      <c r="K2248" t="s">
        <v>25</v>
      </c>
      <c r="L2248" t="s">
        <v>26</v>
      </c>
      <c r="M2248" t="s">
        <v>27</v>
      </c>
      <c r="N2248" s="1">
        <v>18629</v>
      </c>
      <c r="O2248">
        <v>0</v>
      </c>
      <c r="P2248">
        <v>0</v>
      </c>
      <c r="Q2248" t="s">
        <v>37</v>
      </c>
      <c r="R2248" t="s">
        <v>51</v>
      </c>
      <c r="S2248" s="2" t="s">
        <v>362</v>
      </c>
      <c r="T2248" t="s">
        <v>363</v>
      </c>
    </row>
    <row r="2249" spans="1:20" x14ac:dyDescent="0.25">
      <c r="A2249" t="s">
        <v>5912</v>
      </c>
      <c r="B2249" t="str">
        <f>"5345"</f>
        <v>5345</v>
      </c>
      <c r="C2249" t="str">
        <f>"269205345"</f>
        <v>269205345</v>
      </c>
      <c r="D2249" t="s">
        <v>5913</v>
      </c>
      <c r="E2249" t="s">
        <v>122</v>
      </c>
      <c r="G2249" s="1">
        <v>9844</v>
      </c>
      <c r="H2249" s="1">
        <v>40603</v>
      </c>
      <c r="I2249" t="str">
        <f>"52"</f>
        <v>52</v>
      </c>
      <c r="J2249" t="s">
        <v>330</v>
      </c>
      <c r="K2249" t="s">
        <v>25</v>
      </c>
      <c r="L2249" t="s">
        <v>26</v>
      </c>
      <c r="M2249" t="s">
        <v>27</v>
      </c>
      <c r="N2249" s="1">
        <v>18629</v>
      </c>
      <c r="O2249">
        <v>0</v>
      </c>
      <c r="P2249">
        <v>0</v>
      </c>
      <c r="Q2249" t="s">
        <v>28</v>
      </c>
      <c r="R2249" t="s">
        <v>51</v>
      </c>
      <c r="S2249" s="2" t="s">
        <v>362</v>
      </c>
      <c r="T2249" t="s">
        <v>363</v>
      </c>
    </row>
    <row r="2250" spans="1:20" x14ac:dyDescent="0.25">
      <c r="A2250" t="s">
        <v>5914</v>
      </c>
      <c r="B2250" t="str">
        <f>"7481"</f>
        <v>7481</v>
      </c>
      <c r="C2250" t="str">
        <f>"285807481"</f>
        <v>285807481</v>
      </c>
      <c r="D2250" t="s">
        <v>5915</v>
      </c>
      <c r="E2250" t="s">
        <v>3372</v>
      </c>
      <c r="G2250" s="1">
        <v>24862</v>
      </c>
      <c r="H2250" s="1">
        <v>40603</v>
      </c>
      <c r="I2250" t="str">
        <f>"52"</f>
        <v>52</v>
      </c>
      <c r="J2250" t="s">
        <v>330</v>
      </c>
      <c r="K2250" t="s">
        <v>25</v>
      </c>
      <c r="L2250" t="s">
        <v>26</v>
      </c>
      <c r="M2250" t="s">
        <v>27</v>
      </c>
      <c r="N2250" s="1">
        <v>18629</v>
      </c>
      <c r="O2250">
        <v>0</v>
      </c>
      <c r="P2250">
        <v>0</v>
      </c>
      <c r="Q2250" t="s">
        <v>37</v>
      </c>
      <c r="R2250" t="s">
        <v>312</v>
      </c>
      <c r="S2250" t="s">
        <v>678</v>
      </c>
      <c r="T2250" t="s">
        <v>679</v>
      </c>
    </row>
    <row r="2251" spans="1:20" x14ac:dyDescent="0.25">
      <c r="A2251" t="s">
        <v>5916</v>
      </c>
      <c r="B2251" t="str">
        <f>"5589"</f>
        <v>5589</v>
      </c>
      <c r="C2251" t="str">
        <f>"359525589"</f>
        <v>359525589</v>
      </c>
      <c r="D2251" t="s">
        <v>5242</v>
      </c>
      <c r="E2251" t="s">
        <v>4987</v>
      </c>
      <c r="F2251" t="s">
        <v>28</v>
      </c>
      <c r="G2251" s="1">
        <v>22199</v>
      </c>
      <c r="H2251" s="1">
        <v>40602</v>
      </c>
      <c r="I2251" t="str">
        <f>"12"</f>
        <v>12</v>
      </c>
      <c r="J2251" t="s">
        <v>245</v>
      </c>
      <c r="K2251" t="s">
        <v>175</v>
      </c>
      <c r="L2251" t="s">
        <v>37</v>
      </c>
      <c r="M2251" t="s">
        <v>99</v>
      </c>
      <c r="N2251" s="1">
        <v>41617</v>
      </c>
      <c r="O2251">
        <v>16411.72</v>
      </c>
      <c r="P2251">
        <v>4102.8</v>
      </c>
      <c r="Q2251" t="s">
        <v>37</v>
      </c>
      <c r="R2251" t="s">
        <v>51</v>
      </c>
      <c r="S2251" t="s">
        <v>527</v>
      </c>
      <c r="T2251" t="s">
        <v>528</v>
      </c>
    </row>
    <row r="2252" spans="1:20" x14ac:dyDescent="0.25">
      <c r="A2252" t="s">
        <v>5917</v>
      </c>
      <c r="B2252" t="str">
        <f>"3896"</f>
        <v>3896</v>
      </c>
      <c r="C2252" t="str">
        <f>"270863896"</f>
        <v>270863896</v>
      </c>
      <c r="D2252" t="s">
        <v>2183</v>
      </c>
      <c r="E2252" t="s">
        <v>250</v>
      </c>
      <c r="F2252" t="s">
        <v>49</v>
      </c>
      <c r="G2252" s="1">
        <v>30666</v>
      </c>
      <c r="H2252" s="1">
        <v>40602</v>
      </c>
      <c r="I2252" t="str">
        <f>"30"</f>
        <v>30</v>
      </c>
      <c r="J2252" t="s">
        <v>50</v>
      </c>
      <c r="K2252" t="s">
        <v>25</v>
      </c>
      <c r="L2252" t="s">
        <v>26</v>
      </c>
      <c r="M2252" t="s">
        <v>27</v>
      </c>
      <c r="N2252" s="1">
        <v>18629</v>
      </c>
      <c r="O2252">
        <v>0</v>
      </c>
      <c r="P2252">
        <v>0</v>
      </c>
      <c r="Q2252" t="s">
        <v>37</v>
      </c>
      <c r="R2252" t="s">
        <v>71</v>
      </c>
      <c r="S2252" t="s">
        <v>1774</v>
      </c>
      <c r="T2252" t="s">
        <v>1775</v>
      </c>
    </row>
    <row r="2253" spans="1:20" x14ac:dyDescent="0.25">
      <c r="A2253" t="s">
        <v>5918</v>
      </c>
      <c r="B2253" t="str">
        <f>"0586"</f>
        <v>0586</v>
      </c>
      <c r="C2253" t="str">
        <f>"272540586"</f>
        <v>272540586</v>
      </c>
      <c r="D2253" t="s">
        <v>5919</v>
      </c>
      <c r="E2253" t="s">
        <v>2786</v>
      </c>
      <c r="F2253" t="s">
        <v>256</v>
      </c>
      <c r="G2253" s="1">
        <v>20250</v>
      </c>
      <c r="H2253" s="1">
        <v>40595</v>
      </c>
      <c r="I2253" t="str">
        <f>"30"</f>
        <v>30</v>
      </c>
      <c r="J2253" t="s">
        <v>50</v>
      </c>
      <c r="K2253" t="s">
        <v>25</v>
      </c>
      <c r="L2253" t="s">
        <v>26</v>
      </c>
      <c r="M2253" t="s">
        <v>27</v>
      </c>
      <c r="N2253" s="1">
        <v>18629</v>
      </c>
      <c r="O2253">
        <v>0</v>
      </c>
      <c r="P2253">
        <v>0</v>
      </c>
      <c r="Q2253" t="s">
        <v>37</v>
      </c>
      <c r="R2253" t="s">
        <v>29</v>
      </c>
      <c r="S2253" t="s">
        <v>240</v>
      </c>
      <c r="T2253" t="s">
        <v>241</v>
      </c>
    </row>
    <row r="2254" spans="1:20" x14ac:dyDescent="0.25">
      <c r="A2254" t="s">
        <v>5920</v>
      </c>
      <c r="B2254" t="str">
        <f>"5889"</f>
        <v>5889</v>
      </c>
      <c r="C2254" t="str">
        <f>"298825889"</f>
        <v>298825889</v>
      </c>
      <c r="D2254" t="s">
        <v>5921</v>
      </c>
      <c r="E2254" t="s">
        <v>82</v>
      </c>
      <c r="F2254" t="s">
        <v>256</v>
      </c>
      <c r="G2254" s="1">
        <v>31156</v>
      </c>
      <c r="H2254" s="1">
        <v>40595</v>
      </c>
      <c r="I2254" t="str">
        <f>"42"</f>
        <v>42</v>
      </c>
      <c r="J2254" t="s">
        <v>367</v>
      </c>
      <c r="K2254" t="s">
        <v>25</v>
      </c>
      <c r="L2254" t="s">
        <v>26</v>
      </c>
      <c r="M2254" t="s">
        <v>27</v>
      </c>
      <c r="N2254" s="1">
        <v>18629</v>
      </c>
      <c r="O2254">
        <v>0</v>
      </c>
      <c r="P2254">
        <v>0</v>
      </c>
      <c r="Q2254" t="s">
        <v>37</v>
      </c>
      <c r="R2254" t="s">
        <v>29</v>
      </c>
      <c r="S2254" t="s">
        <v>982</v>
      </c>
      <c r="T2254" t="s">
        <v>983</v>
      </c>
    </row>
    <row r="2255" spans="1:20" x14ac:dyDescent="0.25">
      <c r="A2255" t="s">
        <v>5922</v>
      </c>
      <c r="B2255" t="str">
        <f>"1786"</f>
        <v>1786</v>
      </c>
      <c r="C2255" t="str">
        <f>"302021786"</f>
        <v>302021786</v>
      </c>
      <c r="D2255" t="s">
        <v>5923</v>
      </c>
      <c r="E2255" t="s">
        <v>5924</v>
      </c>
      <c r="F2255" t="s">
        <v>2100</v>
      </c>
      <c r="G2255" s="1">
        <v>22372</v>
      </c>
      <c r="H2255" s="1">
        <v>40595</v>
      </c>
      <c r="I2255" t="str">
        <f>"33"</f>
        <v>33</v>
      </c>
      <c r="J2255" t="s">
        <v>45</v>
      </c>
      <c r="K2255" t="s">
        <v>25</v>
      </c>
      <c r="L2255" t="s">
        <v>26</v>
      </c>
      <c r="M2255" t="s">
        <v>27</v>
      </c>
      <c r="N2255" s="1">
        <v>18629</v>
      </c>
      <c r="O2255">
        <v>0</v>
      </c>
      <c r="P2255">
        <v>0</v>
      </c>
      <c r="Q2255" t="s">
        <v>37</v>
      </c>
      <c r="R2255" t="s">
        <v>71</v>
      </c>
      <c r="S2255" t="s">
        <v>955</v>
      </c>
      <c r="T2255" t="s">
        <v>956</v>
      </c>
    </row>
    <row r="2256" spans="1:20" x14ac:dyDescent="0.25">
      <c r="A2256" t="s">
        <v>5925</v>
      </c>
      <c r="B2256" t="str">
        <f>"8717"</f>
        <v>8717</v>
      </c>
      <c r="C2256" t="str">
        <f>"289748717"</f>
        <v>289748717</v>
      </c>
      <c r="D2256" t="s">
        <v>5926</v>
      </c>
      <c r="E2256" t="s">
        <v>1666</v>
      </c>
      <c r="F2256" t="s">
        <v>28</v>
      </c>
      <c r="G2256" s="1">
        <v>24622</v>
      </c>
      <c r="H2256" s="1">
        <v>40595</v>
      </c>
      <c r="I2256" t="str">
        <f>"03"</f>
        <v>03</v>
      </c>
      <c r="J2256" t="s">
        <v>70</v>
      </c>
      <c r="K2256" t="s">
        <v>98</v>
      </c>
      <c r="L2256" t="s">
        <v>37</v>
      </c>
      <c r="M2256" t="s">
        <v>257</v>
      </c>
      <c r="N2256" s="1">
        <v>41617</v>
      </c>
      <c r="O2256">
        <v>10753.08</v>
      </c>
      <c r="P2256">
        <v>2688.4</v>
      </c>
      <c r="Q2256" t="s">
        <v>37</v>
      </c>
      <c r="R2256" t="s">
        <v>71</v>
      </c>
      <c r="S2256" t="s">
        <v>2297</v>
      </c>
      <c r="T2256" t="s">
        <v>2298</v>
      </c>
    </row>
    <row r="2257" spans="1:20" x14ac:dyDescent="0.25">
      <c r="A2257" t="s">
        <v>5927</v>
      </c>
      <c r="B2257" t="str">
        <f>"5267"</f>
        <v>5267</v>
      </c>
      <c r="C2257" t="str">
        <f>"281705267"</f>
        <v>281705267</v>
      </c>
      <c r="D2257" t="s">
        <v>1449</v>
      </c>
      <c r="E2257" t="s">
        <v>3598</v>
      </c>
      <c r="F2257" t="s">
        <v>97</v>
      </c>
      <c r="G2257" s="1">
        <v>24236</v>
      </c>
      <c r="H2257" s="1">
        <v>40595</v>
      </c>
      <c r="I2257" t="str">
        <f>"51"</f>
        <v>51</v>
      </c>
      <c r="J2257" t="s">
        <v>471</v>
      </c>
      <c r="K2257" t="s">
        <v>25</v>
      </c>
      <c r="L2257" t="s">
        <v>26</v>
      </c>
      <c r="M2257" t="s">
        <v>27</v>
      </c>
      <c r="N2257" s="1">
        <v>18629</v>
      </c>
      <c r="O2257">
        <v>0</v>
      </c>
      <c r="P2257">
        <v>0</v>
      </c>
      <c r="Q2257" t="s">
        <v>37</v>
      </c>
      <c r="R2257" t="s">
        <v>29</v>
      </c>
      <c r="S2257" t="s">
        <v>138</v>
      </c>
      <c r="T2257" t="s">
        <v>139</v>
      </c>
    </row>
    <row r="2258" spans="1:20" x14ac:dyDescent="0.25">
      <c r="A2258" t="s">
        <v>5928</v>
      </c>
      <c r="B2258" t="str">
        <f>"9823"</f>
        <v>9823</v>
      </c>
      <c r="C2258" t="str">
        <f>"263719823"</f>
        <v>263719823</v>
      </c>
      <c r="D2258" t="s">
        <v>5929</v>
      </c>
      <c r="E2258" t="s">
        <v>5930</v>
      </c>
      <c r="F2258" t="s">
        <v>5931</v>
      </c>
      <c r="G2258" s="1">
        <v>26779</v>
      </c>
      <c r="H2258" s="1">
        <v>40595</v>
      </c>
      <c r="I2258" t="str">
        <f>"30"</f>
        <v>30</v>
      </c>
      <c r="J2258" t="s">
        <v>50</v>
      </c>
      <c r="K2258" t="s">
        <v>25</v>
      </c>
      <c r="L2258" t="s">
        <v>26</v>
      </c>
      <c r="M2258" t="s">
        <v>27</v>
      </c>
      <c r="N2258" s="1">
        <v>18629</v>
      </c>
      <c r="O2258">
        <v>0</v>
      </c>
      <c r="P2258">
        <v>0</v>
      </c>
      <c r="Q2258" t="s">
        <v>37</v>
      </c>
      <c r="R2258" t="s">
        <v>71</v>
      </c>
      <c r="S2258" t="s">
        <v>955</v>
      </c>
      <c r="T2258" t="s">
        <v>956</v>
      </c>
    </row>
    <row r="2259" spans="1:20" x14ac:dyDescent="0.25">
      <c r="A2259" t="s">
        <v>5932</v>
      </c>
      <c r="B2259" t="str">
        <f>"8383"</f>
        <v>8383</v>
      </c>
      <c r="C2259" t="str">
        <f>"293548383"</f>
        <v>293548383</v>
      </c>
      <c r="D2259" t="s">
        <v>5933</v>
      </c>
      <c r="E2259" t="s">
        <v>2364</v>
      </c>
      <c r="F2259" t="s">
        <v>97</v>
      </c>
      <c r="G2259" s="1">
        <v>22858</v>
      </c>
      <c r="H2259" s="1">
        <v>40595</v>
      </c>
      <c r="I2259" t="str">
        <f>"41"</f>
        <v>41</v>
      </c>
      <c r="J2259" t="s">
        <v>24</v>
      </c>
      <c r="K2259" t="s">
        <v>25</v>
      </c>
      <c r="L2259" t="s">
        <v>26</v>
      </c>
      <c r="M2259" t="s">
        <v>27</v>
      </c>
      <c r="N2259" s="1">
        <v>18629</v>
      </c>
      <c r="O2259">
        <v>0</v>
      </c>
      <c r="P2259">
        <v>0</v>
      </c>
      <c r="Q2259" t="s">
        <v>37</v>
      </c>
      <c r="R2259" t="s">
        <v>51</v>
      </c>
      <c r="S2259" t="s">
        <v>138</v>
      </c>
      <c r="T2259" t="s">
        <v>139</v>
      </c>
    </row>
    <row r="2260" spans="1:20" x14ac:dyDescent="0.25">
      <c r="A2260" t="s">
        <v>5934</v>
      </c>
      <c r="B2260" t="str">
        <f>"6423"</f>
        <v>6423</v>
      </c>
      <c r="C2260" t="str">
        <f>"279806423"</f>
        <v>279806423</v>
      </c>
      <c r="D2260" t="s">
        <v>5935</v>
      </c>
      <c r="E2260" t="s">
        <v>289</v>
      </c>
      <c r="G2260" s="1">
        <v>26798</v>
      </c>
      <c r="H2260" s="1">
        <v>40595</v>
      </c>
      <c r="I2260" t="str">
        <f>"20"</f>
        <v>20</v>
      </c>
      <c r="J2260" t="s">
        <v>123</v>
      </c>
      <c r="K2260" t="s">
        <v>98</v>
      </c>
      <c r="L2260" t="s">
        <v>37</v>
      </c>
      <c r="M2260" t="s">
        <v>117</v>
      </c>
      <c r="N2260" s="1">
        <v>41631</v>
      </c>
      <c r="O2260">
        <v>4951.9799999999996</v>
      </c>
      <c r="P2260">
        <v>1237.94</v>
      </c>
      <c r="Q2260" t="s">
        <v>37</v>
      </c>
      <c r="R2260" t="s">
        <v>51</v>
      </c>
      <c r="S2260" s="2" t="s">
        <v>683</v>
      </c>
      <c r="T2260" t="s">
        <v>684</v>
      </c>
    </row>
    <row r="2261" spans="1:20" x14ac:dyDescent="0.25">
      <c r="A2261" t="s">
        <v>5936</v>
      </c>
      <c r="B2261" t="str">
        <f>"4288"</f>
        <v>4288</v>
      </c>
      <c r="C2261" t="str">
        <f>"157584288"</f>
        <v>157584288</v>
      </c>
      <c r="D2261" t="s">
        <v>5937</v>
      </c>
      <c r="E2261" t="s">
        <v>3181</v>
      </c>
      <c r="F2261" t="s">
        <v>219</v>
      </c>
      <c r="G2261" s="1">
        <v>22865</v>
      </c>
      <c r="H2261" s="1">
        <v>40595</v>
      </c>
      <c r="I2261" t="str">
        <f>"08"</f>
        <v>08</v>
      </c>
      <c r="J2261" t="s">
        <v>265</v>
      </c>
      <c r="K2261" t="s">
        <v>510</v>
      </c>
      <c r="L2261" t="s">
        <v>37</v>
      </c>
      <c r="M2261" t="s">
        <v>99</v>
      </c>
      <c r="N2261" s="1">
        <v>41617</v>
      </c>
      <c r="O2261">
        <v>19521.84</v>
      </c>
      <c r="P2261">
        <v>4880.46</v>
      </c>
      <c r="Q2261" t="s">
        <v>28</v>
      </c>
      <c r="R2261" t="s">
        <v>71</v>
      </c>
      <c r="S2261" t="s">
        <v>5588</v>
      </c>
      <c r="T2261" t="s">
        <v>5589</v>
      </c>
    </row>
    <row r="2262" spans="1:20" x14ac:dyDescent="0.25">
      <c r="A2262" t="s">
        <v>5938</v>
      </c>
      <c r="B2262" t="str">
        <f>"1480"</f>
        <v>1480</v>
      </c>
      <c r="C2262" t="str">
        <f>"236271480"</f>
        <v>236271480</v>
      </c>
      <c r="D2262" t="s">
        <v>5939</v>
      </c>
      <c r="E2262" t="s">
        <v>146</v>
      </c>
      <c r="G2262" s="1">
        <v>31157</v>
      </c>
      <c r="H2262" s="1">
        <v>40595</v>
      </c>
      <c r="I2262" t="str">
        <f>"01"</f>
        <v>01</v>
      </c>
      <c r="J2262" t="s">
        <v>116</v>
      </c>
      <c r="K2262" t="s">
        <v>175</v>
      </c>
      <c r="L2262" t="s">
        <v>37</v>
      </c>
      <c r="M2262" t="s">
        <v>257</v>
      </c>
      <c r="N2262" s="1">
        <v>41617</v>
      </c>
      <c r="O2262">
        <v>11847.94</v>
      </c>
      <c r="P2262">
        <v>2961.92</v>
      </c>
      <c r="Q2262" t="s">
        <v>37</v>
      </c>
      <c r="R2262" t="s">
        <v>29</v>
      </c>
      <c r="S2262" t="s">
        <v>2071</v>
      </c>
      <c r="T2262" t="s">
        <v>2072</v>
      </c>
    </row>
    <row r="2263" spans="1:20" x14ac:dyDescent="0.25">
      <c r="A2263" t="s">
        <v>5940</v>
      </c>
      <c r="B2263" t="str">
        <f>"3458"</f>
        <v>3458</v>
      </c>
      <c r="C2263" t="str">
        <f>"281843458"</f>
        <v>281843458</v>
      </c>
      <c r="D2263" t="s">
        <v>5941</v>
      </c>
      <c r="E2263" t="s">
        <v>642</v>
      </c>
      <c r="F2263" t="s">
        <v>345</v>
      </c>
      <c r="G2263" s="1">
        <v>27583</v>
      </c>
      <c r="H2263" s="1">
        <v>40594</v>
      </c>
      <c r="I2263" t="str">
        <f>"41"</f>
        <v>41</v>
      </c>
      <c r="J2263" t="s">
        <v>24</v>
      </c>
      <c r="K2263" t="s">
        <v>25</v>
      </c>
      <c r="L2263" t="s">
        <v>26</v>
      </c>
      <c r="M2263" t="s">
        <v>27</v>
      </c>
      <c r="N2263" s="1">
        <v>18629</v>
      </c>
      <c r="O2263">
        <v>0</v>
      </c>
      <c r="P2263">
        <v>0</v>
      </c>
      <c r="Q2263" t="s">
        <v>28</v>
      </c>
      <c r="R2263" t="s">
        <v>71</v>
      </c>
      <c r="S2263" t="s">
        <v>402</v>
      </c>
      <c r="T2263" t="s">
        <v>403</v>
      </c>
    </row>
    <row r="2264" spans="1:20" x14ac:dyDescent="0.25">
      <c r="A2264" t="s">
        <v>5942</v>
      </c>
      <c r="B2264" t="str">
        <f>"8887"</f>
        <v>8887</v>
      </c>
      <c r="C2264" t="str">
        <f>"299948887"</f>
        <v>299948887</v>
      </c>
      <c r="D2264" t="s">
        <v>5943</v>
      </c>
      <c r="E2264" t="s">
        <v>1854</v>
      </c>
      <c r="F2264" t="s">
        <v>97</v>
      </c>
      <c r="G2264" s="1">
        <v>33596</v>
      </c>
      <c r="H2264" s="1">
        <v>40594</v>
      </c>
      <c r="I2264" t="str">
        <f>"41"</f>
        <v>41</v>
      </c>
      <c r="J2264" t="s">
        <v>24</v>
      </c>
      <c r="K2264" t="s">
        <v>25</v>
      </c>
      <c r="L2264" t="s">
        <v>26</v>
      </c>
      <c r="M2264" t="s">
        <v>27</v>
      </c>
      <c r="N2264" s="1">
        <v>18629</v>
      </c>
      <c r="O2264">
        <v>0</v>
      </c>
      <c r="P2264">
        <v>0</v>
      </c>
      <c r="Q2264" t="s">
        <v>28</v>
      </c>
      <c r="R2264" t="s">
        <v>71</v>
      </c>
      <c r="S2264" t="s">
        <v>402</v>
      </c>
      <c r="T2264" t="s">
        <v>403</v>
      </c>
    </row>
    <row r="2265" spans="1:20" x14ac:dyDescent="0.25">
      <c r="A2265" t="s">
        <v>5944</v>
      </c>
      <c r="B2265" t="str">
        <f>"7333"</f>
        <v>7333</v>
      </c>
      <c r="C2265" t="str">
        <f>"277947333"</f>
        <v>277947333</v>
      </c>
      <c r="D2265" t="s">
        <v>5945</v>
      </c>
      <c r="E2265" t="s">
        <v>832</v>
      </c>
      <c r="G2265" s="1">
        <v>33460</v>
      </c>
      <c r="H2265" s="1">
        <v>40594</v>
      </c>
      <c r="I2265" t="str">
        <f>"41"</f>
        <v>41</v>
      </c>
      <c r="J2265" t="s">
        <v>24</v>
      </c>
      <c r="K2265" t="s">
        <v>25</v>
      </c>
      <c r="L2265" t="s">
        <v>26</v>
      </c>
      <c r="M2265" t="s">
        <v>27</v>
      </c>
      <c r="N2265" s="1">
        <v>18629</v>
      </c>
      <c r="O2265">
        <v>0</v>
      </c>
      <c r="P2265">
        <v>0</v>
      </c>
      <c r="Q2265" t="s">
        <v>28</v>
      </c>
      <c r="R2265" t="s">
        <v>71</v>
      </c>
      <c r="S2265" t="s">
        <v>402</v>
      </c>
      <c r="T2265" t="s">
        <v>403</v>
      </c>
    </row>
    <row r="2266" spans="1:20" x14ac:dyDescent="0.25">
      <c r="A2266" t="s">
        <v>5946</v>
      </c>
      <c r="B2266" t="str">
        <f>"7651"</f>
        <v>7651</v>
      </c>
      <c r="C2266" t="str">
        <f>"299947651"</f>
        <v>299947651</v>
      </c>
      <c r="D2266" t="s">
        <v>5947</v>
      </c>
      <c r="E2266" t="s">
        <v>213</v>
      </c>
      <c r="F2266" t="s">
        <v>282</v>
      </c>
      <c r="G2266" s="1">
        <v>33732</v>
      </c>
      <c r="H2266" s="1">
        <v>40594</v>
      </c>
      <c r="I2266" t="str">
        <f>"41"</f>
        <v>41</v>
      </c>
      <c r="J2266" t="s">
        <v>24</v>
      </c>
      <c r="K2266" t="s">
        <v>25</v>
      </c>
      <c r="L2266" t="s">
        <v>26</v>
      </c>
      <c r="M2266" t="s">
        <v>27</v>
      </c>
      <c r="N2266" s="1">
        <v>18629</v>
      </c>
      <c r="O2266">
        <v>0</v>
      </c>
      <c r="P2266">
        <v>0</v>
      </c>
      <c r="Q2266" t="s">
        <v>28</v>
      </c>
      <c r="R2266" t="s">
        <v>71</v>
      </c>
      <c r="S2266" t="s">
        <v>402</v>
      </c>
      <c r="T2266" t="s">
        <v>403</v>
      </c>
    </row>
    <row r="2267" spans="1:20" x14ac:dyDescent="0.25">
      <c r="A2267" t="s">
        <v>5948</v>
      </c>
      <c r="B2267" t="str">
        <f>"4063"</f>
        <v>4063</v>
      </c>
      <c r="C2267" t="str">
        <f>"290544063"</f>
        <v>290544063</v>
      </c>
      <c r="D2267" t="s">
        <v>5949</v>
      </c>
      <c r="E2267" t="s">
        <v>3598</v>
      </c>
      <c r="F2267" t="s">
        <v>165</v>
      </c>
      <c r="G2267" s="1">
        <v>19662</v>
      </c>
      <c r="H2267" s="1">
        <v>40593</v>
      </c>
      <c r="I2267" t="str">
        <f>"52"</f>
        <v>52</v>
      </c>
      <c r="J2267" t="s">
        <v>330</v>
      </c>
      <c r="K2267" t="s">
        <v>25</v>
      </c>
      <c r="L2267" t="s">
        <v>26</v>
      </c>
      <c r="M2267" t="s">
        <v>27</v>
      </c>
      <c r="N2267" s="1">
        <v>18629</v>
      </c>
      <c r="O2267">
        <v>0</v>
      </c>
      <c r="P2267">
        <v>0</v>
      </c>
      <c r="Q2267" t="s">
        <v>37</v>
      </c>
      <c r="R2267" t="s">
        <v>258</v>
      </c>
      <c r="S2267" t="s">
        <v>678</v>
      </c>
      <c r="T2267" t="s">
        <v>679</v>
      </c>
    </row>
    <row r="2268" spans="1:20" x14ac:dyDescent="0.25">
      <c r="A2268" t="s">
        <v>5950</v>
      </c>
      <c r="B2268" t="str">
        <f>"4615"</f>
        <v>4615</v>
      </c>
      <c r="C2268" t="str">
        <f>"364024615"</f>
        <v>364024615</v>
      </c>
      <c r="D2268" t="s">
        <v>5951</v>
      </c>
      <c r="E2268" t="s">
        <v>250</v>
      </c>
      <c r="F2268" t="s">
        <v>44</v>
      </c>
      <c r="G2268" s="1">
        <v>31517</v>
      </c>
      <c r="H2268" s="1">
        <v>40593</v>
      </c>
      <c r="I2268" t="str">
        <f>"52"</f>
        <v>52</v>
      </c>
      <c r="J2268" t="s">
        <v>330</v>
      </c>
      <c r="K2268" t="s">
        <v>25</v>
      </c>
      <c r="L2268" t="s">
        <v>26</v>
      </c>
      <c r="M2268" t="s">
        <v>27</v>
      </c>
      <c r="N2268" s="1">
        <v>18629</v>
      </c>
      <c r="O2268">
        <v>0</v>
      </c>
      <c r="P2268">
        <v>0</v>
      </c>
      <c r="Q2268" t="s">
        <v>37</v>
      </c>
      <c r="R2268" t="s">
        <v>29</v>
      </c>
      <c r="S2268" t="s">
        <v>4000</v>
      </c>
      <c r="T2268" t="s">
        <v>4001</v>
      </c>
    </row>
    <row r="2269" spans="1:20" x14ac:dyDescent="0.25">
      <c r="A2269" t="s">
        <v>5952</v>
      </c>
      <c r="B2269" t="str">
        <f>"6256"</f>
        <v>6256</v>
      </c>
      <c r="C2269" t="str">
        <f>"274546256"</f>
        <v>274546256</v>
      </c>
      <c r="D2269" t="s">
        <v>5953</v>
      </c>
      <c r="E2269" t="s">
        <v>682</v>
      </c>
      <c r="F2269" t="s">
        <v>219</v>
      </c>
      <c r="G2269" s="1">
        <v>19326</v>
      </c>
      <c r="H2269" s="1">
        <v>40588</v>
      </c>
      <c r="I2269" t="str">
        <f>"41"</f>
        <v>41</v>
      </c>
      <c r="J2269" t="s">
        <v>24</v>
      </c>
      <c r="K2269" t="s">
        <v>25</v>
      </c>
      <c r="L2269" t="s">
        <v>26</v>
      </c>
      <c r="M2269" t="s">
        <v>27</v>
      </c>
      <c r="N2269" s="1">
        <v>18629</v>
      </c>
      <c r="O2269">
        <v>0</v>
      </c>
      <c r="P2269">
        <v>0</v>
      </c>
      <c r="Q2269" t="s">
        <v>37</v>
      </c>
      <c r="R2269" t="s">
        <v>100</v>
      </c>
      <c r="S2269" t="s">
        <v>5954</v>
      </c>
      <c r="T2269" t="s">
        <v>5955</v>
      </c>
    </row>
    <row r="2270" spans="1:20" x14ac:dyDescent="0.25">
      <c r="A2270" t="s">
        <v>5956</v>
      </c>
      <c r="B2270" t="str">
        <f>"8132"</f>
        <v>8132</v>
      </c>
      <c r="C2270" t="str">
        <f>"274788132"</f>
        <v>274788132</v>
      </c>
      <c r="D2270" t="s">
        <v>5957</v>
      </c>
      <c r="E2270" t="s">
        <v>5958</v>
      </c>
      <c r="G2270" s="1">
        <v>25772</v>
      </c>
      <c r="H2270" s="1">
        <v>40588</v>
      </c>
      <c r="I2270" t="str">
        <f>"01"</f>
        <v>01</v>
      </c>
      <c r="J2270" t="s">
        <v>116</v>
      </c>
      <c r="K2270" t="s">
        <v>98</v>
      </c>
      <c r="L2270" t="s">
        <v>37</v>
      </c>
      <c r="M2270" t="s">
        <v>117</v>
      </c>
      <c r="N2270" s="1">
        <v>41617</v>
      </c>
      <c r="O2270">
        <v>4951.96</v>
      </c>
      <c r="P2270">
        <v>1237.8599999999999</v>
      </c>
      <c r="Q2270" t="s">
        <v>37</v>
      </c>
      <c r="R2270" t="s">
        <v>29</v>
      </c>
      <c r="S2270" t="s">
        <v>419</v>
      </c>
      <c r="T2270" t="s">
        <v>420</v>
      </c>
    </row>
    <row r="2271" spans="1:20" x14ac:dyDescent="0.25">
      <c r="A2271" t="s">
        <v>5959</v>
      </c>
      <c r="B2271" t="str">
        <f>"6648"</f>
        <v>6648</v>
      </c>
      <c r="C2271" t="str">
        <f>"275526648"</f>
        <v>275526648</v>
      </c>
      <c r="D2271" t="s">
        <v>5960</v>
      </c>
      <c r="E2271" t="s">
        <v>1533</v>
      </c>
      <c r="F2271" t="s">
        <v>900</v>
      </c>
      <c r="G2271" s="1">
        <v>18986</v>
      </c>
      <c r="H2271" s="1">
        <v>40588</v>
      </c>
      <c r="I2271" t="str">
        <f>"50"</f>
        <v>50</v>
      </c>
      <c r="J2271" t="s">
        <v>208</v>
      </c>
      <c r="K2271" t="s">
        <v>25</v>
      </c>
      <c r="L2271" t="s">
        <v>26</v>
      </c>
      <c r="M2271" t="s">
        <v>27</v>
      </c>
      <c r="N2271" s="1">
        <v>18629</v>
      </c>
      <c r="O2271">
        <v>0</v>
      </c>
      <c r="P2271">
        <v>0</v>
      </c>
      <c r="Q2271" t="s">
        <v>37</v>
      </c>
      <c r="R2271" t="s">
        <v>71</v>
      </c>
      <c r="S2271" t="s">
        <v>209</v>
      </c>
      <c r="T2271" t="s">
        <v>210</v>
      </c>
    </row>
    <row r="2272" spans="1:20" x14ac:dyDescent="0.25">
      <c r="A2272" t="s">
        <v>5961</v>
      </c>
      <c r="B2272" t="str">
        <f>"2749"</f>
        <v>2749</v>
      </c>
      <c r="C2272" t="str">
        <f>"295822749"</f>
        <v>295822749</v>
      </c>
      <c r="D2272" t="s">
        <v>5962</v>
      </c>
      <c r="E2272" t="s">
        <v>5963</v>
      </c>
      <c r="F2272" t="s">
        <v>2934</v>
      </c>
      <c r="G2272" s="1">
        <v>30757</v>
      </c>
      <c r="H2272" s="1">
        <v>40588</v>
      </c>
      <c r="I2272" t="str">
        <f>"50"</f>
        <v>50</v>
      </c>
      <c r="J2272" t="s">
        <v>208</v>
      </c>
      <c r="K2272" t="s">
        <v>25</v>
      </c>
      <c r="L2272" t="s">
        <v>26</v>
      </c>
      <c r="M2272" t="s">
        <v>27</v>
      </c>
      <c r="N2272" s="1">
        <v>18629</v>
      </c>
      <c r="O2272">
        <v>0</v>
      </c>
      <c r="P2272">
        <v>0</v>
      </c>
      <c r="Q2272" t="s">
        <v>37</v>
      </c>
      <c r="R2272" t="s">
        <v>71</v>
      </c>
      <c r="S2272" t="s">
        <v>209</v>
      </c>
      <c r="T2272" t="s">
        <v>210</v>
      </c>
    </row>
    <row r="2273" spans="1:20" x14ac:dyDescent="0.25">
      <c r="A2273" t="s">
        <v>5964</v>
      </c>
      <c r="B2273" t="str">
        <f>"0380"</f>
        <v>0380</v>
      </c>
      <c r="C2273" t="str">
        <f>"272600380"</f>
        <v>272600380</v>
      </c>
      <c r="D2273" t="s">
        <v>658</v>
      </c>
      <c r="E2273" t="s">
        <v>317</v>
      </c>
      <c r="F2273" t="s">
        <v>165</v>
      </c>
      <c r="G2273" s="1">
        <v>20994</v>
      </c>
      <c r="H2273" s="1">
        <v>40588</v>
      </c>
      <c r="I2273" t="str">
        <f>"52"</f>
        <v>52</v>
      </c>
      <c r="J2273" t="s">
        <v>330</v>
      </c>
      <c r="K2273" t="s">
        <v>25</v>
      </c>
      <c r="L2273" t="s">
        <v>26</v>
      </c>
      <c r="M2273" t="s">
        <v>27</v>
      </c>
      <c r="N2273" s="1">
        <v>18629</v>
      </c>
      <c r="O2273">
        <v>0</v>
      </c>
      <c r="P2273">
        <v>0</v>
      </c>
      <c r="Q2273" t="s">
        <v>37</v>
      </c>
      <c r="R2273" t="s">
        <v>312</v>
      </c>
      <c r="S2273" t="s">
        <v>678</v>
      </c>
      <c r="T2273" t="s">
        <v>679</v>
      </c>
    </row>
    <row r="2274" spans="1:20" x14ac:dyDescent="0.25">
      <c r="A2274" t="s">
        <v>5965</v>
      </c>
      <c r="B2274" t="str">
        <f>"3189"</f>
        <v>3189</v>
      </c>
      <c r="C2274" t="str">
        <f>"269563189"</f>
        <v>269563189</v>
      </c>
      <c r="D2274" t="s">
        <v>5966</v>
      </c>
      <c r="E2274" t="s">
        <v>255</v>
      </c>
      <c r="F2274" t="s">
        <v>93</v>
      </c>
      <c r="G2274" s="1">
        <v>20469</v>
      </c>
      <c r="H2274" s="1">
        <v>40588</v>
      </c>
      <c r="I2274" t="str">
        <f>"50"</f>
        <v>50</v>
      </c>
      <c r="J2274" t="s">
        <v>208</v>
      </c>
      <c r="K2274" t="s">
        <v>25</v>
      </c>
      <c r="L2274" t="s">
        <v>26</v>
      </c>
      <c r="M2274" t="s">
        <v>27</v>
      </c>
      <c r="N2274" s="1">
        <v>18629</v>
      </c>
      <c r="O2274">
        <v>0</v>
      </c>
      <c r="P2274">
        <v>0</v>
      </c>
      <c r="Q2274" t="s">
        <v>37</v>
      </c>
      <c r="R2274" t="s">
        <v>71</v>
      </c>
      <c r="S2274" t="s">
        <v>209</v>
      </c>
      <c r="T2274" t="s">
        <v>210</v>
      </c>
    </row>
    <row r="2275" spans="1:20" x14ac:dyDescent="0.25">
      <c r="A2275" t="s">
        <v>5967</v>
      </c>
      <c r="B2275" t="str">
        <f>"5812"</f>
        <v>5812</v>
      </c>
      <c r="C2275" t="str">
        <f>"210485812"</f>
        <v>210485812</v>
      </c>
      <c r="D2275" t="s">
        <v>1156</v>
      </c>
      <c r="E2275" t="s">
        <v>5968</v>
      </c>
      <c r="G2275" s="1">
        <v>25858</v>
      </c>
      <c r="H2275" s="1">
        <v>40581</v>
      </c>
      <c r="I2275" t="str">
        <f>"52"</f>
        <v>52</v>
      </c>
      <c r="J2275" t="s">
        <v>330</v>
      </c>
      <c r="K2275" t="s">
        <v>25</v>
      </c>
      <c r="L2275" t="s">
        <v>26</v>
      </c>
      <c r="M2275" t="s">
        <v>27</v>
      </c>
      <c r="N2275" s="1">
        <v>18629</v>
      </c>
      <c r="O2275">
        <v>0</v>
      </c>
      <c r="P2275">
        <v>0</v>
      </c>
      <c r="Q2275" t="s">
        <v>37</v>
      </c>
      <c r="R2275" t="s">
        <v>29</v>
      </c>
      <c r="S2275" t="s">
        <v>3368</v>
      </c>
      <c r="T2275" t="s">
        <v>3369</v>
      </c>
    </row>
    <row r="2276" spans="1:20" x14ac:dyDescent="0.25">
      <c r="A2276" t="s">
        <v>5969</v>
      </c>
      <c r="B2276" t="str">
        <f>"6207"</f>
        <v>6207</v>
      </c>
      <c r="C2276" t="str">
        <f>"302466207"</f>
        <v>302466207</v>
      </c>
      <c r="D2276" t="s">
        <v>5970</v>
      </c>
      <c r="E2276" t="s">
        <v>1815</v>
      </c>
      <c r="G2276" s="1">
        <v>17180</v>
      </c>
      <c r="H2276" s="1">
        <v>40581</v>
      </c>
      <c r="I2276" t="str">
        <f>"05"</f>
        <v>05</v>
      </c>
      <c r="J2276" t="s">
        <v>58</v>
      </c>
      <c r="K2276" t="s">
        <v>98</v>
      </c>
      <c r="L2276" t="s">
        <v>37</v>
      </c>
      <c r="M2276" t="s">
        <v>117</v>
      </c>
      <c r="N2276" s="1">
        <v>41617</v>
      </c>
      <c r="O2276">
        <v>4951.96</v>
      </c>
      <c r="P2276">
        <v>1237.8599999999999</v>
      </c>
      <c r="Q2276" t="s">
        <v>28</v>
      </c>
      <c r="R2276" t="s">
        <v>51</v>
      </c>
      <c r="S2276" t="s">
        <v>795</v>
      </c>
      <c r="T2276" t="s">
        <v>796</v>
      </c>
    </row>
    <row r="2277" spans="1:20" x14ac:dyDescent="0.25">
      <c r="A2277" t="s">
        <v>5971</v>
      </c>
      <c r="B2277" t="str">
        <f>"9322"</f>
        <v>9322</v>
      </c>
      <c r="C2277" t="str">
        <f>"275889322"</f>
        <v>275889322</v>
      </c>
      <c r="D2277" t="s">
        <v>5972</v>
      </c>
      <c r="E2277" t="s">
        <v>642</v>
      </c>
      <c r="F2277" t="s">
        <v>97</v>
      </c>
      <c r="G2277" s="1">
        <v>29509</v>
      </c>
      <c r="H2277" s="1">
        <v>40581</v>
      </c>
      <c r="I2277" t="str">
        <f>"33"</f>
        <v>33</v>
      </c>
      <c r="J2277" t="s">
        <v>45</v>
      </c>
      <c r="K2277" t="s">
        <v>25</v>
      </c>
      <c r="L2277" t="s">
        <v>26</v>
      </c>
      <c r="M2277" t="s">
        <v>27</v>
      </c>
      <c r="N2277" s="1">
        <v>18629</v>
      </c>
      <c r="O2277">
        <v>0</v>
      </c>
      <c r="P2277">
        <v>0</v>
      </c>
      <c r="Q2277" t="s">
        <v>28</v>
      </c>
      <c r="R2277" t="s">
        <v>100</v>
      </c>
      <c r="S2277" t="s">
        <v>757</v>
      </c>
      <c r="T2277" t="s">
        <v>758</v>
      </c>
    </row>
    <row r="2278" spans="1:20" x14ac:dyDescent="0.25">
      <c r="A2278" t="s">
        <v>5973</v>
      </c>
      <c r="B2278" t="str">
        <f>"2529"</f>
        <v>2529</v>
      </c>
      <c r="C2278" t="str">
        <f>"271722529"</f>
        <v>271722529</v>
      </c>
      <c r="D2278" t="s">
        <v>5974</v>
      </c>
      <c r="E2278" t="s">
        <v>1026</v>
      </c>
      <c r="F2278" t="s">
        <v>2075</v>
      </c>
      <c r="G2278" s="1">
        <v>25366</v>
      </c>
      <c r="H2278" s="1">
        <v>40581</v>
      </c>
      <c r="I2278" t="str">
        <f>"52"</f>
        <v>52</v>
      </c>
      <c r="J2278" t="s">
        <v>330</v>
      </c>
      <c r="K2278" t="s">
        <v>25</v>
      </c>
      <c r="L2278" t="s">
        <v>26</v>
      </c>
      <c r="M2278" t="s">
        <v>27</v>
      </c>
      <c r="N2278" s="1">
        <v>18629</v>
      </c>
      <c r="O2278">
        <v>0</v>
      </c>
      <c r="P2278">
        <v>0</v>
      </c>
      <c r="Q2278" t="s">
        <v>37</v>
      </c>
      <c r="R2278" t="s">
        <v>29</v>
      </c>
      <c r="S2278" t="s">
        <v>3368</v>
      </c>
      <c r="T2278" t="s">
        <v>3369</v>
      </c>
    </row>
    <row r="2279" spans="1:20" x14ac:dyDescent="0.25">
      <c r="A2279" t="s">
        <v>5975</v>
      </c>
      <c r="B2279" t="str">
        <f>"3565"</f>
        <v>3565</v>
      </c>
      <c r="C2279" t="str">
        <f>"301423565"</f>
        <v>301423565</v>
      </c>
      <c r="D2279" t="s">
        <v>5976</v>
      </c>
      <c r="E2279" t="s">
        <v>5977</v>
      </c>
      <c r="G2279" s="1">
        <v>17508</v>
      </c>
      <c r="H2279" s="1">
        <v>40581</v>
      </c>
      <c r="I2279" t="str">
        <f>"08"</f>
        <v>08</v>
      </c>
      <c r="J2279" t="s">
        <v>265</v>
      </c>
      <c r="K2279" t="s">
        <v>98</v>
      </c>
      <c r="L2279" t="s">
        <v>37</v>
      </c>
      <c r="M2279" t="s">
        <v>117</v>
      </c>
      <c r="N2279" s="1">
        <v>41617</v>
      </c>
      <c r="O2279">
        <v>4951.96</v>
      </c>
      <c r="P2279">
        <v>1237.8599999999999</v>
      </c>
      <c r="Q2279" t="s">
        <v>37</v>
      </c>
      <c r="R2279" t="s">
        <v>29</v>
      </c>
      <c r="S2279" t="s">
        <v>885</v>
      </c>
      <c r="T2279" t="s">
        <v>886</v>
      </c>
    </row>
    <row r="2280" spans="1:20" x14ac:dyDescent="0.25">
      <c r="A2280" t="s">
        <v>5978</v>
      </c>
      <c r="B2280" t="str">
        <f>"5827"</f>
        <v>5827</v>
      </c>
      <c r="C2280" t="str">
        <f>"295745827"</f>
        <v>295745827</v>
      </c>
      <c r="D2280" t="s">
        <v>5979</v>
      </c>
      <c r="E2280" t="s">
        <v>109</v>
      </c>
      <c r="F2280" t="s">
        <v>28</v>
      </c>
      <c r="G2280" s="1">
        <v>29077</v>
      </c>
      <c r="H2280" s="1">
        <v>40578</v>
      </c>
      <c r="I2280" t="str">
        <f>"51"</f>
        <v>51</v>
      </c>
      <c r="J2280" t="s">
        <v>471</v>
      </c>
      <c r="K2280" t="s">
        <v>25</v>
      </c>
      <c r="L2280" t="s">
        <v>26</v>
      </c>
      <c r="M2280" t="s">
        <v>27</v>
      </c>
      <c r="N2280" s="1">
        <v>18629</v>
      </c>
      <c r="O2280">
        <v>0</v>
      </c>
      <c r="P2280">
        <v>0</v>
      </c>
      <c r="Q2280" t="s">
        <v>37</v>
      </c>
      <c r="R2280" t="s">
        <v>29</v>
      </c>
      <c r="S2280" t="s">
        <v>138</v>
      </c>
      <c r="T2280" t="s">
        <v>139</v>
      </c>
    </row>
    <row r="2281" spans="1:20" x14ac:dyDescent="0.25">
      <c r="A2281" t="s">
        <v>5980</v>
      </c>
      <c r="B2281" t="str">
        <f>"1552"</f>
        <v>1552</v>
      </c>
      <c r="C2281" t="str">
        <f>"296481552"</f>
        <v>296481552</v>
      </c>
      <c r="D2281" t="s">
        <v>5981</v>
      </c>
      <c r="E2281" t="s">
        <v>434</v>
      </c>
      <c r="F2281" t="s">
        <v>329</v>
      </c>
      <c r="G2281" s="1">
        <v>20168</v>
      </c>
      <c r="H2281" s="1">
        <v>40574</v>
      </c>
      <c r="I2281" t="str">
        <f>"30"</f>
        <v>30</v>
      </c>
      <c r="J2281" t="s">
        <v>50</v>
      </c>
      <c r="K2281" t="s">
        <v>25</v>
      </c>
      <c r="L2281" t="s">
        <v>26</v>
      </c>
      <c r="M2281" t="s">
        <v>27</v>
      </c>
      <c r="N2281" s="1">
        <v>18629</v>
      </c>
      <c r="O2281">
        <v>0</v>
      </c>
      <c r="P2281">
        <v>0</v>
      </c>
      <c r="Q2281" t="s">
        <v>28</v>
      </c>
      <c r="R2281" t="s">
        <v>599</v>
      </c>
      <c r="S2281" t="s">
        <v>600</v>
      </c>
      <c r="T2281" t="s">
        <v>601</v>
      </c>
    </row>
    <row r="2282" spans="1:20" x14ac:dyDescent="0.25">
      <c r="A2282" t="s">
        <v>5982</v>
      </c>
      <c r="B2282" t="str">
        <f>"3096"</f>
        <v>3096</v>
      </c>
      <c r="C2282" t="str">
        <f>"291863096"</f>
        <v>291863096</v>
      </c>
      <c r="D2282" t="s">
        <v>5983</v>
      </c>
      <c r="E2282" t="s">
        <v>933</v>
      </c>
      <c r="F2282" t="s">
        <v>28</v>
      </c>
      <c r="G2282" s="1">
        <v>29899</v>
      </c>
      <c r="H2282" s="1">
        <v>40574</v>
      </c>
      <c r="I2282" t="str">
        <f>"41"</f>
        <v>41</v>
      </c>
      <c r="J2282" t="s">
        <v>24</v>
      </c>
      <c r="K2282" t="s">
        <v>25</v>
      </c>
      <c r="L2282" t="s">
        <v>26</v>
      </c>
      <c r="M2282" t="s">
        <v>27</v>
      </c>
      <c r="N2282" s="1">
        <v>18629</v>
      </c>
      <c r="O2282">
        <v>0</v>
      </c>
      <c r="P2282">
        <v>0</v>
      </c>
      <c r="Q2282" t="s">
        <v>28</v>
      </c>
      <c r="R2282" t="s">
        <v>71</v>
      </c>
      <c r="S2282" t="s">
        <v>4743</v>
      </c>
      <c r="T2282" t="s">
        <v>4744</v>
      </c>
    </row>
    <row r="2283" spans="1:20" x14ac:dyDescent="0.25">
      <c r="A2283" t="s">
        <v>5984</v>
      </c>
      <c r="B2283" t="str">
        <f>"8882"</f>
        <v>8882</v>
      </c>
      <c r="C2283" t="str">
        <f>"268668882"</f>
        <v>268668882</v>
      </c>
      <c r="D2283" t="s">
        <v>5985</v>
      </c>
      <c r="E2283" t="s">
        <v>344</v>
      </c>
      <c r="G2283" s="1">
        <v>22152</v>
      </c>
      <c r="H2283" s="1">
        <v>40574</v>
      </c>
      <c r="I2283" t="str">
        <f>"08"</f>
        <v>08</v>
      </c>
      <c r="J2283" t="s">
        <v>265</v>
      </c>
      <c r="K2283" t="s">
        <v>98</v>
      </c>
      <c r="L2283" t="s">
        <v>37</v>
      </c>
      <c r="M2283" t="s">
        <v>257</v>
      </c>
      <c r="N2283" s="1">
        <v>41617</v>
      </c>
      <c r="O2283">
        <v>10753.08</v>
      </c>
      <c r="P2283">
        <v>2688.4</v>
      </c>
      <c r="Q2283" t="s">
        <v>37</v>
      </c>
      <c r="R2283" t="s">
        <v>51</v>
      </c>
      <c r="S2283" t="s">
        <v>1222</v>
      </c>
      <c r="T2283" t="s">
        <v>1223</v>
      </c>
    </row>
    <row r="2284" spans="1:20" x14ac:dyDescent="0.25">
      <c r="A2284" t="s">
        <v>5986</v>
      </c>
      <c r="B2284" t="str">
        <f>"8018"</f>
        <v>8018</v>
      </c>
      <c r="C2284" t="str">
        <f>"577508018"</f>
        <v>577508018</v>
      </c>
      <c r="D2284" t="s">
        <v>943</v>
      </c>
      <c r="E2284" t="s">
        <v>5987</v>
      </c>
      <c r="G2284" s="1">
        <v>13602</v>
      </c>
      <c r="H2284" s="1">
        <v>40571</v>
      </c>
      <c r="I2284" t="str">
        <f>"52"</f>
        <v>52</v>
      </c>
      <c r="J2284" t="s">
        <v>330</v>
      </c>
      <c r="K2284" t="s">
        <v>25</v>
      </c>
      <c r="L2284" t="s">
        <v>26</v>
      </c>
      <c r="M2284" t="s">
        <v>27</v>
      </c>
      <c r="N2284" s="1">
        <v>18629</v>
      </c>
      <c r="O2284">
        <v>0</v>
      </c>
      <c r="P2284">
        <v>0</v>
      </c>
      <c r="Q2284" t="s">
        <v>37</v>
      </c>
      <c r="R2284" t="s">
        <v>51</v>
      </c>
      <c r="S2284" s="2" t="s">
        <v>362</v>
      </c>
      <c r="T2284" t="s">
        <v>363</v>
      </c>
    </row>
    <row r="2285" spans="1:20" x14ac:dyDescent="0.25">
      <c r="A2285" t="s">
        <v>5988</v>
      </c>
      <c r="B2285" t="str">
        <f>"3489"</f>
        <v>3489</v>
      </c>
      <c r="C2285" t="str">
        <f>"378563489"</f>
        <v>378563489</v>
      </c>
      <c r="D2285" t="s">
        <v>5989</v>
      </c>
      <c r="E2285" t="s">
        <v>92</v>
      </c>
      <c r="F2285" t="s">
        <v>93</v>
      </c>
      <c r="G2285" s="1">
        <v>19634</v>
      </c>
      <c r="H2285" s="1">
        <v>40571</v>
      </c>
      <c r="I2285" t="str">
        <f>"52"</f>
        <v>52</v>
      </c>
      <c r="J2285" t="s">
        <v>330</v>
      </c>
      <c r="K2285" t="s">
        <v>25</v>
      </c>
      <c r="L2285" t="s">
        <v>26</v>
      </c>
      <c r="M2285" t="s">
        <v>27</v>
      </c>
      <c r="N2285" s="1">
        <v>18629</v>
      </c>
      <c r="O2285">
        <v>0</v>
      </c>
      <c r="P2285">
        <v>0</v>
      </c>
      <c r="Q2285" t="s">
        <v>37</v>
      </c>
      <c r="R2285" t="s">
        <v>29</v>
      </c>
      <c r="S2285" t="s">
        <v>678</v>
      </c>
      <c r="T2285" t="s">
        <v>679</v>
      </c>
    </row>
    <row r="2286" spans="1:20" x14ac:dyDescent="0.25">
      <c r="A2286" t="s">
        <v>5990</v>
      </c>
      <c r="B2286" t="str">
        <f>"3894"</f>
        <v>3894</v>
      </c>
      <c r="C2286" t="str">
        <f>"268743894"</f>
        <v>268743894</v>
      </c>
      <c r="D2286" t="s">
        <v>5991</v>
      </c>
      <c r="E2286" t="s">
        <v>48</v>
      </c>
      <c r="F2286" t="s">
        <v>97</v>
      </c>
      <c r="G2286" s="1">
        <v>27435</v>
      </c>
      <c r="H2286" s="1">
        <v>40571</v>
      </c>
      <c r="I2286" t="str">
        <f>"51"</f>
        <v>51</v>
      </c>
      <c r="J2286" t="s">
        <v>471</v>
      </c>
      <c r="K2286" t="s">
        <v>25</v>
      </c>
      <c r="L2286" t="s">
        <v>26</v>
      </c>
      <c r="M2286" t="s">
        <v>27</v>
      </c>
      <c r="N2286" s="1">
        <v>18629</v>
      </c>
      <c r="O2286">
        <v>0</v>
      </c>
      <c r="P2286">
        <v>0</v>
      </c>
      <c r="Q2286" t="s">
        <v>37</v>
      </c>
      <c r="R2286" t="s">
        <v>71</v>
      </c>
      <c r="S2286" t="s">
        <v>157</v>
      </c>
      <c r="T2286" t="s">
        <v>158</v>
      </c>
    </row>
    <row r="2287" spans="1:20" x14ac:dyDescent="0.25">
      <c r="A2287" t="s">
        <v>5992</v>
      </c>
      <c r="B2287" t="str">
        <f>"1131"</f>
        <v>1131</v>
      </c>
      <c r="C2287" t="str">
        <f>"286881131"</f>
        <v>286881131</v>
      </c>
      <c r="D2287" t="s">
        <v>5993</v>
      </c>
      <c r="E2287" t="s">
        <v>5994</v>
      </c>
      <c r="F2287" t="s">
        <v>264</v>
      </c>
      <c r="G2287" s="1">
        <v>29500</v>
      </c>
      <c r="H2287" s="1">
        <v>40571</v>
      </c>
      <c r="I2287" t="str">
        <f>"51"</f>
        <v>51</v>
      </c>
      <c r="J2287" t="s">
        <v>471</v>
      </c>
      <c r="K2287" t="s">
        <v>25</v>
      </c>
      <c r="L2287" t="s">
        <v>26</v>
      </c>
      <c r="M2287" t="s">
        <v>27</v>
      </c>
      <c r="N2287" s="1">
        <v>18629</v>
      </c>
      <c r="O2287">
        <v>0</v>
      </c>
      <c r="P2287">
        <v>0</v>
      </c>
      <c r="Q2287" t="s">
        <v>28</v>
      </c>
      <c r="R2287" t="s">
        <v>71</v>
      </c>
      <c r="S2287" t="s">
        <v>157</v>
      </c>
      <c r="T2287" t="s">
        <v>158</v>
      </c>
    </row>
    <row r="2288" spans="1:20" x14ac:dyDescent="0.25">
      <c r="A2288" t="s">
        <v>5995</v>
      </c>
      <c r="B2288" t="str">
        <f>"2938"</f>
        <v>2938</v>
      </c>
      <c r="C2288" t="str">
        <f>"046402938"</f>
        <v>046402938</v>
      </c>
      <c r="D2288" t="s">
        <v>5996</v>
      </c>
      <c r="E2288" t="s">
        <v>5997</v>
      </c>
      <c r="F2288" t="s">
        <v>26</v>
      </c>
      <c r="G2288" s="1">
        <v>17039</v>
      </c>
      <c r="H2288" s="1">
        <v>40569</v>
      </c>
      <c r="I2288" t="str">
        <f>"52"</f>
        <v>52</v>
      </c>
      <c r="J2288" t="s">
        <v>330</v>
      </c>
      <c r="K2288" t="s">
        <v>25</v>
      </c>
      <c r="L2288" t="s">
        <v>26</v>
      </c>
      <c r="M2288" t="s">
        <v>27</v>
      </c>
      <c r="N2288" s="1">
        <v>18629</v>
      </c>
      <c r="O2288">
        <v>0</v>
      </c>
      <c r="P2288">
        <v>0</v>
      </c>
      <c r="Q2288" t="s">
        <v>37</v>
      </c>
      <c r="R2288" t="s">
        <v>29</v>
      </c>
      <c r="S2288" t="s">
        <v>678</v>
      </c>
      <c r="T2288" t="s">
        <v>679</v>
      </c>
    </row>
    <row r="2289" spans="1:20" x14ac:dyDescent="0.25">
      <c r="A2289" t="s">
        <v>5998</v>
      </c>
      <c r="B2289" t="str">
        <f>"9015"</f>
        <v>9015</v>
      </c>
      <c r="C2289" t="str">
        <f>"099409015"</f>
        <v>099409015</v>
      </c>
      <c r="D2289" t="s">
        <v>5999</v>
      </c>
      <c r="E2289" t="s">
        <v>6000</v>
      </c>
      <c r="G2289" s="1">
        <v>18240</v>
      </c>
      <c r="H2289" s="1">
        <v>40568</v>
      </c>
      <c r="I2289" t="str">
        <f>"33"</f>
        <v>33</v>
      </c>
      <c r="J2289" t="s">
        <v>45</v>
      </c>
      <c r="K2289" t="s">
        <v>25</v>
      </c>
      <c r="L2289" t="s">
        <v>26</v>
      </c>
      <c r="M2289" t="s">
        <v>27</v>
      </c>
      <c r="N2289" s="1">
        <v>18629</v>
      </c>
      <c r="O2289">
        <v>0</v>
      </c>
      <c r="P2289">
        <v>0</v>
      </c>
      <c r="Q2289" t="s">
        <v>37</v>
      </c>
      <c r="R2289" t="s">
        <v>51</v>
      </c>
      <c r="S2289" t="s">
        <v>795</v>
      </c>
      <c r="T2289" t="s">
        <v>796</v>
      </c>
    </row>
    <row r="2290" spans="1:20" x14ac:dyDescent="0.25">
      <c r="A2290" t="s">
        <v>6001</v>
      </c>
      <c r="B2290" t="str">
        <f>"4458"</f>
        <v>4458</v>
      </c>
      <c r="C2290" t="str">
        <f>"018324458"</f>
        <v>018324458</v>
      </c>
      <c r="D2290" t="s">
        <v>6002</v>
      </c>
      <c r="E2290" t="s">
        <v>1589</v>
      </c>
      <c r="F2290" t="s">
        <v>239</v>
      </c>
      <c r="G2290" s="1">
        <v>15387</v>
      </c>
      <c r="H2290" s="1">
        <v>40568</v>
      </c>
      <c r="I2290" t="str">
        <f>"41"</f>
        <v>41</v>
      </c>
      <c r="J2290" t="s">
        <v>24</v>
      </c>
      <c r="K2290" t="s">
        <v>25</v>
      </c>
      <c r="L2290" t="s">
        <v>26</v>
      </c>
      <c r="M2290" t="s">
        <v>27</v>
      </c>
      <c r="N2290" s="1">
        <v>18629</v>
      </c>
      <c r="O2290">
        <v>0</v>
      </c>
      <c r="P2290">
        <v>0</v>
      </c>
      <c r="Q2290" t="s">
        <v>37</v>
      </c>
      <c r="R2290" t="s">
        <v>29</v>
      </c>
      <c r="S2290" t="s">
        <v>4707</v>
      </c>
      <c r="T2290" t="s">
        <v>4708</v>
      </c>
    </row>
    <row r="2291" spans="1:20" x14ac:dyDescent="0.25">
      <c r="A2291" t="s">
        <v>6003</v>
      </c>
      <c r="B2291" t="str">
        <f>"7955"</f>
        <v>7955</v>
      </c>
      <c r="C2291" t="str">
        <f>"279487955"</f>
        <v>279487955</v>
      </c>
      <c r="D2291" t="s">
        <v>6004</v>
      </c>
      <c r="E2291" t="s">
        <v>649</v>
      </c>
      <c r="F2291" t="s">
        <v>69</v>
      </c>
      <c r="G2291" s="1">
        <v>18904</v>
      </c>
      <c r="H2291" s="1">
        <v>40567</v>
      </c>
      <c r="I2291" t="str">
        <f>"03"</f>
        <v>03</v>
      </c>
      <c r="J2291" t="s">
        <v>70</v>
      </c>
      <c r="K2291" t="s">
        <v>98</v>
      </c>
      <c r="L2291" t="s">
        <v>37</v>
      </c>
      <c r="M2291" t="s">
        <v>257</v>
      </c>
      <c r="N2291" s="1">
        <v>41827</v>
      </c>
      <c r="O2291">
        <v>10753.08</v>
      </c>
      <c r="P2291">
        <v>2688.4</v>
      </c>
      <c r="Q2291" t="s">
        <v>28</v>
      </c>
      <c r="R2291" t="s">
        <v>100</v>
      </c>
      <c r="S2291" t="s">
        <v>2066</v>
      </c>
      <c r="T2291" t="s">
        <v>2067</v>
      </c>
    </row>
    <row r="2292" spans="1:20" x14ac:dyDescent="0.25">
      <c r="A2292" t="s">
        <v>6005</v>
      </c>
      <c r="B2292" t="str">
        <f>"8030"</f>
        <v>8030</v>
      </c>
      <c r="C2292" t="str">
        <f>"177628030"</f>
        <v>177628030</v>
      </c>
      <c r="D2292" t="s">
        <v>6006</v>
      </c>
      <c r="E2292" t="s">
        <v>430</v>
      </c>
      <c r="F2292" t="s">
        <v>97</v>
      </c>
      <c r="G2292" s="1">
        <v>24301</v>
      </c>
      <c r="H2292" s="1">
        <v>40567</v>
      </c>
      <c r="I2292" t="str">
        <f>"15"</f>
        <v>15</v>
      </c>
      <c r="J2292" t="s">
        <v>36</v>
      </c>
      <c r="K2292" t="s">
        <v>98</v>
      </c>
      <c r="L2292" t="s">
        <v>37</v>
      </c>
      <c r="M2292" t="s">
        <v>99</v>
      </c>
      <c r="N2292" s="1">
        <v>41617</v>
      </c>
      <c r="O2292">
        <v>14801.8</v>
      </c>
      <c r="P2292">
        <v>3700.32</v>
      </c>
      <c r="Q2292" t="s">
        <v>28</v>
      </c>
      <c r="R2292" t="s">
        <v>51</v>
      </c>
      <c r="S2292" s="2" t="s">
        <v>198</v>
      </c>
      <c r="T2292" t="s">
        <v>199</v>
      </c>
    </row>
    <row r="2293" spans="1:20" x14ac:dyDescent="0.25">
      <c r="A2293" t="s">
        <v>6007</v>
      </c>
      <c r="B2293" t="str">
        <f>"5045"</f>
        <v>5045</v>
      </c>
      <c r="C2293" t="str">
        <f>"278805045"</f>
        <v>278805045</v>
      </c>
      <c r="D2293" t="s">
        <v>2730</v>
      </c>
      <c r="E2293" t="s">
        <v>3646</v>
      </c>
      <c r="F2293" t="s">
        <v>264</v>
      </c>
      <c r="G2293" s="1">
        <v>24917</v>
      </c>
      <c r="H2293" s="1">
        <v>40567</v>
      </c>
      <c r="I2293" t="str">
        <f>"42"</f>
        <v>42</v>
      </c>
      <c r="J2293" t="s">
        <v>367</v>
      </c>
      <c r="K2293" t="s">
        <v>25</v>
      </c>
      <c r="L2293" t="s">
        <v>26</v>
      </c>
      <c r="M2293" t="s">
        <v>27</v>
      </c>
      <c r="N2293" s="1">
        <v>18629</v>
      </c>
      <c r="O2293">
        <v>0</v>
      </c>
      <c r="P2293">
        <v>0</v>
      </c>
      <c r="Q2293" t="s">
        <v>28</v>
      </c>
      <c r="R2293" t="s">
        <v>29</v>
      </c>
      <c r="S2293" t="s">
        <v>982</v>
      </c>
      <c r="T2293" t="s">
        <v>983</v>
      </c>
    </row>
    <row r="2294" spans="1:20" x14ac:dyDescent="0.25">
      <c r="A2294" t="s">
        <v>6008</v>
      </c>
      <c r="B2294" t="str">
        <f>"0527"</f>
        <v>0527</v>
      </c>
      <c r="C2294" t="str">
        <f>"301600527"</f>
        <v>301600527</v>
      </c>
      <c r="D2294" t="s">
        <v>6009</v>
      </c>
      <c r="E2294" t="s">
        <v>2017</v>
      </c>
      <c r="F2294" t="s">
        <v>264</v>
      </c>
      <c r="G2294" s="1">
        <v>23867</v>
      </c>
      <c r="H2294" s="1">
        <v>40567</v>
      </c>
      <c r="I2294" t="str">
        <f>"41"</f>
        <v>41</v>
      </c>
      <c r="J2294" t="s">
        <v>24</v>
      </c>
      <c r="K2294" t="s">
        <v>25</v>
      </c>
      <c r="L2294" t="s">
        <v>26</v>
      </c>
      <c r="M2294" t="s">
        <v>27</v>
      </c>
      <c r="N2294" s="1">
        <v>18629</v>
      </c>
      <c r="O2294">
        <v>0</v>
      </c>
      <c r="P2294">
        <v>0</v>
      </c>
      <c r="Q2294" t="s">
        <v>37</v>
      </c>
      <c r="R2294" t="s">
        <v>51</v>
      </c>
      <c r="S2294" t="s">
        <v>138</v>
      </c>
      <c r="T2294" t="s">
        <v>139</v>
      </c>
    </row>
    <row r="2295" spans="1:20" x14ac:dyDescent="0.25">
      <c r="A2295" t="s">
        <v>6010</v>
      </c>
      <c r="B2295" t="str">
        <f>"2948"</f>
        <v>2948</v>
      </c>
      <c r="C2295" t="str">
        <f>"302722948"</f>
        <v>302722948</v>
      </c>
      <c r="D2295" t="s">
        <v>6011</v>
      </c>
      <c r="E2295" t="s">
        <v>6012</v>
      </c>
      <c r="F2295" t="s">
        <v>28</v>
      </c>
      <c r="G2295" s="1">
        <v>25116</v>
      </c>
      <c r="H2295" s="1">
        <v>40567</v>
      </c>
      <c r="I2295" t="str">
        <f>"05"</f>
        <v>05</v>
      </c>
      <c r="J2295" t="s">
        <v>58</v>
      </c>
      <c r="K2295" t="s">
        <v>98</v>
      </c>
      <c r="L2295" t="s">
        <v>37</v>
      </c>
      <c r="M2295" t="s">
        <v>99</v>
      </c>
      <c r="N2295" s="1">
        <v>41617</v>
      </c>
      <c r="O2295">
        <v>14801.8</v>
      </c>
      <c r="P2295">
        <v>3700.32</v>
      </c>
      <c r="Q2295" t="s">
        <v>37</v>
      </c>
      <c r="R2295" t="s">
        <v>71</v>
      </c>
      <c r="S2295" t="s">
        <v>522</v>
      </c>
      <c r="T2295" t="s">
        <v>523</v>
      </c>
    </row>
    <row r="2296" spans="1:20" x14ac:dyDescent="0.25">
      <c r="A2296" t="s">
        <v>6013</v>
      </c>
      <c r="B2296" t="str">
        <f>"8127"</f>
        <v>8127</v>
      </c>
      <c r="C2296" t="str">
        <f>"070628127"</f>
        <v>070628127</v>
      </c>
      <c r="D2296" t="s">
        <v>3973</v>
      </c>
      <c r="E2296" t="s">
        <v>1350</v>
      </c>
      <c r="G2296" s="1">
        <v>24450</v>
      </c>
      <c r="H2296" s="1">
        <v>40567</v>
      </c>
      <c r="I2296" t="str">
        <f>"42"</f>
        <v>42</v>
      </c>
      <c r="J2296" t="s">
        <v>367</v>
      </c>
      <c r="K2296" t="s">
        <v>25</v>
      </c>
      <c r="L2296" t="s">
        <v>26</v>
      </c>
      <c r="M2296" t="s">
        <v>27</v>
      </c>
      <c r="N2296" s="1">
        <v>18629</v>
      </c>
      <c r="O2296">
        <v>0</v>
      </c>
      <c r="P2296">
        <v>0</v>
      </c>
      <c r="Q2296" t="s">
        <v>37</v>
      </c>
      <c r="R2296" t="s">
        <v>29</v>
      </c>
      <c r="S2296" t="s">
        <v>982</v>
      </c>
      <c r="T2296" t="s">
        <v>983</v>
      </c>
    </row>
    <row r="2297" spans="1:20" x14ac:dyDescent="0.25">
      <c r="A2297" t="s">
        <v>6014</v>
      </c>
      <c r="B2297" t="str">
        <f>"2941"</f>
        <v>2941</v>
      </c>
      <c r="C2297" t="str">
        <f>"280662941"</f>
        <v>280662941</v>
      </c>
      <c r="D2297" t="s">
        <v>6015</v>
      </c>
      <c r="E2297" t="s">
        <v>263</v>
      </c>
      <c r="F2297" t="s">
        <v>282</v>
      </c>
      <c r="G2297" s="1">
        <v>22632</v>
      </c>
      <c r="H2297" s="1">
        <v>40567</v>
      </c>
      <c r="I2297" t="str">
        <f>"52"</f>
        <v>52</v>
      </c>
      <c r="J2297" t="s">
        <v>330</v>
      </c>
      <c r="K2297" t="s">
        <v>25</v>
      </c>
      <c r="L2297" t="s">
        <v>26</v>
      </c>
      <c r="M2297" t="s">
        <v>27</v>
      </c>
      <c r="N2297" s="1">
        <v>18629</v>
      </c>
      <c r="O2297">
        <v>0</v>
      </c>
      <c r="P2297">
        <v>0</v>
      </c>
      <c r="Q2297" t="s">
        <v>28</v>
      </c>
      <c r="R2297" t="s">
        <v>258</v>
      </c>
      <c r="S2297" t="s">
        <v>678</v>
      </c>
      <c r="T2297" t="s">
        <v>679</v>
      </c>
    </row>
    <row r="2298" spans="1:20" x14ac:dyDescent="0.25">
      <c r="A2298" t="s">
        <v>6016</v>
      </c>
      <c r="B2298" t="str">
        <f>"6744"</f>
        <v>6744</v>
      </c>
      <c r="C2298" t="str">
        <f>"293566744"</f>
        <v>293566744</v>
      </c>
      <c r="D2298" t="s">
        <v>1082</v>
      </c>
      <c r="E2298" t="s">
        <v>609</v>
      </c>
      <c r="F2298" t="s">
        <v>26</v>
      </c>
      <c r="G2298" s="1">
        <v>25901</v>
      </c>
      <c r="H2298" s="1">
        <v>40567</v>
      </c>
      <c r="I2298" t="str">
        <f>"42"</f>
        <v>42</v>
      </c>
      <c r="J2298" t="s">
        <v>367</v>
      </c>
      <c r="K2298" t="s">
        <v>25</v>
      </c>
      <c r="L2298" t="s">
        <v>26</v>
      </c>
      <c r="M2298" t="s">
        <v>27</v>
      </c>
      <c r="N2298" s="1">
        <v>18629</v>
      </c>
      <c r="O2298">
        <v>0</v>
      </c>
      <c r="P2298">
        <v>0</v>
      </c>
      <c r="Q2298" t="s">
        <v>28</v>
      </c>
      <c r="R2298" t="s">
        <v>29</v>
      </c>
      <c r="S2298" t="s">
        <v>982</v>
      </c>
      <c r="T2298" t="s">
        <v>983</v>
      </c>
    </row>
    <row r="2299" spans="1:20" x14ac:dyDescent="0.25">
      <c r="A2299" t="s">
        <v>6017</v>
      </c>
      <c r="B2299" t="str">
        <f>"7179"</f>
        <v>7179</v>
      </c>
      <c r="C2299" t="str">
        <f>"275587179"</f>
        <v>275587179</v>
      </c>
      <c r="D2299" t="s">
        <v>6018</v>
      </c>
      <c r="E2299" t="s">
        <v>1981</v>
      </c>
      <c r="F2299" t="s">
        <v>44</v>
      </c>
      <c r="G2299" s="1">
        <v>22001</v>
      </c>
      <c r="H2299" s="1">
        <v>40567</v>
      </c>
      <c r="I2299" t="str">
        <f>"41"</f>
        <v>41</v>
      </c>
      <c r="J2299" t="s">
        <v>24</v>
      </c>
      <c r="K2299" t="s">
        <v>25</v>
      </c>
      <c r="L2299" t="s">
        <v>26</v>
      </c>
      <c r="M2299" t="s">
        <v>27</v>
      </c>
      <c r="N2299" s="1">
        <v>18629</v>
      </c>
      <c r="O2299">
        <v>0</v>
      </c>
      <c r="P2299">
        <v>0</v>
      </c>
      <c r="Q2299" t="s">
        <v>37</v>
      </c>
      <c r="R2299" t="s">
        <v>29</v>
      </c>
      <c r="S2299" t="s">
        <v>138</v>
      </c>
      <c r="T2299" t="s">
        <v>139</v>
      </c>
    </row>
    <row r="2300" spans="1:20" x14ac:dyDescent="0.25">
      <c r="A2300" t="s">
        <v>6019</v>
      </c>
      <c r="B2300" t="str">
        <f>"8069"</f>
        <v>8069</v>
      </c>
      <c r="C2300" t="str">
        <f>"270868069"</f>
        <v>270868069</v>
      </c>
      <c r="D2300" t="s">
        <v>6020</v>
      </c>
      <c r="E2300" t="s">
        <v>6021</v>
      </c>
      <c r="G2300" s="1">
        <v>27505</v>
      </c>
      <c r="H2300" s="1">
        <v>40567</v>
      </c>
      <c r="I2300" t="str">
        <f>"33"</f>
        <v>33</v>
      </c>
      <c r="J2300" t="s">
        <v>45</v>
      </c>
      <c r="K2300" t="s">
        <v>25</v>
      </c>
      <c r="L2300" t="s">
        <v>26</v>
      </c>
      <c r="M2300" t="s">
        <v>27</v>
      </c>
      <c r="N2300" s="1">
        <v>18629</v>
      </c>
      <c r="O2300">
        <v>0</v>
      </c>
      <c r="P2300">
        <v>0</v>
      </c>
      <c r="Q2300" t="s">
        <v>28</v>
      </c>
      <c r="R2300" t="s">
        <v>29</v>
      </c>
      <c r="S2300" t="s">
        <v>1828</v>
      </c>
      <c r="T2300" t="s">
        <v>1829</v>
      </c>
    </row>
    <row r="2301" spans="1:20" x14ac:dyDescent="0.25">
      <c r="A2301" t="s">
        <v>6022</v>
      </c>
      <c r="B2301" t="str">
        <f>"7540"</f>
        <v>7540</v>
      </c>
      <c r="C2301" t="str">
        <f>"286527540"</f>
        <v>286527540</v>
      </c>
      <c r="D2301" t="s">
        <v>6023</v>
      </c>
      <c r="E2301" t="s">
        <v>2339</v>
      </c>
      <c r="F2301" t="s">
        <v>97</v>
      </c>
      <c r="G2301" s="1">
        <v>19494</v>
      </c>
      <c r="H2301" s="1">
        <v>40567</v>
      </c>
      <c r="I2301" t="str">
        <f>"30"</f>
        <v>30</v>
      </c>
      <c r="J2301" t="s">
        <v>50</v>
      </c>
      <c r="K2301" t="s">
        <v>25</v>
      </c>
      <c r="L2301" t="s">
        <v>26</v>
      </c>
      <c r="M2301" t="s">
        <v>27</v>
      </c>
      <c r="N2301" s="1">
        <v>18629</v>
      </c>
      <c r="O2301">
        <v>0</v>
      </c>
      <c r="P2301">
        <v>0</v>
      </c>
      <c r="Q2301" t="s">
        <v>37</v>
      </c>
      <c r="R2301" t="s">
        <v>100</v>
      </c>
      <c r="S2301" t="s">
        <v>655</v>
      </c>
      <c r="T2301" t="s">
        <v>656</v>
      </c>
    </row>
    <row r="2302" spans="1:20" x14ac:dyDescent="0.25">
      <c r="A2302" t="s">
        <v>6024</v>
      </c>
      <c r="B2302" t="str">
        <f>"5350"</f>
        <v>5350</v>
      </c>
      <c r="C2302" t="str">
        <f>"268745350"</f>
        <v>268745350</v>
      </c>
      <c r="D2302" t="s">
        <v>6025</v>
      </c>
      <c r="E2302" t="s">
        <v>4452</v>
      </c>
      <c r="F2302" t="s">
        <v>49</v>
      </c>
      <c r="G2302" s="1">
        <v>26065</v>
      </c>
      <c r="H2302" s="1">
        <v>40567</v>
      </c>
      <c r="I2302" t="str">
        <f>"41"</f>
        <v>41</v>
      </c>
      <c r="J2302" t="s">
        <v>24</v>
      </c>
      <c r="K2302" t="s">
        <v>25</v>
      </c>
      <c r="L2302" t="s">
        <v>26</v>
      </c>
      <c r="M2302" t="s">
        <v>27</v>
      </c>
      <c r="N2302" s="1">
        <v>18629</v>
      </c>
      <c r="O2302">
        <v>0</v>
      </c>
      <c r="P2302">
        <v>0</v>
      </c>
      <c r="Q2302" t="s">
        <v>37</v>
      </c>
      <c r="R2302" t="s">
        <v>71</v>
      </c>
      <c r="S2302" t="s">
        <v>3419</v>
      </c>
      <c r="T2302" t="s">
        <v>3420</v>
      </c>
    </row>
    <row r="2303" spans="1:20" x14ac:dyDescent="0.25">
      <c r="A2303" t="s">
        <v>6026</v>
      </c>
      <c r="B2303" t="str">
        <f>"9953"</f>
        <v>9953</v>
      </c>
      <c r="C2303" t="str">
        <f>"296909953"</f>
        <v>296909953</v>
      </c>
      <c r="D2303" t="s">
        <v>6027</v>
      </c>
      <c r="E2303" t="s">
        <v>4257</v>
      </c>
      <c r="F2303" t="s">
        <v>345</v>
      </c>
      <c r="G2303" s="1">
        <v>26567</v>
      </c>
      <c r="H2303" s="1">
        <v>40561</v>
      </c>
      <c r="I2303" t="str">
        <f t="shared" ref="I2303:I2322" si="46">"51"</f>
        <v>51</v>
      </c>
      <c r="J2303" t="s">
        <v>471</v>
      </c>
      <c r="K2303" t="s">
        <v>25</v>
      </c>
      <c r="L2303" t="s">
        <v>26</v>
      </c>
      <c r="M2303" t="s">
        <v>27</v>
      </c>
      <c r="N2303" s="1">
        <v>18629</v>
      </c>
      <c r="O2303">
        <v>0</v>
      </c>
      <c r="P2303">
        <v>0</v>
      </c>
      <c r="Q2303" t="s">
        <v>37</v>
      </c>
      <c r="R2303" t="s">
        <v>51</v>
      </c>
      <c r="S2303" t="s">
        <v>1707</v>
      </c>
      <c r="T2303" t="s">
        <v>1708</v>
      </c>
    </row>
    <row r="2304" spans="1:20" x14ac:dyDescent="0.25">
      <c r="A2304" t="s">
        <v>6028</v>
      </c>
      <c r="B2304" t="str">
        <f>"8576"</f>
        <v>8576</v>
      </c>
      <c r="C2304" t="str">
        <f>"181468576"</f>
        <v>181468576</v>
      </c>
      <c r="D2304" t="s">
        <v>6029</v>
      </c>
      <c r="E2304" t="s">
        <v>1164</v>
      </c>
      <c r="F2304" t="s">
        <v>264</v>
      </c>
      <c r="G2304" s="1">
        <v>19775</v>
      </c>
      <c r="H2304" s="1">
        <v>40561</v>
      </c>
      <c r="I2304" t="str">
        <f t="shared" si="46"/>
        <v>51</v>
      </c>
      <c r="J2304" t="s">
        <v>471</v>
      </c>
      <c r="K2304" t="s">
        <v>25</v>
      </c>
      <c r="L2304" t="s">
        <v>26</v>
      </c>
      <c r="M2304" t="s">
        <v>27</v>
      </c>
      <c r="N2304" s="1">
        <v>18629</v>
      </c>
      <c r="O2304">
        <v>0</v>
      </c>
      <c r="P2304">
        <v>0</v>
      </c>
      <c r="Q2304" t="s">
        <v>28</v>
      </c>
      <c r="R2304" t="s">
        <v>71</v>
      </c>
      <c r="S2304" s="2" t="s">
        <v>6030</v>
      </c>
      <c r="T2304" t="s">
        <v>6031</v>
      </c>
    </row>
    <row r="2305" spans="1:20" x14ac:dyDescent="0.25">
      <c r="A2305" t="s">
        <v>6032</v>
      </c>
      <c r="B2305" t="str">
        <f>"3568"</f>
        <v>3568</v>
      </c>
      <c r="C2305" t="str">
        <f>"299423568"</f>
        <v>299423568</v>
      </c>
      <c r="D2305" t="s">
        <v>6033</v>
      </c>
      <c r="E2305" t="s">
        <v>6034</v>
      </c>
      <c r="F2305" t="s">
        <v>438</v>
      </c>
      <c r="G2305" s="1">
        <v>19371</v>
      </c>
      <c r="H2305" s="1">
        <v>40561</v>
      </c>
      <c r="I2305" t="str">
        <f t="shared" si="46"/>
        <v>51</v>
      </c>
      <c r="J2305" t="s">
        <v>471</v>
      </c>
      <c r="K2305" t="s">
        <v>25</v>
      </c>
      <c r="L2305" t="s">
        <v>26</v>
      </c>
      <c r="M2305" t="s">
        <v>27</v>
      </c>
      <c r="N2305" s="1">
        <v>18629</v>
      </c>
      <c r="O2305">
        <v>0</v>
      </c>
      <c r="P2305">
        <v>0</v>
      </c>
      <c r="Q2305" t="s">
        <v>37</v>
      </c>
      <c r="R2305" t="s">
        <v>599</v>
      </c>
      <c r="S2305" t="s">
        <v>157</v>
      </c>
      <c r="T2305" t="s">
        <v>158</v>
      </c>
    </row>
    <row r="2306" spans="1:20" x14ac:dyDescent="0.25">
      <c r="A2306" t="s">
        <v>6035</v>
      </c>
      <c r="B2306" t="str">
        <f>"4884"</f>
        <v>4884</v>
      </c>
      <c r="C2306" t="str">
        <f>"271524884"</f>
        <v>271524884</v>
      </c>
      <c r="D2306" t="s">
        <v>6036</v>
      </c>
      <c r="E2306" t="s">
        <v>463</v>
      </c>
      <c r="F2306" t="s">
        <v>28</v>
      </c>
      <c r="G2306" s="1">
        <v>19211</v>
      </c>
      <c r="H2306" s="1">
        <v>40561</v>
      </c>
      <c r="I2306" t="str">
        <f t="shared" si="46"/>
        <v>51</v>
      </c>
      <c r="J2306" t="s">
        <v>471</v>
      </c>
      <c r="K2306" t="s">
        <v>25</v>
      </c>
      <c r="L2306" t="s">
        <v>26</v>
      </c>
      <c r="M2306" t="s">
        <v>27</v>
      </c>
      <c r="N2306" s="1">
        <v>18629</v>
      </c>
      <c r="O2306">
        <v>0</v>
      </c>
      <c r="P2306">
        <v>0</v>
      </c>
      <c r="Q2306" t="s">
        <v>28</v>
      </c>
      <c r="R2306" t="s">
        <v>71</v>
      </c>
      <c r="S2306" t="s">
        <v>770</v>
      </c>
      <c r="T2306" t="s">
        <v>771</v>
      </c>
    </row>
    <row r="2307" spans="1:20" x14ac:dyDescent="0.25">
      <c r="A2307" t="s">
        <v>6037</v>
      </c>
      <c r="B2307" t="str">
        <f>"5979"</f>
        <v>5979</v>
      </c>
      <c r="C2307" t="str">
        <f>"307065979"</f>
        <v>307065979</v>
      </c>
      <c r="D2307" t="s">
        <v>1383</v>
      </c>
      <c r="E2307" t="s">
        <v>146</v>
      </c>
      <c r="F2307" t="s">
        <v>44</v>
      </c>
      <c r="G2307" s="1">
        <v>30772</v>
      </c>
      <c r="H2307" s="1">
        <v>40561</v>
      </c>
      <c r="I2307" t="str">
        <f t="shared" si="46"/>
        <v>51</v>
      </c>
      <c r="J2307" t="s">
        <v>471</v>
      </c>
      <c r="K2307" t="s">
        <v>25</v>
      </c>
      <c r="L2307" t="s">
        <v>26</v>
      </c>
      <c r="M2307" t="s">
        <v>27</v>
      </c>
      <c r="N2307" s="1">
        <v>18629</v>
      </c>
      <c r="O2307">
        <v>0</v>
      </c>
      <c r="P2307">
        <v>0</v>
      </c>
      <c r="Q2307" t="s">
        <v>37</v>
      </c>
      <c r="R2307" t="s">
        <v>29</v>
      </c>
      <c r="S2307" t="s">
        <v>138</v>
      </c>
      <c r="T2307" t="s">
        <v>139</v>
      </c>
    </row>
    <row r="2308" spans="1:20" x14ac:dyDescent="0.25">
      <c r="A2308" t="s">
        <v>6038</v>
      </c>
      <c r="B2308" t="str">
        <f>"6700"</f>
        <v>6700</v>
      </c>
      <c r="C2308" t="str">
        <f>"295646700"</f>
        <v>295646700</v>
      </c>
      <c r="D2308" t="s">
        <v>2245</v>
      </c>
      <c r="E2308" t="s">
        <v>3598</v>
      </c>
      <c r="F2308" t="s">
        <v>97</v>
      </c>
      <c r="G2308" s="1">
        <v>21869</v>
      </c>
      <c r="H2308" s="1">
        <v>40561</v>
      </c>
      <c r="I2308" t="str">
        <f t="shared" si="46"/>
        <v>51</v>
      </c>
      <c r="J2308" t="s">
        <v>471</v>
      </c>
      <c r="K2308" t="s">
        <v>25</v>
      </c>
      <c r="L2308" t="s">
        <v>26</v>
      </c>
      <c r="M2308" t="s">
        <v>27</v>
      </c>
      <c r="N2308" s="1">
        <v>18629</v>
      </c>
      <c r="O2308">
        <v>0</v>
      </c>
      <c r="P2308">
        <v>0</v>
      </c>
      <c r="Q2308" t="s">
        <v>37</v>
      </c>
      <c r="R2308" t="s">
        <v>29</v>
      </c>
      <c r="S2308" t="s">
        <v>138</v>
      </c>
      <c r="T2308" t="s">
        <v>139</v>
      </c>
    </row>
    <row r="2309" spans="1:20" x14ac:dyDescent="0.25">
      <c r="A2309" t="s">
        <v>6039</v>
      </c>
      <c r="B2309" t="str">
        <f>"4506"</f>
        <v>4506</v>
      </c>
      <c r="C2309" t="str">
        <f>"278664506"</f>
        <v>278664506</v>
      </c>
      <c r="D2309" t="s">
        <v>597</v>
      </c>
      <c r="E2309" t="s">
        <v>304</v>
      </c>
      <c r="F2309" t="s">
        <v>69</v>
      </c>
      <c r="G2309" s="1">
        <v>22845</v>
      </c>
      <c r="H2309" s="1">
        <v>40561</v>
      </c>
      <c r="I2309" t="str">
        <f t="shared" si="46"/>
        <v>51</v>
      </c>
      <c r="J2309" t="s">
        <v>471</v>
      </c>
      <c r="K2309" t="s">
        <v>25</v>
      </c>
      <c r="L2309" t="s">
        <v>26</v>
      </c>
      <c r="M2309" t="s">
        <v>27</v>
      </c>
      <c r="N2309" s="1">
        <v>18629</v>
      </c>
      <c r="O2309">
        <v>0</v>
      </c>
      <c r="P2309">
        <v>0</v>
      </c>
      <c r="Q2309" t="s">
        <v>28</v>
      </c>
      <c r="R2309" t="s">
        <v>29</v>
      </c>
      <c r="S2309" t="s">
        <v>6040</v>
      </c>
      <c r="T2309" t="s">
        <v>6041</v>
      </c>
    </row>
    <row r="2310" spans="1:20" x14ac:dyDescent="0.25">
      <c r="A2310" t="s">
        <v>6042</v>
      </c>
      <c r="B2310" t="str">
        <f>"6880"</f>
        <v>6880</v>
      </c>
      <c r="C2310" t="str">
        <f>"292686880"</f>
        <v>292686880</v>
      </c>
      <c r="D2310" t="s">
        <v>5684</v>
      </c>
      <c r="E2310" t="s">
        <v>3360</v>
      </c>
      <c r="F2310" t="s">
        <v>165</v>
      </c>
      <c r="G2310" s="1">
        <v>24551</v>
      </c>
      <c r="H2310" s="1">
        <v>40561</v>
      </c>
      <c r="I2310" t="str">
        <f t="shared" si="46"/>
        <v>51</v>
      </c>
      <c r="J2310" t="s">
        <v>471</v>
      </c>
      <c r="K2310" t="s">
        <v>25</v>
      </c>
      <c r="L2310" t="s">
        <v>26</v>
      </c>
      <c r="M2310" t="s">
        <v>27</v>
      </c>
      <c r="N2310" s="1">
        <v>18629</v>
      </c>
      <c r="O2310">
        <v>0</v>
      </c>
      <c r="P2310">
        <v>0</v>
      </c>
      <c r="Q2310" t="s">
        <v>28</v>
      </c>
      <c r="R2310" t="s">
        <v>29</v>
      </c>
      <c r="S2310" t="s">
        <v>138</v>
      </c>
      <c r="T2310" t="s">
        <v>139</v>
      </c>
    </row>
    <row r="2311" spans="1:20" x14ac:dyDescent="0.25">
      <c r="A2311" t="s">
        <v>6043</v>
      </c>
      <c r="B2311" t="str">
        <f>"2194"</f>
        <v>2194</v>
      </c>
      <c r="C2311" t="str">
        <f>"276842194"</f>
        <v>276842194</v>
      </c>
      <c r="D2311" t="s">
        <v>3923</v>
      </c>
      <c r="E2311" t="s">
        <v>6044</v>
      </c>
      <c r="F2311" t="s">
        <v>264</v>
      </c>
      <c r="G2311" s="1">
        <v>31320</v>
      </c>
      <c r="H2311" s="1">
        <v>40561</v>
      </c>
      <c r="I2311" t="str">
        <f t="shared" si="46"/>
        <v>51</v>
      </c>
      <c r="J2311" t="s">
        <v>471</v>
      </c>
      <c r="K2311" t="s">
        <v>25</v>
      </c>
      <c r="L2311" t="s">
        <v>26</v>
      </c>
      <c r="M2311" t="s">
        <v>27</v>
      </c>
      <c r="N2311" s="1">
        <v>18629</v>
      </c>
      <c r="O2311">
        <v>0</v>
      </c>
      <c r="P2311">
        <v>0</v>
      </c>
      <c r="Q2311" t="s">
        <v>28</v>
      </c>
      <c r="R2311" t="s">
        <v>29</v>
      </c>
      <c r="S2311" t="s">
        <v>1640</v>
      </c>
      <c r="T2311" t="s">
        <v>983</v>
      </c>
    </row>
    <row r="2312" spans="1:20" x14ac:dyDescent="0.25">
      <c r="A2312" t="s">
        <v>6045</v>
      </c>
      <c r="B2312" t="str">
        <f>"8469"</f>
        <v>8469</v>
      </c>
      <c r="C2312" t="str">
        <f>"280868469"</f>
        <v>280868469</v>
      </c>
      <c r="D2312" t="s">
        <v>6046</v>
      </c>
      <c r="E2312" t="s">
        <v>335</v>
      </c>
      <c r="F2312" t="s">
        <v>44</v>
      </c>
      <c r="G2312" s="1">
        <v>27992</v>
      </c>
      <c r="H2312" s="1">
        <v>40561</v>
      </c>
      <c r="I2312" t="str">
        <f t="shared" si="46"/>
        <v>51</v>
      </c>
      <c r="J2312" t="s">
        <v>471</v>
      </c>
      <c r="K2312" t="s">
        <v>25</v>
      </c>
      <c r="L2312" t="s">
        <v>26</v>
      </c>
      <c r="M2312" t="s">
        <v>27</v>
      </c>
      <c r="N2312" s="1">
        <v>18629</v>
      </c>
      <c r="O2312">
        <v>0</v>
      </c>
      <c r="P2312">
        <v>0</v>
      </c>
      <c r="Q2312" t="s">
        <v>28</v>
      </c>
      <c r="R2312" t="s">
        <v>29</v>
      </c>
      <c r="S2312" t="s">
        <v>138</v>
      </c>
      <c r="T2312" t="s">
        <v>139</v>
      </c>
    </row>
    <row r="2313" spans="1:20" x14ac:dyDescent="0.25">
      <c r="A2313" t="s">
        <v>6047</v>
      </c>
      <c r="B2313" t="str">
        <f>"1398"</f>
        <v>1398</v>
      </c>
      <c r="C2313" t="str">
        <f>"103681398"</f>
        <v>103681398</v>
      </c>
      <c r="D2313" t="s">
        <v>6048</v>
      </c>
      <c r="E2313" t="s">
        <v>1412</v>
      </c>
      <c r="F2313" t="s">
        <v>165</v>
      </c>
      <c r="G2313" s="1">
        <v>25272</v>
      </c>
      <c r="H2313" s="1">
        <v>40561</v>
      </c>
      <c r="I2313" t="str">
        <f t="shared" si="46"/>
        <v>51</v>
      </c>
      <c r="J2313" t="s">
        <v>471</v>
      </c>
      <c r="K2313" t="s">
        <v>25</v>
      </c>
      <c r="L2313" t="s">
        <v>26</v>
      </c>
      <c r="M2313" t="s">
        <v>27</v>
      </c>
      <c r="N2313" s="1">
        <v>18629</v>
      </c>
      <c r="O2313">
        <v>0</v>
      </c>
      <c r="P2313">
        <v>0</v>
      </c>
      <c r="Q2313" t="s">
        <v>28</v>
      </c>
      <c r="R2313" t="s">
        <v>71</v>
      </c>
      <c r="S2313" t="s">
        <v>2406</v>
      </c>
      <c r="T2313" t="s">
        <v>2407</v>
      </c>
    </row>
    <row r="2314" spans="1:20" x14ac:dyDescent="0.25">
      <c r="A2314" t="s">
        <v>6049</v>
      </c>
      <c r="B2314" t="str">
        <f>"4943"</f>
        <v>4943</v>
      </c>
      <c r="C2314" t="str">
        <f>"488804943"</f>
        <v>488804943</v>
      </c>
      <c r="D2314" t="s">
        <v>4190</v>
      </c>
      <c r="E2314" t="s">
        <v>1952</v>
      </c>
      <c r="F2314" t="s">
        <v>28</v>
      </c>
      <c r="G2314" s="1">
        <v>24046</v>
      </c>
      <c r="H2314" s="1">
        <v>40561</v>
      </c>
      <c r="I2314" t="str">
        <f t="shared" si="46"/>
        <v>51</v>
      </c>
      <c r="J2314" t="s">
        <v>471</v>
      </c>
      <c r="K2314" t="s">
        <v>25</v>
      </c>
      <c r="L2314" t="s">
        <v>26</v>
      </c>
      <c r="M2314" t="s">
        <v>27</v>
      </c>
      <c r="N2314" s="1">
        <v>18629</v>
      </c>
      <c r="O2314">
        <v>0</v>
      </c>
      <c r="P2314">
        <v>0</v>
      </c>
      <c r="Q2314" t="s">
        <v>37</v>
      </c>
      <c r="R2314" t="s">
        <v>71</v>
      </c>
      <c r="S2314" t="s">
        <v>157</v>
      </c>
      <c r="T2314" t="s">
        <v>158</v>
      </c>
    </row>
    <row r="2315" spans="1:20" x14ac:dyDescent="0.25">
      <c r="A2315" t="s">
        <v>6050</v>
      </c>
      <c r="B2315" t="str">
        <f>"8608"</f>
        <v>8608</v>
      </c>
      <c r="C2315" t="str">
        <f>"291628608"</f>
        <v>291628608</v>
      </c>
      <c r="D2315" t="s">
        <v>2878</v>
      </c>
      <c r="E2315" t="s">
        <v>2152</v>
      </c>
      <c r="F2315" t="s">
        <v>28</v>
      </c>
      <c r="G2315" s="1">
        <v>21738</v>
      </c>
      <c r="H2315" s="1">
        <v>40561</v>
      </c>
      <c r="I2315" t="str">
        <f t="shared" si="46"/>
        <v>51</v>
      </c>
      <c r="J2315" t="s">
        <v>471</v>
      </c>
      <c r="K2315" t="s">
        <v>25</v>
      </c>
      <c r="L2315" t="s">
        <v>26</v>
      </c>
      <c r="M2315" t="s">
        <v>27</v>
      </c>
      <c r="N2315" s="1">
        <v>18629</v>
      </c>
      <c r="O2315">
        <v>0</v>
      </c>
      <c r="P2315">
        <v>0</v>
      </c>
      <c r="Q2315" t="s">
        <v>37</v>
      </c>
      <c r="R2315" t="s">
        <v>29</v>
      </c>
      <c r="S2315" t="s">
        <v>138</v>
      </c>
      <c r="T2315" t="s">
        <v>139</v>
      </c>
    </row>
    <row r="2316" spans="1:20" x14ac:dyDescent="0.25">
      <c r="A2316" t="s">
        <v>6051</v>
      </c>
      <c r="B2316" t="str">
        <f>"8962"</f>
        <v>8962</v>
      </c>
      <c r="C2316" t="str">
        <f>"294608962"</f>
        <v>294608962</v>
      </c>
      <c r="D2316" t="s">
        <v>6052</v>
      </c>
      <c r="E2316" t="s">
        <v>448</v>
      </c>
      <c r="F2316" t="s">
        <v>438</v>
      </c>
      <c r="G2316" s="1">
        <v>27229</v>
      </c>
      <c r="H2316" s="1">
        <v>40561</v>
      </c>
      <c r="I2316" t="str">
        <f t="shared" si="46"/>
        <v>51</v>
      </c>
      <c r="J2316" t="s">
        <v>471</v>
      </c>
      <c r="K2316" t="s">
        <v>25</v>
      </c>
      <c r="L2316" t="s">
        <v>26</v>
      </c>
      <c r="M2316" t="s">
        <v>27</v>
      </c>
      <c r="N2316" s="1">
        <v>18629</v>
      </c>
      <c r="O2316">
        <v>0</v>
      </c>
      <c r="P2316">
        <v>0</v>
      </c>
      <c r="Q2316" t="s">
        <v>37</v>
      </c>
      <c r="R2316" t="s">
        <v>71</v>
      </c>
      <c r="S2316" t="s">
        <v>790</v>
      </c>
      <c r="T2316" t="s">
        <v>791</v>
      </c>
    </row>
    <row r="2317" spans="1:20" x14ac:dyDescent="0.25">
      <c r="A2317" t="s">
        <v>6053</v>
      </c>
      <c r="B2317" t="str">
        <f>"6876"</f>
        <v>6876</v>
      </c>
      <c r="C2317" t="str">
        <f>"300426876"</f>
        <v>300426876</v>
      </c>
      <c r="D2317" t="s">
        <v>6054</v>
      </c>
      <c r="E2317" t="s">
        <v>1074</v>
      </c>
      <c r="F2317" t="s">
        <v>28</v>
      </c>
      <c r="G2317" s="1">
        <v>20555</v>
      </c>
      <c r="H2317" s="1">
        <v>40561</v>
      </c>
      <c r="I2317" t="str">
        <f t="shared" si="46"/>
        <v>51</v>
      </c>
      <c r="J2317" t="s">
        <v>471</v>
      </c>
      <c r="K2317" t="s">
        <v>25</v>
      </c>
      <c r="L2317" t="s">
        <v>26</v>
      </c>
      <c r="M2317" t="s">
        <v>27</v>
      </c>
      <c r="N2317" s="1">
        <v>18629</v>
      </c>
      <c r="O2317">
        <v>0</v>
      </c>
      <c r="P2317">
        <v>0</v>
      </c>
      <c r="Q2317" t="s">
        <v>37</v>
      </c>
      <c r="R2317" t="s">
        <v>29</v>
      </c>
      <c r="S2317" t="s">
        <v>138</v>
      </c>
      <c r="T2317" t="s">
        <v>139</v>
      </c>
    </row>
    <row r="2318" spans="1:20" x14ac:dyDescent="0.25">
      <c r="A2318" t="s">
        <v>6055</v>
      </c>
      <c r="B2318" t="str">
        <f>"8360"</f>
        <v>8360</v>
      </c>
      <c r="C2318" t="str">
        <f>"274708360"</f>
        <v>274708360</v>
      </c>
      <c r="D2318" t="s">
        <v>6056</v>
      </c>
      <c r="E2318" t="s">
        <v>255</v>
      </c>
      <c r="F2318" t="s">
        <v>93</v>
      </c>
      <c r="G2318" s="1">
        <v>24267</v>
      </c>
      <c r="H2318" s="1">
        <v>40561</v>
      </c>
      <c r="I2318" t="str">
        <f t="shared" si="46"/>
        <v>51</v>
      </c>
      <c r="J2318" t="s">
        <v>471</v>
      </c>
      <c r="K2318" t="s">
        <v>25</v>
      </c>
      <c r="L2318" t="s">
        <v>26</v>
      </c>
      <c r="M2318" t="s">
        <v>27</v>
      </c>
      <c r="N2318" s="1">
        <v>18629</v>
      </c>
      <c r="O2318">
        <v>0</v>
      </c>
      <c r="P2318">
        <v>0</v>
      </c>
      <c r="Q2318" t="s">
        <v>37</v>
      </c>
      <c r="R2318" t="s">
        <v>29</v>
      </c>
      <c r="S2318" t="s">
        <v>138</v>
      </c>
      <c r="T2318" t="s">
        <v>139</v>
      </c>
    </row>
    <row r="2319" spans="1:20" x14ac:dyDescent="0.25">
      <c r="A2319" t="s">
        <v>6057</v>
      </c>
      <c r="B2319" t="str">
        <f>"9397"</f>
        <v>9397</v>
      </c>
      <c r="C2319" t="str">
        <f>"106529397"</f>
        <v>106529397</v>
      </c>
      <c r="D2319" t="s">
        <v>6058</v>
      </c>
      <c r="E2319" t="s">
        <v>649</v>
      </c>
      <c r="F2319" t="s">
        <v>37</v>
      </c>
      <c r="G2319" s="1">
        <v>21800</v>
      </c>
      <c r="H2319" s="1">
        <v>40561</v>
      </c>
      <c r="I2319" t="str">
        <f t="shared" si="46"/>
        <v>51</v>
      </c>
      <c r="J2319" t="s">
        <v>471</v>
      </c>
      <c r="K2319" t="s">
        <v>25</v>
      </c>
      <c r="L2319" t="s">
        <v>26</v>
      </c>
      <c r="M2319" t="s">
        <v>27</v>
      </c>
      <c r="N2319" s="1">
        <v>18629</v>
      </c>
      <c r="O2319">
        <v>0</v>
      </c>
      <c r="P2319">
        <v>0</v>
      </c>
      <c r="Q2319" t="s">
        <v>28</v>
      </c>
      <c r="R2319" t="s">
        <v>29</v>
      </c>
      <c r="S2319" t="s">
        <v>1640</v>
      </c>
      <c r="T2319" t="s">
        <v>983</v>
      </c>
    </row>
    <row r="2320" spans="1:20" x14ac:dyDescent="0.25">
      <c r="A2320" t="s">
        <v>6059</v>
      </c>
      <c r="B2320" t="str">
        <f>"4577"</f>
        <v>4577</v>
      </c>
      <c r="C2320" t="str">
        <f>"302824577"</f>
        <v>302824577</v>
      </c>
      <c r="D2320" t="s">
        <v>2132</v>
      </c>
      <c r="E2320" t="s">
        <v>3077</v>
      </c>
      <c r="F2320" t="s">
        <v>69</v>
      </c>
      <c r="G2320" s="1">
        <v>25114</v>
      </c>
      <c r="H2320" s="1">
        <v>40561</v>
      </c>
      <c r="I2320" t="str">
        <f t="shared" si="46"/>
        <v>51</v>
      </c>
      <c r="J2320" t="s">
        <v>471</v>
      </c>
      <c r="K2320" t="s">
        <v>25</v>
      </c>
      <c r="L2320" t="s">
        <v>26</v>
      </c>
      <c r="M2320" t="s">
        <v>27</v>
      </c>
      <c r="N2320" s="1">
        <v>18629</v>
      </c>
      <c r="O2320">
        <v>0</v>
      </c>
      <c r="P2320">
        <v>0</v>
      </c>
      <c r="Q2320" t="s">
        <v>37</v>
      </c>
      <c r="R2320" t="s">
        <v>29</v>
      </c>
      <c r="S2320" t="s">
        <v>878</v>
      </c>
      <c r="T2320" t="s">
        <v>879</v>
      </c>
    </row>
    <row r="2321" spans="1:20" x14ac:dyDescent="0.25">
      <c r="A2321" t="s">
        <v>6060</v>
      </c>
      <c r="B2321" t="str">
        <f>"7608"</f>
        <v>7608</v>
      </c>
      <c r="C2321" t="str">
        <f>"299787608"</f>
        <v>299787608</v>
      </c>
      <c r="D2321" t="s">
        <v>6061</v>
      </c>
      <c r="E2321" t="s">
        <v>5442</v>
      </c>
      <c r="F2321" t="s">
        <v>256</v>
      </c>
      <c r="G2321" s="1">
        <v>25342</v>
      </c>
      <c r="H2321" s="1">
        <v>40561</v>
      </c>
      <c r="I2321" t="str">
        <f t="shared" si="46"/>
        <v>51</v>
      </c>
      <c r="J2321" t="s">
        <v>471</v>
      </c>
      <c r="K2321" t="s">
        <v>25</v>
      </c>
      <c r="L2321" t="s">
        <v>26</v>
      </c>
      <c r="M2321" t="s">
        <v>27</v>
      </c>
      <c r="N2321" s="1">
        <v>18629</v>
      </c>
      <c r="O2321">
        <v>0</v>
      </c>
      <c r="P2321">
        <v>0</v>
      </c>
      <c r="Q2321" t="s">
        <v>37</v>
      </c>
      <c r="R2321" t="s">
        <v>29</v>
      </c>
      <c r="S2321" t="s">
        <v>138</v>
      </c>
      <c r="T2321" t="s">
        <v>139</v>
      </c>
    </row>
    <row r="2322" spans="1:20" x14ac:dyDescent="0.25">
      <c r="A2322" t="s">
        <v>6062</v>
      </c>
      <c r="B2322" t="str">
        <f>"6967"</f>
        <v>6967</v>
      </c>
      <c r="C2322" t="str">
        <f>"293666967"</f>
        <v>293666967</v>
      </c>
      <c r="D2322" t="s">
        <v>6063</v>
      </c>
      <c r="E2322" t="s">
        <v>4749</v>
      </c>
      <c r="F2322" t="s">
        <v>358</v>
      </c>
      <c r="G2322" s="1">
        <v>25804</v>
      </c>
      <c r="H2322" s="1">
        <v>40561</v>
      </c>
      <c r="I2322" t="str">
        <f t="shared" si="46"/>
        <v>51</v>
      </c>
      <c r="J2322" t="s">
        <v>471</v>
      </c>
      <c r="K2322" t="s">
        <v>25</v>
      </c>
      <c r="L2322" t="s">
        <v>26</v>
      </c>
      <c r="M2322" t="s">
        <v>27</v>
      </c>
      <c r="N2322" s="1">
        <v>18629</v>
      </c>
      <c r="O2322">
        <v>0</v>
      </c>
      <c r="P2322">
        <v>0</v>
      </c>
      <c r="Q2322" t="s">
        <v>37</v>
      </c>
      <c r="R2322" t="s">
        <v>29</v>
      </c>
      <c r="S2322" t="s">
        <v>138</v>
      </c>
      <c r="T2322" t="s">
        <v>139</v>
      </c>
    </row>
    <row r="2323" spans="1:20" x14ac:dyDescent="0.25">
      <c r="A2323" t="s">
        <v>6064</v>
      </c>
      <c r="B2323" t="str">
        <f>"0697"</f>
        <v>0697</v>
      </c>
      <c r="C2323" t="str">
        <f>"281620697"</f>
        <v>281620697</v>
      </c>
      <c r="D2323" t="s">
        <v>4675</v>
      </c>
      <c r="E2323" t="s">
        <v>933</v>
      </c>
      <c r="F2323" t="s">
        <v>165</v>
      </c>
      <c r="G2323" s="1">
        <v>21762</v>
      </c>
      <c r="H2323" s="1">
        <v>40561</v>
      </c>
      <c r="I2323" t="str">
        <f>"42"</f>
        <v>42</v>
      </c>
      <c r="J2323" t="s">
        <v>367</v>
      </c>
      <c r="K2323" t="s">
        <v>25</v>
      </c>
      <c r="L2323" t="s">
        <v>26</v>
      </c>
      <c r="M2323" t="s">
        <v>27</v>
      </c>
      <c r="N2323" s="1">
        <v>18629</v>
      </c>
      <c r="O2323">
        <v>0</v>
      </c>
      <c r="P2323">
        <v>0</v>
      </c>
      <c r="Q2323" t="s">
        <v>28</v>
      </c>
      <c r="R2323" t="s">
        <v>100</v>
      </c>
      <c r="S2323" t="s">
        <v>6065</v>
      </c>
      <c r="T2323" t="s">
        <v>6066</v>
      </c>
    </row>
    <row r="2324" spans="1:20" x14ac:dyDescent="0.25">
      <c r="A2324" t="s">
        <v>6067</v>
      </c>
      <c r="B2324" t="str">
        <f>"5778"</f>
        <v>5778</v>
      </c>
      <c r="C2324" t="str">
        <f>"222525778"</f>
        <v>222525778</v>
      </c>
      <c r="D2324" t="s">
        <v>6068</v>
      </c>
      <c r="E2324" t="s">
        <v>813</v>
      </c>
      <c r="F2324" t="s">
        <v>629</v>
      </c>
      <c r="G2324" s="1">
        <v>20196</v>
      </c>
      <c r="H2324" s="1">
        <v>40561</v>
      </c>
      <c r="I2324" t="str">
        <f t="shared" ref="I2324:I2361" si="47">"51"</f>
        <v>51</v>
      </c>
      <c r="J2324" t="s">
        <v>471</v>
      </c>
      <c r="K2324" t="s">
        <v>25</v>
      </c>
      <c r="L2324" t="s">
        <v>26</v>
      </c>
      <c r="M2324" t="s">
        <v>27</v>
      </c>
      <c r="N2324" s="1">
        <v>18629</v>
      </c>
      <c r="O2324">
        <v>0</v>
      </c>
      <c r="P2324">
        <v>0</v>
      </c>
      <c r="Q2324" t="s">
        <v>37</v>
      </c>
      <c r="R2324" t="s">
        <v>29</v>
      </c>
      <c r="S2324" t="s">
        <v>138</v>
      </c>
      <c r="T2324" t="s">
        <v>139</v>
      </c>
    </row>
    <row r="2325" spans="1:20" x14ac:dyDescent="0.25">
      <c r="A2325" t="s">
        <v>6069</v>
      </c>
      <c r="B2325" t="str">
        <f>"4754"</f>
        <v>4754</v>
      </c>
      <c r="C2325" t="str">
        <f>"270464754"</f>
        <v>270464754</v>
      </c>
      <c r="D2325" t="s">
        <v>6070</v>
      </c>
      <c r="E2325" t="s">
        <v>1442</v>
      </c>
      <c r="F2325" t="s">
        <v>97</v>
      </c>
      <c r="G2325" s="1">
        <v>17690</v>
      </c>
      <c r="H2325" s="1">
        <v>40561</v>
      </c>
      <c r="I2325" t="str">
        <f t="shared" si="47"/>
        <v>51</v>
      </c>
      <c r="J2325" t="s">
        <v>471</v>
      </c>
      <c r="K2325" t="s">
        <v>25</v>
      </c>
      <c r="L2325" t="s">
        <v>26</v>
      </c>
      <c r="M2325" t="s">
        <v>27</v>
      </c>
      <c r="N2325" s="1">
        <v>18629</v>
      </c>
      <c r="O2325">
        <v>0</v>
      </c>
      <c r="P2325">
        <v>0</v>
      </c>
      <c r="Q2325" t="s">
        <v>37</v>
      </c>
      <c r="R2325" t="s">
        <v>51</v>
      </c>
      <c r="S2325" s="2" t="s">
        <v>6071</v>
      </c>
      <c r="T2325" t="s">
        <v>6072</v>
      </c>
    </row>
    <row r="2326" spans="1:20" x14ac:dyDescent="0.25">
      <c r="A2326" t="s">
        <v>6073</v>
      </c>
      <c r="B2326" t="str">
        <f>"2483"</f>
        <v>2483</v>
      </c>
      <c r="C2326" t="str">
        <f>"281882483"</f>
        <v>281882483</v>
      </c>
      <c r="D2326" t="s">
        <v>6074</v>
      </c>
      <c r="E2326" t="s">
        <v>2152</v>
      </c>
      <c r="G2326" s="1">
        <v>26669</v>
      </c>
      <c r="H2326" s="1">
        <v>40561</v>
      </c>
      <c r="I2326" t="str">
        <f t="shared" si="47"/>
        <v>51</v>
      </c>
      <c r="J2326" t="s">
        <v>471</v>
      </c>
      <c r="K2326" t="s">
        <v>25</v>
      </c>
      <c r="L2326" t="s">
        <v>26</v>
      </c>
      <c r="M2326" t="s">
        <v>27</v>
      </c>
      <c r="N2326" s="1">
        <v>18629</v>
      </c>
      <c r="O2326">
        <v>0</v>
      </c>
      <c r="P2326">
        <v>0</v>
      </c>
      <c r="Q2326" t="s">
        <v>37</v>
      </c>
      <c r="R2326" t="s">
        <v>29</v>
      </c>
      <c r="S2326" t="s">
        <v>878</v>
      </c>
      <c r="T2326" t="s">
        <v>879</v>
      </c>
    </row>
    <row r="2327" spans="1:20" x14ac:dyDescent="0.25">
      <c r="A2327" t="s">
        <v>6075</v>
      </c>
      <c r="B2327" t="str">
        <f>"0832"</f>
        <v>0832</v>
      </c>
      <c r="C2327" t="str">
        <f>"300540832"</f>
        <v>300540832</v>
      </c>
      <c r="D2327" t="s">
        <v>6076</v>
      </c>
      <c r="E2327" t="s">
        <v>35</v>
      </c>
      <c r="F2327" t="s">
        <v>97</v>
      </c>
      <c r="G2327" s="1">
        <v>25441</v>
      </c>
      <c r="H2327" s="1">
        <v>40561</v>
      </c>
      <c r="I2327" t="str">
        <f t="shared" si="47"/>
        <v>51</v>
      </c>
      <c r="J2327" t="s">
        <v>471</v>
      </c>
      <c r="K2327" t="s">
        <v>25</v>
      </c>
      <c r="L2327" t="s">
        <v>26</v>
      </c>
      <c r="M2327" t="s">
        <v>27</v>
      </c>
      <c r="N2327" s="1">
        <v>18629</v>
      </c>
      <c r="O2327">
        <v>0</v>
      </c>
      <c r="P2327">
        <v>0</v>
      </c>
      <c r="Q2327" t="s">
        <v>28</v>
      </c>
      <c r="R2327" t="s">
        <v>71</v>
      </c>
      <c r="S2327" t="s">
        <v>600</v>
      </c>
      <c r="T2327" t="s">
        <v>601</v>
      </c>
    </row>
    <row r="2328" spans="1:20" x14ac:dyDescent="0.25">
      <c r="A2328" t="s">
        <v>6077</v>
      </c>
      <c r="B2328" t="str">
        <f>"5479"</f>
        <v>5479</v>
      </c>
      <c r="C2328" t="str">
        <f>"273785479"</f>
        <v>273785479</v>
      </c>
      <c r="D2328" t="s">
        <v>6078</v>
      </c>
      <c r="E2328" t="s">
        <v>6079</v>
      </c>
      <c r="F2328" t="s">
        <v>556</v>
      </c>
      <c r="G2328" s="1">
        <v>21704</v>
      </c>
      <c r="H2328" s="1">
        <v>40561</v>
      </c>
      <c r="I2328" t="str">
        <f t="shared" si="47"/>
        <v>51</v>
      </c>
      <c r="J2328" t="s">
        <v>471</v>
      </c>
      <c r="K2328" t="s">
        <v>25</v>
      </c>
      <c r="L2328" t="s">
        <v>26</v>
      </c>
      <c r="M2328" t="s">
        <v>27</v>
      </c>
      <c r="N2328" s="1">
        <v>18629</v>
      </c>
      <c r="O2328">
        <v>0</v>
      </c>
      <c r="P2328">
        <v>0</v>
      </c>
      <c r="Q2328" t="s">
        <v>28</v>
      </c>
      <c r="R2328" t="s">
        <v>29</v>
      </c>
      <c r="S2328" t="s">
        <v>3763</v>
      </c>
      <c r="T2328" t="s">
        <v>3764</v>
      </c>
    </row>
    <row r="2329" spans="1:20" x14ac:dyDescent="0.25">
      <c r="A2329" t="s">
        <v>6080</v>
      </c>
      <c r="B2329" t="str">
        <f>"0545"</f>
        <v>0545</v>
      </c>
      <c r="C2329" t="str">
        <f>"293720545"</f>
        <v>293720545</v>
      </c>
      <c r="D2329" t="s">
        <v>1156</v>
      </c>
      <c r="E2329" t="s">
        <v>5446</v>
      </c>
      <c r="F2329" t="s">
        <v>264</v>
      </c>
      <c r="G2329" s="1">
        <v>24835</v>
      </c>
      <c r="H2329" s="1">
        <v>40561</v>
      </c>
      <c r="I2329" t="str">
        <f t="shared" si="47"/>
        <v>51</v>
      </c>
      <c r="J2329" t="s">
        <v>471</v>
      </c>
      <c r="K2329" t="s">
        <v>25</v>
      </c>
      <c r="L2329" t="s">
        <v>26</v>
      </c>
      <c r="M2329" t="s">
        <v>27</v>
      </c>
      <c r="N2329" s="1">
        <v>18629</v>
      </c>
      <c r="O2329">
        <v>0</v>
      </c>
      <c r="P2329">
        <v>0</v>
      </c>
      <c r="Q2329" t="s">
        <v>37</v>
      </c>
      <c r="R2329" t="s">
        <v>29</v>
      </c>
      <c r="S2329" t="s">
        <v>1555</v>
      </c>
      <c r="T2329" t="s">
        <v>1556</v>
      </c>
    </row>
    <row r="2330" spans="1:20" x14ac:dyDescent="0.25">
      <c r="A2330" t="s">
        <v>6081</v>
      </c>
      <c r="B2330" t="str">
        <f>"8368"</f>
        <v>8368</v>
      </c>
      <c r="C2330" t="str">
        <f>"215908368"</f>
        <v>215908368</v>
      </c>
      <c r="D2330" t="s">
        <v>1156</v>
      </c>
      <c r="E2330" t="s">
        <v>2060</v>
      </c>
      <c r="F2330" t="s">
        <v>35</v>
      </c>
      <c r="G2330" s="1">
        <v>28446</v>
      </c>
      <c r="H2330" s="1">
        <v>40561</v>
      </c>
      <c r="I2330" t="str">
        <f t="shared" si="47"/>
        <v>51</v>
      </c>
      <c r="J2330" t="s">
        <v>471</v>
      </c>
      <c r="K2330" t="s">
        <v>25</v>
      </c>
      <c r="L2330" t="s">
        <v>26</v>
      </c>
      <c r="M2330" t="s">
        <v>27</v>
      </c>
      <c r="N2330" s="1">
        <v>18629</v>
      </c>
      <c r="O2330">
        <v>0</v>
      </c>
      <c r="P2330">
        <v>0</v>
      </c>
      <c r="Q2330" t="s">
        <v>28</v>
      </c>
      <c r="R2330" t="s">
        <v>29</v>
      </c>
      <c r="S2330" t="s">
        <v>1490</v>
      </c>
      <c r="T2330" t="s">
        <v>1491</v>
      </c>
    </row>
    <row r="2331" spans="1:20" x14ac:dyDescent="0.25">
      <c r="A2331" t="s">
        <v>6082</v>
      </c>
      <c r="B2331" t="str">
        <f>"6131"</f>
        <v>6131</v>
      </c>
      <c r="C2331" t="str">
        <f>"102346131"</f>
        <v>102346131</v>
      </c>
      <c r="D2331" t="s">
        <v>6083</v>
      </c>
      <c r="E2331" t="s">
        <v>106</v>
      </c>
      <c r="F2331" t="s">
        <v>26</v>
      </c>
      <c r="G2331" s="1">
        <v>15953</v>
      </c>
      <c r="H2331" s="1">
        <v>40561</v>
      </c>
      <c r="I2331" t="str">
        <f t="shared" si="47"/>
        <v>51</v>
      </c>
      <c r="J2331" t="s">
        <v>471</v>
      </c>
      <c r="K2331" t="s">
        <v>25</v>
      </c>
      <c r="L2331" t="s">
        <v>26</v>
      </c>
      <c r="M2331" t="s">
        <v>27</v>
      </c>
      <c r="N2331" s="1">
        <v>18629</v>
      </c>
      <c r="O2331">
        <v>0</v>
      </c>
      <c r="P2331">
        <v>0</v>
      </c>
      <c r="Q2331" t="s">
        <v>28</v>
      </c>
      <c r="R2331" t="s">
        <v>71</v>
      </c>
      <c r="S2331" t="s">
        <v>180</v>
      </c>
      <c r="T2331" t="s">
        <v>181</v>
      </c>
    </row>
    <row r="2332" spans="1:20" x14ac:dyDescent="0.25">
      <c r="A2332" t="s">
        <v>6084</v>
      </c>
      <c r="B2332" t="str">
        <f>"0028"</f>
        <v>0028</v>
      </c>
      <c r="C2332" t="str">
        <f>"287660028"</f>
        <v>287660028</v>
      </c>
      <c r="D2332" t="s">
        <v>6085</v>
      </c>
      <c r="E2332" t="s">
        <v>2483</v>
      </c>
      <c r="F2332" t="s">
        <v>28</v>
      </c>
      <c r="G2332" s="1">
        <v>22445</v>
      </c>
      <c r="H2332" s="1">
        <v>40561</v>
      </c>
      <c r="I2332" t="str">
        <f t="shared" si="47"/>
        <v>51</v>
      </c>
      <c r="J2332" t="s">
        <v>471</v>
      </c>
      <c r="K2332" t="s">
        <v>25</v>
      </c>
      <c r="L2332" t="s">
        <v>26</v>
      </c>
      <c r="M2332" t="s">
        <v>27</v>
      </c>
      <c r="N2332" s="1">
        <v>18629</v>
      </c>
      <c r="O2332">
        <v>0</v>
      </c>
      <c r="P2332">
        <v>0</v>
      </c>
      <c r="Q2332" t="s">
        <v>37</v>
      </c>
      <c r="R2332" t="s">
        <v>29</v>
      </c>
      <c r="S2332" t="s">
        <v>2732</v>
      </c>
      <c r="T2332" t="s">
        <v>2733</v>
      </c>
    </row>
    <row r="2333" spans="1:20" x14ac:dyDescent="0.25">
      <c r="A2333" t="s">
        <v>6086</v>
      </c>
      <c r="B2333" t="str">
        <f>"8782"</f>
        <v>8782</v>
      </c>
      <c r="C2333" t="str">
        <f>"278928782"</f>
        <v>278928782</v>
      </c>
      <c r="D2333" t="s">
        <v>6087</v>
      </c>
      <c r="E2333" t="s">
        <v>1026</v>
      </c>
      <c r="F2333" t="s">
        <v>6088</v>
      </c>
      <c r="G2333" s="1">
        <v>30835</v>
      </c>
      <c r="H2333" s="1">
        <v>40561</v>
      </c>
      <c r="I2333" t="str">
        <f t="shared" si="47"/>
        <v>51</v>
      </c>
      <c r="J2333" t="s">
        <v>471</v>
      </c>
      <c r="K2333" t="s">
        <v>25</v>
      </c>
      <c r="L2333" t="s">
        <v>26</v>
      </c>
      <c r="M2333" t="s">
        <v>27</v>
      </c>
      <c r="N2333" s="1">
        <v>18629</v>
      </c>
      <c r="O2333">
        <v>0</v>
      </c>
      <c r="P2333">
        <v>0</v>
      </c>
      <c r="Q2333" t="s">
        <v>37</v>
      </c>
      <c r="R2333" t="s">
        <v>29</v>
      </c>
      <c r="S2333" t="s">
        <v>138</v>
      </c>
      <c r="T2333" t="s">
        <v>139</v>
      </c>
    </row>
    <row r="2334" spans="1:20" x14ac:dyDescent="0.25">
      <c r="A2334" t="s">
        <v>6089</v>
      </c>
      <c r="B2334" t="str">
        <f>"5708"</f>
        <v>5708</v>
      </c>
      <c r="C2334" t="str">
        <f>"290965708"</f>
        <v>290965708</v>
      </c>
      <c r="D2334" t="s">
        <v>6090</v>
      </c>
      <c r="E2334" t="s">
        <v>1412</v>
      </c>
      <c r="F2334" t="s">
        <v>190</v>
      </c>
      <c r="G2334" s="1">
        <v>31652</v>
      </c>
      <c r="H2334" s="1">
        <v>40561</v>
      </c>
      <c r="I2334" t="str">
        <f t="shared" si="47"/>
        <v>51</v>
      </c>
      <c r="J2334" t="s">
        <v>471</v>
      </c>
      <c r="K2334" t="s">
        <v>25</v>
      </c>
      <c r="L2334" t="s">
        <v>26</v>
      </c>
      <c r="M2334" t="s">
        <v>27</v>
      </c>
      <c r="N2334" s="1">
        <v>18629</v>
      </c>
      <c r="O2334">
        <v>0</v>
      </c>
      <c r="P2334">
        <v>0</v>
      </c>
      <c r="Q2334" t="s">
        <v>28</v>
      </c>
      <c r="R2334" t="s">
        <v>71</v>
      </c>
      <c r="S2334" t="s">
        <v>1392</v>
      </c>
      <c r="T2334" t="s">
        <v>1393</v>
      </c>
    </row>
    <row r="2335" spans="1:20" x14ac:dyDescent="0.25">
      <c r="A2335" t="s">
        <v>6091</v>
      </c>
      <c r="B2335" t="str">
        <f>"3933"</f>
        <v>3933</v>
      </c>
      <c r="C2335" t="str">
        <f>"279783933"</f>
        <v>279783933</v>
      </c>
      <c r="D2335" t="s">
        <v>6092</v>
      </c>
      <c r="E2335" t="s">
        <v>1666</v>
      </c>
      <c r="F2335" t="s">
        <v>97</v>
      </c>
      <c r="G2335" s="1">
        <v>24690</v>
      </c>
      <c r="H2335" s="1">
        <v>40561</v>
      </c>
      <c r="I2335" t="str">
        <f t="shared" si="47"/>
        <v>51</v>
      </c>
      <c r="J2335" t="s">
        <v>471</v>
      </c>
      <c r="K2335" t="s">
        <v>25</v>
      </c>
      <c r="L2335" t="s">
        <v>26</v>
      </c>
      <c r="M2335" t="s">
        <v>27</v>
      </c>
      <c r="N2335" s="1">
        <v>18629</v>
      </c>
      <c r="O2335">
        <v>0</v>
      </c>
      <c r="P2335">
        <v>0</v>
      </c>
      <c r="Q2335" t="s">
        <v>37</v>
      </c>
      <c r="R2335" t="s">
        <v>29</v>
      </c>
      <c r="S2335" t="s">
        <v>138</v>
      </c>
      <c r="T2335" t="s">
        <v>139</v>
      </c>
    </row>
    <row r="2336" spans="1:20" x14ac:dyDescent="0.25">
      <c r="A2336" t="s">
        <v>6093</v>
      </c>
      <c r="B2336" t="str">
        <f>"4923"</f>
        <v>4923</v>
      </c>
      <c r="C2336" t="str">
        <f>"272504923"</f>
        <v>272504923</v>
      </c>
      <c r="D2336" t="s">
        <v>6094</v>
      </c>
      <c r="E2336" t="s">
        <v>6095</v>
      </c>
      <c r="G2336" s="1">
        <v>21826</v>
      </c>
      <c r="H2336" s="1">
        <v>40561</v>
      </c>
      <c r="I2336" t="str">
        <f t="shared" si="47"/>
        <v>51</v>
      </c>
      <c r="J2336" t="s">
        <v>471</v>
      </c>
      <c r="K2336" t="s">
        <v>25</v>
      </c>
      <c r="L2336" t="s">
        <v>26</v>
      </c>
      <c r="M2336" t="s">
        <v>27</v>
      </c>
      <c r="N2336" s="1">
        <v>18629</v>
      </c>
      <c r="O2336">
        <v>0</v>
      </c>
      <c r="P2336">
        <v>0</v>
      </c>
      <c r="Q2336" t="s">
        <v>28</v>
      </c>
      <c r="R2336" t="s">
        <v>71</v>
      </c>
      <c r="S2336" t="s">
        <v>808</v>
      </c>
      <c r="T2336" t="s">
        <v>809</v>
      </c>
    </row>
    <row r="2337" spans="1:20" x14ac:dyDescent="0.25">
      <c r="A2337" t="s">
        <v>6096</v>
      </c>
      <c r="B2337" t="str">
        <f>"0659"</f>
        <v>0659</v>
      </c>
      <c r="C2337" t="str">
        <f>"132820659"</f>
        <v>132820659</v>
      </c>
      <c r="D2337" t="s">
        <v>1216</v>
      </c>
      <c r="E2337" t="s">
        <v>184</v>
      </c>
      <c r="F2337" t="s">
        <v>3318</v>
      </c>
      <c r="G2337" s="1">
        <v>19772</v>
      </c>
      <c r="H2337" s="1">
        <v>40561</v>
      </c>
      <c r="I2337" t="str">
        <f t="shared" si="47"/>
        <v>51</v>
      </c>
      <c r="J2337" t="s">
        <v>471</v>
      </c>
      <c r="K2337" t="s">
        <v>25</v>
      </c>
      <c r="L2337" t="s">
        <v>26</v>
      </c>
      <c r="M2337" t="s">
        <v>27</v>
      </c>
      <c r="N2337" s="1">
        <v>18629</v>
      </c>
      <c r="O2337">
        <v>0</v>
      </c>
      <c r="P2337">
        <v>0</v>
      </c>
      <c r="Q2337" t="s">
        <v>37</v>
      </c>
      <c r="R2337" t="s">
        <v>51</v>
      </c>
      <c r="S2337" t="s">
        <v>3017</v>
      </c>
      <c r="T2337" t="s">
        <v>3018</v>
      </c>
    </row>
    <row r="2338" spans="1:20" x14ac:dyDescent="0.25">
      <c r="A2338" t="s">
        <v>6097</v>
      </c>
      <c r="B2338" t="str">
        <f>"5491"</f>
        <v>5491</v>
      </c>
      <c r="C2338" t="str">
        <f>"300585491"</f>
        <v>300585491</v>
      </c>
      <c r="D2338" t="s">
        <v>1216</v>
      </c>
      <c r="E2338" t="s">
        <v>6098</v>
      </c>
      <c r="F2338" t="s">
        <v>28</v>
      </c>
      <c r="G2338" s="1">
        <v>21619</v>
      </c>
      <c r="H2338" s="1">
        <v>40561</v>
      </c>
      <c r="I2338" t="str">
        <f t="shared" si="47"/>
        <v>51</v>
      </c>
      <c r="J2338" t="s">
        <v>471</v>
      </c>
      <c r="K2338" t="s">
        <v>25</v>
      </c>
      <c r="L2338" t="s">
        <v>26</v>
      </c>
      <c r="M2338" t="s">
        <v>27</v>
      </c>
      <c r="N2338" s="1">
        <v>18629</v>
      </c>
      <c r="O2338">
        <v>0</v>
      </c>
      <c r="P2338">
        <v>0</v>
      </c>
      <c r="Q2338" t="s">
        <v>37</v>
      </c>
      <c r="R2338" t="s">
        <v>29</v>
      </c>
      <c r="S2338" t="s">
        <v>138</v>
      </c>
      <c r="T2338" t="s">
        <v>139</v>
      </c>
    </row>
    <row r="2339" spans="1:20" x14ac:dyDescent="0.25">
      <c r="A2339" t="s">
        <v>6099</v>
      </c>
      <c r="B2339" t="str">
        <f>"3794"</f>
        <v>3794</v>
      </c>
      <c r="C2339" t="str">
        <f>"676053794"</f>
        <v>676053794</v>
      </c>
      <c r="D2339" t="s">
        <v>6100</v>
      </c>
      <c r="E2339" t="s">
        <v>6101</v>
      </c>
      <c r="F2339" t="s">
        <v>264</v>
      </c>
      <c r="G2339" s="1">
        <v>22945</v>
      </c>
      <c r="H2339" s="1">
        <v>40561</v>
      </c>
      <c r="I2339" t="str">
        <f t="shared" si="47"/>
        <v>51</v>
      </c>
      <c r="J2339" t="s">
        <v>471</v>
      </c>
      <c r="K2339" t="s">
        <v>25</v>
      </c>
      <c r="L2339" t="s">
        <v>26</v>
      </c>
      <c r="M2339" t="s">
        <v>27</v>
      </c>
      <c r="N2339" s="1">
        <v>18629</v>
      </c>
      <c r="O2339">
        <v>0</v>
      </c>
      <c r="P2339">
        <v>0</v>
      </c>
      <c r="Q2339" t="s">
        <v>28</v>
      </c>
      <c r="R2339" t="s">
        <v>71</v>
      </c>
      <c r="S2339" t="s">
        <v>790</v>
      </c>
      <c r="T2339" t="s">
        <v>791</v>
      </c>
    </row>
    <row r="2340" spans="1:20" x14ac:dyDescent="0.25">
      <c r="A2340" t="s">
        <v>6102</v>
      </c>
      <c r="B2340" t="str">
        <f>"9337"</f>
        <v>9337</v>
      </c>
      <c r="C2340" t="str">
        <f>"280409337"</f>
        <v>280409337</v>
      </c>
      <c r="D2340" t="s">
        <v>6103</v>
      </c>
      <c r="E2340" t="s">
        <v>470</v>
      </c>
      <c r="F2340" t="s">
        <v>2110</v>
      </c>
      <c r="G2340" s="1">
        <v>16048</v>
      </c>
      <c r="H2340" s="1">
        <v>40561</v>
      </c>
      <c r="I2340" t="str">
        <f t="shared" si="47"/>
        <v>51</v>
      </c>
      <c r="J2340" t="s">
        <v>471</v>
      </c>
      <c r="K2340" t="s">
        <v>25</v>
      </c>
      <c r="L2340" t="s">
        <v>26</v>
      </c>
      <c r="M2340" t="s">
        <v>27</v>
      </c>
      <c r="N2340" s="1">
        <v>18629</v>
      </c>
      <c r="O2340">
        <v>0</v>
      </c>
      <c r="P2340">
        <v>0</v>
      </c>
      <c r="Q2340" t="s">
        <v>37</v>
      </c>
      <c r="R2340" t="s">
        <v>71</v>
      </c>
      <c r="S2340" t="s">
        <v>790</v>
      </c>
      <c r="T2340" t="s">
        <v>791</v>
      </c>
    </row>
    <row r="2341" spans="1:20" x14ac:dyDescent="0.25">
      <c r="A2341" t="s">
        <v>6104</v>
      </c>
      <c r="B2341" t="str">
        <f>"6717"</f>
        <v>6717</v>
      </c>
      <c r="C2341" t="str">
        <f>"062506717"</f>
        <v>062506717</v>
      </c>
      <c r="D2341" t="s">
        <v>6105</v>
      </c>
      <c r="E2341" t="s">
        <v>1287</v>
      </c>
      <c r="G2341" s="1">
        <v>20858</v>
      </c>
      <c r="H2341" s="1">
        <v>40561</v>
      </c>
      <c r="I2341" t="str">
        <f t="shared" si="47"/>
        <v>51</v>
      </c>
      <c r="J2341" t="s">
        <v>471</v>
      </c>
      <c r="K2341" t="s">
        <v>25</v>
      </c>
      <c r="L2341" t="s">
        <v>26</v>
      </c>
      <c r="M2341" t="s">
        <v>27</v>
      </c>
      <c r="N2341" s="1">
        <v>18629</v>
      </c>
      <c r="O2341">
        <v>0</v>
      </c>
      <c r="P2341">
        <v>0</v>
      </c>
      <c r="Q2341" t="s">
        <v>37</v>
      </c>
      <c r="R2341" t="s">
        <v>29</v>
      </c>
      <c r="S2341" t="s">
        <v>138</v>
      </c>
      <c r="T2341" t="s">
        <v>139</v>
      </c>
    </row>
    <row r="2342" spans="1:20" x14ac:dyDescent="0.25">
      <c r="A2342" t="s">
        <v>6106</v>
      </c>
      <c r="B2342" t="str">
        <f>"1906"</f>
        <v>1906</v>
      </c>
      <c r="C2342" t="str">
        <f>"291741906"</f>
        <v>291741906</v>
      </c>
      <c r="D2342" t="s">
        <v>6107</v>
      </c>
      <c r="E2342" t="s">
        <v>194</v>
      </c>
      <c r="F2342" t="s">
        <v>470</v>
      </c>
      <c r="G2342" s="1">
        <v>23328</v>
      </c>
      <c r="H2342" s="1">
        <v>40561</v>
      </c>
      <c r="I2342" t="str">
        <f t="shared" si="47"/>
        <v>51</v>
      </c>
      <c r="J2342" t="s">
        <v>471</v>
      </c>
      <c r="K2342" t="s">
        <v>25</v>
      </c>
      <c r="L2342" t="s">
        <v>26</v>
      </c>
      <c r="M2342" t="s">
        <v>27</v>
      </c>
      <c r="N2342" s="1">
        <v>18629</v>
      </c>
      <c r="O2342">
        <v>0</v>
      </c>
      <c r="P2342">
        <v>0</v>
      </c>
      <c r="Q2342" t="s">
        <v>37</v>
      </c>
      <c r="R2342" t="s">
        <v>71</v>
      </c>
      <c r="S2342" t="s">
        <v>770</v>
      </c>
      <c r="T2342" t="s">
        <v>771</v>
      </c>
    </row>
    <row r="2343" spans="1:20" x14ac:dyDescent="0.25">
      <c r="A2343" t="s">
        <v>6108</v>
      </c>
      <c r="B2343" t="str">
        <f>"7651"</f>
        <v>7651</v>
      </c>
      <c r="C2343" t="str">
        <f>"296687651"</f>
        <v>296687651</v>
      </c>
      <c r="D2343" t="s">
        <v>6109</v>
      </c>
      <c r="E2343" t="s">
        <v>2014</v>
      </c>
      <c r="F2343" t="s">
        <v>329</v>
      </c>
      <c r="G2343" s="1">
        <v>22614</v>
      </c>
      <c r="H2343" s="1">
        <v>40561</v>
      </c>
      <c r="I2343" t="str">
        <f t="shared" si="47"/>
        <v>51</v>
      </c>
      <c r="J2343" t="s">
        <v>471</v>
      </c>
      <c r="K2343" t="s">
        <v>25</v>
      </c>
      <c r="L2343" t="s">
        <v>26</v>
      </c>
      <c r="M2343" t="s">
        <v>27</v>
      </c>
      <c r="N2343" s="1">
        <v>18629</v>
      </c>
      <c r="O2343">
        <v>0</v>
      </c>
      <c r="P2343">
        <v>0</v>
      </c>
      <c r="Q2343" t="s">
        <v>37</v>
      </c>
      <c r="R2343" t="s">
        <v>29</v>
      </c>
      <c r="S2343" t="s">
        <v>138</v>
      </c>
      <c r="T2343" t="s">
        <v>139</v>
      </c>
    </row>
    <row r="2344" spans="1:20" x14ac:dyDescent="0.25">
      <c r="A2344" t="s">
        <v>6110</v>
      </c>
      <c r="B2344" t="str">
        <f>"6300"</f>
        <v>6300</v>
      </c>
      <c r="C2344" t="str">
        <f>"211566300"</f>
        <v>211566300</v>
      </c>
      <c r="D2344" t="s">
        <v>5384</v>
      </c>
      <c r="E2344" t="s">
        <v>299</v>
      </c>
      <c r="F2344" t="s">
        <v>1284</v>
      </c>
      <c r="G2344" s="1">
        <v>25382</v>
      </c>
      <c r="H2344" s="1">
        <v>40561</v>
      </c>
      <c r="I2344" t="str">
        <f t="shared" si="47"/>
        <v>51</v>
      </c>
      <c r="J2344" t="s">
        <v>471</v>
      </c>
      <c r="K2344" t="s">
        <v>25</v>
      </c>
      <c r="L2344" t="s">
        <v>26</v>
      </c>
      <c r="M2344" t="s">
        <v>27</v>
      </c>
      <c r="N2344" s="1">
        <v>18629</v>
      </c>
      <c r="O2344">
        <v>0</v>
      </c>
      <c r="P2344">
        <v>0</v>
      </c>
      <c r="Q2344" t="s">
        <v>37</v>
      </c>
      <c r="R2344" t="s">
        <v>51</v>
      </c>
      <c r="S2344" t="s">
        <v>717</v>
      </c>
      <c r="T2344" t="s">
        <v>718</v>
      </c>
    </row>
    <row r="2345" spans="1:20" x14ac:dyDescent="0.25">
      <c r="A2345" t="s">
        <v>6111</v>
      </c>
      <c r="B2345" t="str">
        <f>"0468"</f>
        <v>0468</v>
      </c>
      <c r="C2345" t="str">
        <f>"284840468"</f>
        <v>284840468</v>
      </c>
      <c r="D2345" t="s">
        <v>1277</v>
      </c>
      <c r="E2345" t="s">
        <v>122</v>
      </c>
      <c r="F2345" t="s">
        <v>93</v>
      </c>
      <c r="G2345" s="1">
        <v>30139</v>
      </c>
      <c r="H2345" s="1">
        <v>40561</v>
      </c>
      <c r="I2345" t="str">
        <f t="shared" si="47"/>
        <v>51</v>
      </c>
      <c r="J2345" t="s">
        <v>471</v>
      </c>
      <c r="K2345" t="s">
        <v>25</v>
      </c>
      <c r="L2345" t="s">
        <v>26</v>
      </c>
      <c r="M2345" t="s">
        <v>27</v>
      </c>
      <c r="N2345" s="1">
        <v>18629</v>
      </c>
      <c r="O2345">
        <v>0</v>
      </c>
      <c r="P2345">
        <v>0</v>
      </c>
      <c r="Q2345" t="s">
        <v>28</v>
      </c>
      <c r="R2345" t="s">
        <v>29</v>
      </c>
      <c r="S2345" t="s">
        <v>1555</v>
      </c>
      <c r="T2345" t="s">
        <v>1556</v>
      </c>
    </row>
    <row r="2346" spans="1:20" x14ac:dyDescent="0.25">
      <c r="A2346" t="s">
        <v>6112</v>
      </c>
      <c r="B2346" t="str">
        <f>"0086"</f>
        <v>0086</v>
      </c>
      <c r="C2346" t="str">
        <f>"277640086"</f>
        <v>277640086</v>
      </c>
      <c r="D2346" t="s">
        <v>6113</v>
      </c>
      <c r="E2346" t="s">
        <v>109</v>
      </c>
      <c r="F2346" t="s">
        <v>358</v>
      </c>
      <c r="G2346" s="1">
        <v>25575</v>
      </c>
      <c r="H2346" s="1">
        <v>40561</v>
      </c>
      <c r="I2346" t="str">
        <f t="shared" si="47"/>
        <v>51</v>
      </c>
      <c r="J2346" t="s">
        <v>471</v>
      </c>
      <c r="K2346" t="s">
        <v>25</v>
      </c>
      <c r="L2346" t="s">
        <v>26</v>
      </c>
      <c r="M2346" t="s">
        <v>27</v>
      </c>
      <c r="N2346" s="1">
        <v>18629</v>
      </c>
      <c r="O2346">
        <v>0</v>
      </c>
      <c r="P2346">
        <v>0</v>
      </c>
      <c r="Q2346" t="s">
        <v>37</v>
      </c>
      <c r="R2346" t="s">
        <v>29</v>
      </c>
      <c r="S2346" t="s">
        <v>138</v>
      </c>
      <c r="T2346" t="s">
        <v>139</v>
      </c>
    </row>
    <row r="2347" spans="1:20" x14ac:dyDescent="0.25">
      <c r="A2347" t="s">
        <v>6114</v>
      </c>
      <c r="B2347" t="str">
        <f>"7524"</f>
        <v>7524</v>
      </c>
      <c r="C2347" t="str">
        <f>"304747524"</f>
        <v>304747524</v>
      </c>
      <c r="D2347" t="s">
        <v>1279</v>
      </c>
      <c r="E2347" t="s">
        <v>2267</v>
      </c>
      <c r="F2347" t="s">
        <v>28</v>
      </c>
      <c r="G2347" s="1">
        <v>21479</v>
      </c>
      <c r="H2347" s="1">
        <v>40561</v>
      </c>
      <c r="I2347" t="str">
        <f t="shared" si="47"/>
        <v>51</v>
      </c>
      <c r="J2347" t="s">
        <v>471</v>
      </c>
      <c r="K2347" t="s">
        <v>25</v>
      </c>
      <c r="L2347" t="s">
        <v>26</v>
      </c>
      <c r="M2347" t="s">
        <v>27</v>
      </c>
      <c r="N2347" s="1">
        <v>18629</v>
      </c>
      <c r="O2347">
        <v>0</v>
      </c>
      <c r="P2347">
        <v>0</v>
      </c>
      <c r="Q2347" t="s">
        <v>28</v>
      </c>
      <c r="R2347" t="s">
        <v>71</v>
      </c>
      <c r="S2347" t="s">
        <v>305</v>
      </c>
      <c r="T2347" t="s">
        <v>306</v>
      </c>
    </row>
    <row r="2348" spans="1:20" x14ac:dyDescent="0.25">
      <c r="A2348" t="s">
        <v>6115</v>
      </c>
      <c r="B2348" t="str">
        <f>"9305"</f>
        <v>9305</v>
      </c>
      <c r="C2348" t="str">
        <f>"284429305"</f>
        <v>284429305</v>
      </c>
      <c r="D2348" t="s">
        <v>1279</v>
      </c>
      <c r="E2348" t="s">
        <v>675</v>
      </c>
      <c r="F2348" t="s">
        <v>93</v>
      </c>
      <c r="G2348" s="1">
        <v>16648</v>
      </c>
      <c r="H2348" s="1">
        <v>40561</v>
      </c>
      <c r="I2348" t="str">
        <f t="shared" si="47"/>
        <v>51</v>
      </c>
      <c r="J2348" t="s">
        <v>471</v>
      </c>
      <c r="K2348" t="s">
        <v>25</v>
      </c>
      <c r="L2348" t="s">
        <v>26</v>
      </c>
      <c r="M2348" t="s">
        <v>27</v>
      </c>
      <c r="N2348" s="1">
        <v>18629</v>
      </c>
      <c r="O2348">
        <v>0</v>
      </c>
      <c r="P2348">
        <v>0</v>
      </c>
      <c r="Q2348" t="s">
        <v>37</v>
      </c>
      <c r="R2348" t="s">
        <v>71</v>
      </c>
      <c r="S2348" t="s">
        <v>857</v>
      </c>
      <c r="T2348" t="s">
        <v>858</v>
      </c>
    </row>
    <row r="2349" spans="1:20" x14ac:dyDescent="0.25">
      <c r="A2349" t="s">
        <v>6116</v>
      </c>
      <c r="B2349" t="str">
        <f>"7476"</f>
        <v>7476</v>
      </c>
      <c r="C2349" t="str">
        <f>"295767476"</f>
        <v>295767476</v>
      </c>
      <c r="D2349" t="s">
        <v>6117</v>
      </c>
      <c r="E2349" t="s">
        <v>1071</v>
      </c>
      <c r="F2349" t="s">
        <v>219</v>
      </c>
      <c r="G2349" s="1">
        <v>29237</v>
      </c>
      <c r="H2349" s="1">
        <v>40561</v>
      </c>
      <c r="I2349" t="str">
        <f t="shared" si="47"/>
        <v>51</v>
      </c>
      <c r="J2349" t="s">
        <v>471</v>
      </c>
      <c r="K2349" t="s">
        <v>25</v>
      </c>
      <c r="L2349" t="s">
        <v>26</v>
      </c>
      <c r="M2349" t="s">
        <v>27</v>
      </c>
      <c r="N2349" s="1">
        <v>18629</v>
      </c>
      <c r="O2349">
        <v>0</v>
      </c>
      <c r="P2349">
        <v>0</v>
      </c>
      <c r="Q2349" t="s">
        <v>37</v>
      </c>
      <c r="R2349" t="s">
        <v>71</v>
      </c>
      <c r="S2349" t="s">
        <v>157</v>
      </c>
      <c r="T2349" t="s">
        <v>158</v>
      </c>
    </row>
    <row r="2350" spans="1:20" x14ac:dyDescent="0.25">
      <c r="A2350" t="s">
        <v>6118</v>
      </c>
      <c r="B2350" t="str">
        <f>"8866"</f>
        <v>8866</v>
      </c>
      <c r="C2350" t="str">
        <f>"571788866"</f>
        <v>571788866</v>
      </c>
      <c r="D2350" t="s">
        <v>6119</v>
      </c>
      <c r="E2350" t="s">
        <v>1450</v>
      </c>
      <c r="F2350" t="s">
        <v>165</v>
      </c>
      <c r="G2350" s="1">
        <v>17844</v>
      </c>
      <c r="H2350" s="1">
        <v>40561</v>
      </c>
      <c r="I2350" t="str">
        <f t="shared" si="47"/>
        <v>51</v>
      </c>
      <c r="J2350" t="s">
        <v>471</v>
      </c>
      <c r="K2350" t="s">
        <v>25</v>
      </c>
      <c r="L2350" t="s">
        <v>26</v>
      </c>
      <c r="M2350" t="s">
        <v>27</v>
      </c>
      <c r="N2350" s="1">
        <v>18629</v>
      </c>
      <c r="O2350">
        <v>0</v>
      </c>
      <c r="P2350">
        <v>0</v>
      </c>
      <c r="Q2350" t="s">
        <v>37</v>
      </c>
      <c r="R2350" t="s">
        <v>51</v>
      </c>
      <c r="S2350" s="2" t="s">
        <v>3778</v>
      </c>
      <c r="T2350" t="s">
        <v>3779</v>
      </c>
    </row>
    <row r="2351" spans="1:20" x14ac:dyDescent="0.25">
      <c r="A2351" t="s">
        <v>6120</v>
      </c>
      <c r="B2351" t="str">
        <f>"9481"</f>
        <v>9481</v>
      </c>
      <c r="C2351" t="str">
        <f>"476029481"</f>
        <v>476029481</v>
      </c>
      <c r="D2351" t="s">
        <v>6121</v>
      </c>
      <c r="E2351" t="s">
        <v>4531</v>
      </c>
      <c r="F2351" t="s">
        <v>165</v>
      </c>
      <c r="G2351" s="1">
        <v>28440</v>
      </c>
      <c r="H2351" s="1">
        <v>40561</v>
      </c>
      <c r="I2351" t="str">
        <f t="shared" si="47"/>
        <v>51</v>
      </c>
      <c r="J2351" t="s">
        <v>471</v>
      </c>
      <c r="K2351" t="s">
        <v>25</v>
      </c>
      <c r="L2351" t="s">
        <v>26</v>
      </c>
      <c r="M2351" t="s">
        <v>27</v>
      </c>
      <c r="N2351" s="1">
        <v>18629</v>
      </c>
      <c r="O2351">
        <v>0</v>
      </c>
      <c r="P2351">
        <v>0</v>
      </c>
      <c r="Q2351" t="s">
        <v>28</v>
      </c>
      <c r="R2351" t="s">
        <v>51</v>
      </c>
      <c r="S2351" s="2" t="s">
        <v>2524</v>
      </c>
      <c r="T2351" t="s">
        <v>2525</v>
      </c>
    </row>
    <row r="2352" spans="1:20" x14ac:dyDescent="0.25">
      <c r="A2352" t="s">
        <v>6122</v>
      </c>
      <c r="B2352" t="str">
        <f>"5666"</f>
        <v>5666</v>
      </c>
      <c r="C2352" t="str">
        <f>"529805666"</f>
        <v>529805666</v>
      </c>
      <c r="D2352" t="s">
        <v>4849</v>
      </c>
      <c r="E2352" t="s">
        <v>1907</v>
      </c>
      <c r="F2352" t="s">
        <v>438</v>
      </c>
      <c r="G2352" s="1">
        <v>19026</v>
      </c>
      <c r="H2352" s="1">
        <v>40561</v>
      </c>
      <c r="I2352" t="str">
        <f t="shared" si="47"/>
        <v>51</v>
      </c>
      <c r="J2352" t="s">
        <v>471</v>
      </c>
      <c r="K2352" t="s">
        <v>25</v>
      </c>
      <c r="L2352" t="s">
        <v>26</v>
      </c>
      <c r="M2352" t="s">
        <v>27</v>
      </c>
      <c r="N2352" s="1">
        <v>18629</v>
      </c>
      <c r="O2352">
        <v>0</v>
      </c>
      <c r="P2352">
        <v>0</v>
      </c>
      <c r="Q2352" t="s">
        <v>28</v>
      </c>
      <c r="R2352" t="s">
        <v>71</v>
      </c>
      <c r="S2352" t="s">
        <v>3734</v>
      </c>
      <c r="T2352" t="s">
        <v>3735</v>
      </c>
    </row>
    <row r="2353" spans="1:20" x14ac:dyDescent="0.25">
      <c r="A2353" t="s">
        <v>6123</v>
      </c>
      <c r="B2353" t="str">
        <f>"8096"</f>
        <v>8096</v>
      </c>
      <c r="C2353" t="str">
        <f>"292528096"</f>
        <v>292528096</v>
      </c>
      <c r="D2353" t="s">
        <v>6124</v>
      </c>
      <c r="E2353" t="s">
        <v>3670</v>
      </c>
      <c r="F2353" t="s">
        <v>37</v>
      </c>
      <c r="G2353" s="1">
        <v>19205</v>
      </c>
      <c r="H2353" s="1">
        <v>40561</v>
      </c>
      <c r="I2353" t="str">
        <f t="shared" si="47"/>
        <v>51</v>
      </c>
      <c r="J2353" t="s">
        <v>471</v>
      </c>
      <c r="K2353" t="s">
        <v>25</v>
      </c>
      <c r="L2353" t="s">
        <v>26</v>
      </c>
      <c r="M2353" t="s">
        <v>27</v>
      </c>
      <c r="N2353" s="1">
        <v>18629</v>
      </c>
      <c r="O2353">
        <v>0</v>
      </c>
      <c r="P2353">
        <v>0</v>
      </c>
      <c r="Q2353" t="s">
        <v>37</v>
      </c>
      <c r="R2353" t="s">
        <v>29</v>
      </c>
      <c r="S2353" t="s">
        <v>3719</v>
      </c>
      <c r="T2353" t="s">
        <v>3720</v>
      </c>
    </row>
    <row r="2354" spans="1:20" x14ac:dyDescent="0.25">
      <c r="A2354" t="s">
        <v>6125</v>
      </c>
      <c r="B2354" t="str">
        <f>"5526"</f>
        <v>5526</v>
      </c>
      <c r="C2354" t="str">
        <f>"301365526"</f>
        <v>301365526</v>
      </c>
      <c r="D2354" t="s">
        <v>433</v>
      </c>
      <c r="E2354" t="s">
        <v>263</v>
      </c>
      <c r="F2354" t="s">
        <v>97</v>
      </c>
      <c r="G2354" s="1">
        <v>15214</v>
      </c>
      <c r="H2354" s="1">
        <v>40561</v>
      </c>
      <c r="I2354" t="str">
        <f t="shared" si="47"/>
        <v>51</v>
      </c>
      <c r="J2354" t="s">
        <v>471</v>
      </c>
      <c r="K2354" t="s">
        <v>25</v>
      </c>
      <c r="L2354" t="s">
        <v>26</v>
      </c>
      <c r="M2354" t="s">
        <v>27</v>
      </c>
      <c r="N2354" s="1">
        <v>18629</v>
      </c>
      <c r="O2354">
        <v>0</v>
      </c>
      <c r="P2354">
        <v>0</v>
      </c>
      <c r="Q2354" t="s">
        <v>28</v>
      </c>
      <c r="R2354" t="s">
        <v>29</v>
      </c>
      <c r="S2354" t="s">
        <v>3682</v>
      </c>
      <c r="T2354" t="s">
        <v>3683</v>
      </c>
    </row>
    <row r="2355" spans="1:20" x14ac:dyDescent="0.25">
      <c r="A2355" t="s">
        <v>6126</v>
      </c>
      <c r="B2355" t="str">
        <f>"3023"</f>
        <v>3023</v>
      </c>
      <c r="C2355" t="str">
        <f>"290843023"</f>
        <v>290843023</v>
      </c>
      <c r="D2355" t="s">
        <v>6127</v>
      </c>
      <c r="E2355" t="s">
        <v>499</v>
      </c>
      <c r="F2355" t="s">
        <v>282</v>
      </c>
      <c r="G2355" s="1">
        <v>26705</v>
      </c>
      <c r="H2355" s="1">
        <v>40561</v>
      </c>
      <c r="I2355" t="str">
        <f t="shared" si="47"/>
        <v>51</v>
      </c>
      <c r="J2355" t="s">
        <v>471</v>
      </c>
      <c r="K2355" t="s">
        <v>25</v>
      </c>
      <c r="L2355" t="s">
        <v>26</v>
      </c>
      <c r="M2355" t="s">
        <v>27</v>
      </c>
      <c r="N2355" s="1">
        <v>18629</v>
      </c>
      <c r="O2355">
        <v>0</v>
      </c>
      <c r="P2355">
        <v>0</v>
      </c>
      <c r="Q2355" t="s">
        <v>28</v>
      </c>
      <c r="R2355" t="s">
        <v>71</v>
      </c>
      <c r="S2355" t="s">
        <v>2406</v>
      </c>
      <c r="T2355" t="s">
        <v>2407</v>
      </c>
    </row>
    <row r="2356" spans="1:20" x14ac:dyDescent="0.25">
      <c r="A2356" t="s">
        <v>6128</v>
      </c>
      <c r="B2356" t="str">
        <f>"7555"</f>
        <v>7555</v>
      </c>
      <c r="C2356" t="str">
        <f>"383507555"</f>
        <v>383507555</v>
      </c>
      <c r="D2356" t="s">
        <v>6129</v>
      </c>
      <c r="E2356" t="s">
        <v>944</v>
      </c>
      <c r="F2356" t="s">
        <v>165</v>
      </c>
      <c r="G2356" s="1">
        <v>17634</v>
      </c>
      <c r="H2356" s="1">
        <v>40561</v>
      </c>
      <c r="I2356" t="str">
        <f t="shared" si="47"/>
        <v>51</v>
      </c>
      <c r="J2356" t="s">
        <v>471</v>
      </c>
      <c r="K2356" t="s">
        <v>25</v>
      </c>
      <c r="L2356" t="s">
        <v>26</v>
      </c>
      <c r="M2356" t="s">
        <v>27</v>
      </c>
      <c r="N2356" s="1">
        <v>18629</v>
      </c>
      <c r="O2356">
        <v>0</v>
      </c>
      <c r="P2356">
        <v>0</v>
      </c>
      <c r="Q2356" t="s">
        <v>28</v>
      </c>
      <c r="R2356" t="s">
        <v>71</v>
      </c>
      <c r="S2356" t="s">
        <v>157</v>
      </c>
      <c r="T2356" t="s">
        <v>158</v>
      </c>
    </row>
    <row r="2357" spans="1:20" x14ac:dyDescent="0.25">
      <c r="A2357" t="s">
        <v>6130</v>
      </c>
      <c r="B2357" t="str">
        <f>"2318"</f>
        <v>2318</v>
      </c>
      <c r="C2357" t="str">
        <f>"282402318"</f>
        <v>282402318</v>
      </c>
      <c r="D2357" t="s">
        <v>6131</v>
      </c>
      <c r="E2357" t="s">
        <v>944</v>
      </c>
      <c r="G2357" s="1">
        <v>16831</v>
      </c>
      <c r="H2357" s="1">
        <v>40561</v>
      </c>
      <c r="I2357" t="str">
        <f t="shared" si="47"/>
        <v>51</v>
      </c>
      <c r="J2357" t="s">
        <v>471</v>
      </c>
      <c r="K2357" t="s">
        <v>25</v>
      </c>
      <c r="L2357" t="s">
        <v>26</v>
      </c>
      <c r="M2357" t="s">
        <v>27</v>
      </c>
      <c r="N2357" s="1">
        <v>18629</v>
      </c>
      <c r="O2357">
        <v>0</v>
      </c>
      <c r="P2357">
        <v>0</v>
      </c>
      <c r="Q2357" t="s">
        <v>28</v>
      </c>
      <c r="R2357" t="s">
        <v>29</v>
      </c>
      <c r="S2357" t="s">
        <v>6132</v>
      </c>
      <c r="T2357" t="s">
        <v>6133</v>
      </c>
    </row>
    <row r="2358" spans="1:20" x14ac:dyDescent="0.25">
      <c r="A2358" t="s">
        <v>6134</v>
      </c>
      <c r="B2358" t="str">
        <f>"5916"</f>
        <v>5916</v>
      </c>
      <c r="C2358" t="str">
        <f>"281825916"</f>
        <v>281825916</v>
      </c>
      <c r="D2358" t="s">
        <v>6135</v>
      </c>
      <c r="E2358" t="s">
        <v>1094</v>
      </c>
      <c r="F2358" t="s">
        <v>93</v>
      </c>
      <c r="G2358" s="1">
        <v>30562</v>
      </c>
      <c r="H2358" s="1">
        <v>40561</v>
      </c>
      <c r="I2358" t="str">
        <f t="shared" si="47"/>
        <v>51</v>
      </c>
      <c r="J2358" t="s">
        <v>471</v>
      </c>
      <c r="K2358" t="s">
        <v>25</v>
      </c>
      <c r="L2358" t="s">
        <v>26</v>
      </c>
      <c r="M2358" t="s">
        <v>27</v>
      </c>
      <c r="N2358" s="1">
        <v>18629</v>
      </c>
      <c r="O2358">
        <v>0</v>
      </c>
      <c r="P2358">
        <v>0</v>
      </c>
      <c r="Q2358" t="s">
        <v>37</v>
      </c>
      <c r="R2358" t="s">
        <v>29</v>
      </c>
      <c r="S2358" t="s">
        <v>878</v>
      </c>
      <c r="T2358" t="s">
        <v>879</v>
      </c>
    </row>
    <row r="2359" spans="1:20" x14ac:dyDescent="0.25">
      <c r="A2359" t="s">
        <v>6136</v>
      </c>
      <c r="B2359" t="str">
        <f>"7740"</f>
        <v>7740</v>
      </c>
      <c r="C2359" t="str">
        <f>"296727740"</f>
        <v>296727740</v>
      </c>
      <c r="D2359" t="s">
        <v>6137</v>
      </c>
      <c r="E2359" t="s">
        <v>6138</v>
      </c>
      <c r="F2359" t="s">
        <v>358</v>
      </c>
      <c r="G2359" s="1">
        <v>28500</v>
      </c>
      <c r="H2359" s="1">
        <v>40561</v>
      </c>
      <c r="I2359" t="str">
        <f t="shared" si="47"/>
        <v>51</v>
      </c>
      <c r="J2359" t="s">
        <v>471</v>
      </c>
      <c r="K2359" t="s">
        <v>25</v>
      </c>
      <c r="L2359" t="s">
        <v>26</v>
      </c>
      <c r="M2359" t="s">
        <v>27</v>
      </c>
      <c r="N2359" s="1">
        <v>18629</v>
      </c>
      <c r="O2359">
        <v>0</v>
      </c>
      <c r="P2359">
        <v>0</v>
      </c>
      <c r="Q2359" t="s">
        <v>37</v>
      </c>
      <c r="R2359" t="s">
        <v>29</v>
      </c>
      <c r="S2359" t="s">
        <v>138</v>
      </c>
      <c r="T2359" t="s">
        <v>139</v>
      </c>
    </row>
    <row r="2360" spans="1:20" x14ac:dyDescent="0.25">
      <c r="A2360" t="s">
        <v>6139</v>
      </c>
      <c r="B2360" t="str">
        <f>"2590"</f>
        <v>2590</v>
      </c>
      <c r="C2360" t="str">
        <f>"329322590"</f>
        <v>329322590</v>
      </c>
      <c r="D2360" t="s">
        <v>6140</v>
      </c>
      <c r="E2360" t="s">
        <v>6141</v>
      </c>
      <c r="F2360" t="s">
        <v>190</v>
      </c>
      <c r="G2360" s="1">
        <v>14442</v>
      </c>
      <c r="H2360" s="1">
        <v>40561</v>
      </c>
      <c r="I2360" t="str">
        <f t="shared" si="47"/>
        <v>51</v>
      </c>
      <c r="J2360" t="s">
        <v>471</v>
      </c>
      <c r="K2360" t="s">
        <v>25</v>
      </c>
      <c r="L2360" t="s">
        <v>26</v>
      </c>
      <c r="M2360" t="s">
        <v>27</v>
      </c>
      <c r="N2360" s="1">
        <v>18629</v>
      </c>
      <c r="O2360">
        <v>0</v>
      </c>
      <c r="P2360">
        <v>0</v>
      </c>
      <c r="Q2360" t="s">
        <v>28</v>
      </c>
      <c r="R2360" t="s">
        <v>51</v>
      </c>
      <c r="S2360" s="2" t="s">
        <v>6142</v>
      </c>
      <c r="T2360" t="s">
        <v>6143</v>
      </c>
    </row>
    <row r="2361" spans="1:20" x14ac:dyDescent="0.25">
      <c r="A2361" t="s">
        <v>6144</v>
      </c>
      <c r="B2361" t="str">
        <f>"6865"</f>
        <v>6865</v>
      </c>
      <c r="C2361" t="str">
        <f>"282786865"</f>
        <v>282786865</v>
      </c>
      <c r="D2361" t="s">
        <v>6145</v>
      </c>
      <c r="E2361" t="s">
        <v>870</v>
      </c>
      <c r="F2361" t="s">
        <v>629</v>
      </c>
      <c r="G2361" s="1">
        <v>24365</v>
      </c>
      <c r="H2361" s="1">
        <v>40561</v>
      </c>
      <c r="I2361" t="str">
        <f t="shared" si="47"/>
        <v>51</v>
      </c>
      <c r="J2361" t="s">
        <v>471</v>
      </c>
      <c r="K2361" t="s">
        <v>25</v>
      </c>
      <c r="L2361" t="s">
        <v>26</v>
      </c>
      <c r="M2361" t="s">
        <v>27</v>
      </c>
      <c r="N2361" s="1">
        <v>18629</v>
      </c>
      <c r="O2361">
        <v>0</v>
      </c>
      <c r="P2361">
        <v>0</v>
      </c>
      <c r="Q2361" t="s">
        <v>37</v>
      </c>
      <c r="R2361" t="s">
        <v>29</v>
      </c>
      <c r="S2361" t="s">
        <v>138</v>
      </c>
      <c r="T2361" t="s">
        <v>139</v>
      </c>
    </row>
    <row r="2362" spans="1:20" x14ac:dyDescent="0.25">
      <c r="A2362" t="s">
        <v>6146</v>
      </c>
      <c r="B2362" t="str">
        <f>"6387"</f>
        <v>6387</v>
      </c>
      <c r="C2362" t="str">
        <f>"277546387"</f>
        <v>277546387</v>
      </c>
      <c r="D2362" t="s">
        <v>6147</v>
      </c>
      <c r="E2362" t="s">
        <v>4240</v>
      </c>
      <c r="F2362" t="s">
        <v>556</v>
      </c>
      <c r="G2362" s="1">
        <v>19207</v>
      </c>
      <c r="H2362" s="1">
        <v>40561</v>
      </c>
      <c r="I2362" t="str">
        <f>"41"</f>
        <v>41</v>
      </c>
      <c r="J2362" t="s">
        <v>24</v>
      </c>
      <c r="K2362" t="s">
        <v>25</v>
      </c>
      <c r="L2362" t="s">
        <v>26</v>
      </c>
      <c r="M2362" t="s">
        <v>27</v>
      </c>
      <c r="N2362" s="1">
        <v>18629</v>
      </c>
      <c r="O2362">
        <v>0</v>
      </c>
      <c r="P2362">
        <v>0</v>
      </c>
      <c r="Q2362" t="s">
        <v>28</v>
      </c>
      <c r="R2362" t="s">
        <v>51</v>
      </c>
      <c r="S2362" t="s">
        <v>527</v>
      </c>
      <c r="T2362" t="s">
        <v>528</v>
      </c>
    </row>
    <row r="2363" spans="1:20" x14ac:dyDescent="0.25">
      <c r="A2363" t="s">
        <v>6148</v>
      </c>
      <c r="B2363" t="str">
        <f>"7253"</f>
        <v>7253</v>
      </c>
      <c r="C2363" t="str">
        <f>"275567253"</f>
        <v>275567253</v>
      </c>
      <c r="D2363" t="s">
        <v>6149</v>
      </c>
      <c r="E2363" t="s">
        <v>2917</v>
      </c>
      <c r="F2363" t="s">
        <v>69</v>
      </c>
      <c r="G2363" s="1">
        <v>20113</v>
      </c>
      <c r="H2363" s="1">
        <v>40561</v>
      </c>
      <c r="I2363" t="str">
        <f t="shared" ref="I2363:I2396" si="48">"51"</f>
        <v>51</v>
      </c>
      <c r="J2363" t="s">
        <v>471</v>
      </c>
      <c r="K2363" t="s">
        <v>25</v>
      </c>
      <c r="L2363" t="s">
        <v>26</v>
      </c>
      <c r="M2363" t="s">
        <v>27</v>
      </c>
      <c r="N2363" s="1">
        <v>18629</v>
      </c>
      <c r="O2363">
        <v>0</v>
      </c>
      <c r="P2363">
        <v>0</v>
      </c>
      <c r="Q2363" t="s">
        <v>37</v>
      </c>
      <c r="R2363" t="s">
        <v>29</v>
      </c>
      <c r="S2363" t="s">
        <v>138</v>
      </c>
      <c r="T2363" t="s">
        <v>139</v>
      </c>
    </row>
    <row r="2364" spans="1:20" x14ac:dyDescent="0.25">
      <c r="A2364" t="s">
        <v>6150</v>
      </c>
      <c r="B2364" t="str">
        <f>"3476"</f>
        <v>3476</v>
      </c>
      <c r="C2364" t="str">
        <f>"308583476"</f>
        <v>308583476</v>
      </c>
      <c r="D2364" t="s">
        <v>6151</v>
      </c>
      <c r="E2364" t="s">
        <v>5071</v>
      </c>
      <c r="F2364" t="s">
        <v>438</v>
      </c>
      <c r="G2364" s="1">
        <v>18787</v>
      </c>
      <c r="H2364" s="1">
        <v>40561</v>
      </c>
      <c r="I2364" t="str">
        <f t="shared" si="48"/>
        <v>51</v>
      </c>
      <c r="J2364" t="s">
        <v>471</v>
      </c>
      <c r="K2364" t="s">
        <v>25</v>
      </c>
      <c r="L2364" t="s">
        <v>26</v>
      </c>
      <c r="M2364" t="s">
        <v>27</v>
      </c>
      <c r="N2364" s="1">
        <v>18629</v>
      </c>
      <c r="O2364">
        <v>0</v>
      </c>
      <c r="P2364">
        <v>0</v>
      </c>
      <c r="Q2364" t="s">
        <v>37</v>
      </c>
      <c r="R2364" t="s">
        <v>29</v>
      </c>
      <c r="S2364" t="s">
        <v>138</v>
      </c>
      <c r="T2364" t="s">
        <v>139</v>
      </c>
    </row>
    <row r="2365" spans="1:20" x14ac:dyDescent="0.25">
      <c r="A2365" t="s">
        <v>6152</v>
      </c>
      <c r="B2365" t="str">
        <f>"7843"</f>
        <v>7843</v>
      </c>
      <c r="C2365" t="str">
        <f>"273787843"</f>
        <v>273787843</v>
      </c>
      <c r="D2365" t="s">
        <v>6153</v>
      </c>
      <c r="E2365" t="s">
        <v>2126</v>
      </c>
      <c r="F2365" t="s">
        <v>44</v>
      </c>
      <c r="G2365" s="1">
        <v>26486</v>
      </c>
      <c r="H2365" s="1">
        <v>40561</v>
      </c>
      <c r="I2365" t="str">
        <f t="shared" si="48"/>
        <v>51</v>
      </c>
      <c r="J2365" t="s">
        <v>471</v>
      </c>
      <c r="K2365" t="s">
        <v>25</v>
      </c>
      <c r="L2365" t="s">
        <v>26</v>
      </c>
      <c r="M2365" t="s">
        <v>27</v>
      </c>
      <c r="N2365" s="1">
        <v>18629</v>
      </c>
      <c r="O2365">
        <v>0</v>
      </c>
      <c r="P2365">
        <v>0</v>
      </c>
      <c r="Q2365" t="s">
        <v>37</v>
      </c>
      <c r="R2365" t="s">
        <v>71</v>
      </c>
      <c r="S2365" t="s">
        <v>2602</v>
      </c>
      <c r="T2365" t="s">
        <v>2603</v>
      </c>
    </row>
    <row r="2366" spans="1:20" x14ac:dyDescent="0.25">
      <c r="A2366" t="s">
        <v>6154</v>
      </c>
      <c r="B2366" t="str">
        <f>"7367"</f>
        <v>7367</v>
      </c>
      <c r="C2366" t="str">
        <f>"146647367"</f>
        <v>146647367</v>
      </c>
      <c r="D2366" t="s">
        <v>6155</v>
      </c>
      <c r="E2366" t="s">
        <v>938</v>
      </c>
      <c r="F2366" t="s">
        <v>1666</v>
      </c>
      <c r="G2366" s="1">
        <v>26692</v>
      </c>
      <c r="H2366" s="1">
        <v>40561</v>
      </c>
      <c r="I2366" t="str">
        <f t="shared" si="48"/>
        <v>51</v>
      </c>
      <c r="J2366" t="s">
        <v>471</v>
      </c>
      <c r="K2366" t="s">
        <v>25</v>
      </c>
      <c r="L2366" t="s">
        <v>26</v>
      </c>
      <c r="M2366" t="s">
        <v>27</v>
      </c>
      <c r="N2366" s="1">
        <v>18629</v>
      </c>
      <c r="O2366">
        <v>0</v>
      </c>
      <c r="P2366">
        <v>0</v>
      </c>
      <c r="Q2366" t="s">
        <v>37</v>
      </c>
      <c r="R2366" t="s">
        <v>29</v>
      </c>
      <c r="S2366" t="s">
        <v>138</v>
      </c>
      <c r="T2366" t="s">
        <v>139</v>
      </c>
    </row>
    <row r="2367" spans="1:20" x14ac:dyDescent="0.25">
      <c r="A2367" t="s">
        <v>6156</v>
      </c>
      <c r="B2367" t="str">
        <f>"5897"</f>
        <v>5897</v>
      </c>
      <c r="C2367" t="str">
        <f>"298685897"</f>
        <v>298685897</v>
      </c>
      <c r="D2367" t="s">
        <v>6157</v>
      </c>
      <c r="E2367" t="s">
        <v>1453</v>
      </c>
      <c r="F2367" t="s">
        <v>97</v>
      </c>
      <c r="G2367" s="1">
        <v>27657</v>
      </c>
      <c r="H2367" s="1">
        <v>40561</v>
      </c>
      <c r="I2367" t="str">
        <f t="shared" si="48"/>
        <v>51</v>
      </c>
      <c r="J2367" t="s">
        <v>471</v>
      </c>
      <c r="K2367" t="s">
        <v>25</v>
      </c>
      <c r="L2367" t="s">
        <v>26</v>
      </c>
      <c r="M2367" t="s">
        <v>27</v>
      </c>
      <c r="N2367" s="1">
        <v>18629</v>
      </c>
      <c r="O2367">
        <v>0</v>
      </c>
      <c r="P2367">
        <v>0</v>
      </c>
      <c r="Q2367" t="s">
        <v>28</v>
      </c>
      <c r="R2367" t="s">
        <v>71</v>
      </c>
      <c r="S2367" t="s">
        <v>871</v>
      </c>
      <c r="T2367" t="s">
        <v>872</v>
      </c>
    </row>
    <row r="2368" spans="1:20" x14ac:dyDescent="0.25">
      <c r="A2368" t="s">
        <v>6158</v>
      </c>
      <c r="B2368" t="str">
        <f>"4501"</f>
        <v>4501</v>
      </c>
      <c r="C2368" t="str">
        <f>"280864501"</f>
        <v>280864501</v>
      </c>
      <c r="D2368" t="s">
        <v>6159</v>
      </c>
      <c r="E2368" t="s">
        <v>1208</v>
      </c>
      <c r="F2368" t="s">
        <v>219</v>
      </c>
      <c r="G2368" s="1">
        <v>29111</v>
      </c>
      <c r="H2368" s="1">
        <v>40561</v>
      </c>
      <c r="I2368" t="str">
        <f t="shared" si="48"/>
        <v>51</v>
      </c>
      <c r="J2368" t="s">
        <v>471</v>
      </c>
      <c r="K2368" t="s">
        <v>25</v>
      </c>
      <c r="L2368" t="s">
        <v>26</v>
      </c>
      <c r="M2368" t="s">
        <v>27</v>
      </c>
      <c r="N2368" s="1">
        <v>18629</v>
      </c>
      <c r="O2368">
        <v>0</v>
      </c>
      <c r="P2368">
        <v>0</v>
      </c>
      <c r="Q2368" t="s">
        <v>37</v>
      </c>
      <c r="R2368" t="s">
        <v>51</v>
      </c>
      <c r="S2368" s="2" t="s">
        <v>2318</v>
      </c>
      <c r="T2368" t="s">
        <v>2319</v>
      </c>
    </row>
    <row r="2369" spans="1:20" x14ac:dyDescent="0.25">
      <c r="A2369" t="s">
        <v>6160</v>
      </c>
      <c r="B2369" t="str">
        <f>"3962"</f>
        <v>3962</v>
      </c>
      <c r="C2369" t="str">
        <f>"296783962"</f>
        <v>296783962</v>
      </c>
      <c r="D2369" t="s">
        <v>6161</v>
      </c>
      <c r="E2369" t="s">
        <v>202</v>
      </c>
      <c r="G2369" s="1">
        <v>24268</v>
      </c>
      <c r="H2369" s="1">
        <v>40561</v>
      </c>
      <c r="I2369" t="str">
        <f t="shared" si="48"/>
        <v>51</v>
      </c>
      <c r="J2369" t="s">
        <v>471</v>
      </c>
      <c r="K2369" t="s">
        <v>25</v>
      </c>
      <c r="L2369" t="s">
        <v>26</v>
      </c>
      <c r="M2369" t="s">
        <v>27</v>
      </c>
      <c r="N2369" s="1">
        <v>18629</v>
      </c>
      <c r="O2369">
        <v>0</v>
      </c>
      <c r="P2369">
        <v>0</v>
      </c>
      <c r="Q2369" t="s">
        <v>37</v>
      </c>
      <c r="R2369" t="s">
        <v>29</v>
      </c>
      <c r="S2369" t="s">
        <v>138</v>
      </c>
      <c r="T2369" t="s">
        <v>139</v>
      </c>
    </row>
    <row r="2370" spans="1:20" x14ac:dyDescent="0.25">
      <c r="A2370" t="s">
        <v>6162</v>
      </c>
      <c r="B2370" t="str">
        <f>"9692"</f>
        <v>9692</v>
      </c>
      <c r="C2370" t="str">
        <f>"271869692"</f>
        <v>271869692</v>
      </c>
      <c r="D2370" t="s">
        <v>6163</v>
      </c>
      <c r="E2370" t="s">
        <v>275</v>
      </c>
      <c r="G2370" s="1">
        <v>28710</v>
      </c>
      <c r="H2370" s="1">
        <v>40561</v>
      </c>
      <c r="I2370" t="str">
        <f t="shared" si="48"/>
        <v>51</v>
      </c>
      <c r="J2370" t="s">
        <v>471</v>
      </c>
      <c r="K2370" t="s">
        <v>25</v>
      </c>
      <c r="L2370" t="s">
        <v>26</v>
      </c>
      <c r="M2370" t="s">
        <v>27</v>
      </c>
      <c r="N2370" s="1">
        <v>18629</v>
      </c>
      <c r="O2370">
        <v>0</v>
      </c>
      <c r="P2370">
        <v>0</v>
      </c>
      <c r="Q2370" t="s">
        <v>37</v>
      </c>
      <c r="R2370" t="s">
        <v>100</v>
      </c>
      <c r="S2370" t="s">
        <v>790</v>
      </c>
      <c r="T2370" t="s">
        <v>791</v>
      </c>
    </row>
    <row r="2371" spans="1:20" x14ac:dyDescent="0.25">
      <c r="A2371" t="s">
        <v>6164</v>
      </c>
      <c r="B2371" t="str">
        <f>"0310"</f>
        <v>0310</v>
      </c>
      <c r="C2371" t="str">
        <f>"284660310"</f>
        <v>284660310</v>
      </c>
      <c r="D2371" t="s">
        <v>6165</v>
      </c>
      <c r="E2371" t="s">
        <v>2786</v>
      </c>
      <c r="F2371" t="s">
        <v>256</v>
      </c>
      <c r="G2371" s="1">
        <v>23676</v>
      </c>
      <c r="H2371" s="1">
        <v>40561</v>
      </c>
      <c r="I2371" t="str">
        <f t="shared" si="48"/>
        <v>51</v>
      </c>
      <c r="J2371" t="s">
        <v>471</v>
      </c>
      <c r="K2371" t="s">
        <v>25</v>
      </c>
      <c r="L2371" t="s">
        <v>26</v>
      </c>
      <c r="M2371" t="s">
        <v>27</v>
      </c>
      <c r="N2371" s="1">
        <v>18629</v>
      </c>
      <c r="O2371">
        <v>0</v>
      </c>
      <c r="P2371">
        <v>0</v>
      </c>
      <c r="Q2371" t="s">
        <v>37</v>
      </c>
      <c r="R2371" t="s">
        <v>29</v>
      </c>
      <c r="S2371" t="s">
        <v>138</v>
      </c>
      <c r="T2371" t="s">
        <v>139</v>
      </c>
    </row>
    <row r="2372" spans="1:20" x14ac:dyDescent="0.25">
      <c r="A2372" t="s">
        <v>6166</v>
      </c>
      <c r="B2372" t="str">
        <f>"1888"</f>
        <v>1888</v>
      </c>
      <c r="C2372" t="str">
        <f>"275721888"</f>
        <v>275721888</v>
      </c>
      <c r="D2372" t="s">
        <v>824</v>
      </c>
      <c r="E2372" t="s">
        <v>1435</v>
      </c>
      <c r="F2372" t="s">
        <v>6167</v>
      </c>
      <c r="G2372" s="1">
        <v>25208</v>
      </c>
      <c r="H2372" s="1">
        <v>40561</v>
      </c>
      <c r="I2372" t="str">
        <f t="shared" si="48"/>
        <v>51</v>
      </c>
      <c r="J2372" t="s">
        <v>471</v>
      </c>
      <c r="K2372" t="s">
        <v>25</v>
      </c>
      <c r="L2372" t="s">
        <v>26</v>
      </c>
      <c r="M2372" t="s">
        <v>27</v>
      </c>
      <c r="N2372" s="1">
        <v>18629</v>
      </c>
      <c r="O2372">
        <v>0</v>
      </c>
      <c r="P2372">
        <v>0</v>
      </c>
      <c r="Q2372" t="s">
        <v>37</v>
      </c>
      <c r="R2372" t="s">
        <v>29</v>
      </c>
      <c r="S2372" t="s">
        <v>138</v>
      </c>
      <c r="T2372" t="s">
        <v>139</v>
      </c>
    </row>
    <row r="2373" spans="1:20" x14ac:dyDescent="0.25">
      <c r="A2373" t="s">
        <v>6168</v>
      </c>
      <c r="B2373" t="str">
        <f>"2604"</f>
        <v>2604</v>
      </c>
      <c r="C2373" t="str">
        <f>"297882604"</f>
        <v>297882604</v>
      </c>
      <c r="D2373" t="s">
        <v>6169</v>
      </c>
      <c r="E2373" t="s">
        <v>173</v>
      </c>
      <c r="F2373" t="s">
        <v>28</v>
      </c>
      <c r="G2373" s="1">
        <v>28562</v>
      </c>
      <c r="H2373" s="1">
        <v>40561</v>
      </c>
      <c r="I2373" t="str">
        <f t="shared" si="48"/>
        <v>51</v>
      </c>
      <c r="J2373" t="s">
        <v>471</v>
      </c>
      <c r="K2373" t="s">
        <v>25</v>
      </c>
      <c r="L2373" t="s">
        <v>26</v>
      </c>
      <c r="M2373" t="s">
        <v>27</v>
      </c>
      <c r="N2373" s="1">
        <v>18629</v>
      </c>
      <c r="O2373">
        <v>0</v>
      </c>
      <c r="P2373">
        <v>0</v>
      </c>
      <c r="Q2373" t="s">
        <v>37</v>
      </c>
      <c r="R2373" t="s">
        <v>71</v>
      </c>
      <c r="S2373" t="s">
        <v>2458</v>
      </c>
      <c r="T2373" t="s">
        <v>2459</v>
      </c>
    </row>
    <row r="2374" spans="1:20" x14ac:dyDescent="0.25">
      <c r="A2374" t="s">
        <v>6170</v>
      </c>
      <c r="B2374" t="str">
        <f>"4632"</f>
        <v>4632</v>
      </c>
      <c r="C2374" t="str">
        <f>"283824632"</f>
        <v>283824632</v>
      </c>
      <c r="D2374" t="s">
        <v>6171</v>
      </c>
      <c r="E2374" t="s">
        <v>1616</v>
      </c>
      <c r="F2374" t="s">
        <v>358</v>
      </c>
      <c r="G2374" s="1">
        <v>28719</v>
      </c>
      <c r="H2374" s="1">
        <v>40561</v>
      </c>
      <c r="I2374" t="str">
        <f t="shared" si="48"/>
        <v>51</v>
      </c>
      <c r="J2374" t="s">
        <v>471</v>
      </c>
      <c r="K2374" t="s">
        <v>25</v>
      </c>
      <c r="L2374" t="s">
        <v>26</v>
      </c>
      <c r="M2374" t="s">
        <v>27</v>
      </c>
      <c r="N2374" s="1">
        <v>18629</v>
      </c>
      <c r="O2374">
        <v>0</v>
      </c>
      <c r="P2374">
        <v>0</v>
      </c>
      <c r="Q2374" t="s">
        <v>37</v>
      </c>
      <c r="R2374" t="s">
        <v>71</v>
      </c>
      <c r="S2374" t="s">
        <v>6172</v>
      </c>
      <c r="T2374" t="s">
        <v>6173</v>
      </c>
    </row>
    <row r="2375" spans="1:20" x14ac:dyDescent="0.25">
      <c r="A2375" t="s">
        <v>6174</v>
      </c>
      <c r="B2375" t="str">
        <f>"4921"</f>
        <v>4921</v>
      </c>
      <c r="C2375" t="str">
        <f>"271744921"</f>
        <v>271744921</v>
      </c>
      <c r="D2375" t="s">
        <v>6175</v>
      </c>
      <c r="E2375" t="s">
        <v>1666</v>
      </c>
      <c r="G2375" s="1">
        <v>28573</v>
      </c>
      <c r="H2375" s="1">
        <v>40561</v>
      </c>
      <c r="I2375" t="str">
        <f t="shared" si="48"/>
        <v>51</v>
      </c>
      <c r="J2375" t="s">
        <v>471</v>
      </c>
      <c r="K2375" t="s">
        <v>25</v>
      </c>
      <c r="L2375" t="s">
        <v>26</v>
      </c>
      <c r="M2375" t="s">
        <v>27</v>
      </c>
      <c r="N2375" s="1">
        <v>18629</v>
      </c>
      <c r="O2375">
        <v>0</v>
      </c>
      <c r="P2375">
        <v>0</v>
      </c>
      <c r="Q2375" t="s">
        <v>37</v>
      </c>
      <c r="R2375" t="s">
        <v>29</v>
      </c>
      <c r="S2375" t="s">
        <v>1160</v>
      </c>
      <c r="T2375" t="s">
        <v>1161</v>
      </c>
    </row>
    <row r="2376" spans="1:20" x14ac:dyDescent="0.25">
      <c r="A2376" t="s">
        <v>6176</v>
      </c>
      <c r="B2376" t="str">
        <f>"6401"</f>
        <v>6401</v>
      </c>
      <c r="C2376" t="str">
        <f>"288066401"</f>
        <v>288066401</v>
      </c>
      <c r="D2376" t="s">
        <v>6177</v>
      </c>
      <c r="E2376" t="s">
        <v>2100</v>
      </c>
      <c r="G2376" s="1">
        <v>28394</v>
      </c>
      <c r="H2376" s="1">
        <v>40561</v>
      </c>
      <c r="I2376" t="str">
        <f t="shared" si="48"/>
        <v>51</v>
      </c>
      <c r="J2376" t="s">
        <v>471</v>
      </c>
      <c r="K2376" t="s">
        <v>25</v>
      </c>
      <c r="L2376" t="s">
        <v>26</v>
      </c>
      <c r="M2376" t="s">
        <v>27</v>
      </c>
      <c r="N2376" s="1">
        <v>18629</v>
      </c>
      <c r="O2376">
        <v>0</v>
      </c>
      <c r="P2376">
        <v>0</v>
      </c>
      <c r="Q2376" t="s">
        <v>37</v>
      </c>
      <c r="R2376" t="s">
        <v>71</v>
      </c>
      <c r="S2376" t="s">
        <v>4234</v>
      </c>
      <c r="T2376" t="s">
        <v>4235</v>
      </c>
    </row>
    <row r="2377" spans="1:20" x14ac:dyDescent="0.25">
      <c r="A2377" t="s">
        <v>6178</v>
      </c>
      <c r="B2377" t="str">
        <f>"3266"</f>
        <v>3266</v>
      </c>
      <c r="C2377" t="str">
        <f>"283823266"</f>
        <v>283823266</v>
      </c>
      <c r="D2377" t="s">
        <v>2241</v>
      </c>
      <c r="E2377" t="s">
        <v>308</v>
      </c>
      <c r="F2377" t="s">
        <v>239</v>
      </c>
      <c r="G2377" s="1">
        <v>24447</v>
      </c>
      <c r="H2377" s="1">
        <v>40561</v>
      </c>
      <c r="I2377" t="str">
        <f t="shared" si="48"/>
        <v>51</v>
      </c>
      <c r="J2377" t="s">
        <v>471</v>
      </c>
      <c r="K2377" t="s">
        <v>25</v>
      </c>
      <c r="L2377" t="s">
        <v>26</v>
      </c>
      <c r="M2377" t="s">
        <v>27</v>
      </c>
      <c r="N2377" s="1">
        <v>18629</v>
      </c>
      <c r="O2377">
        <v>0</v>
      </c>
      <c r="P2377">
        <v>0</v>
      </c>
      <c r="Q2377" t="s">
        <v>37</v>
      </c>
      <c r="R2377" t="s">
        <v>29</v>
      </c>
      <c r="S2377" t="s">
        <v>138</v>
      </c>
      <c r="T2377" t="s">
        <v>139</v>
      </c>
    </row>
    <row r="2378" spans="1:20" x14ac:dyDescent="0.25">
      <c r="A2378" t="s">
        <v>6179</v>
      </c>
      <c r="B2378" t="str">
        <f>"1248"</f>
        <v>1248</v>
      </c>
      <c r="C2378" t="str">
        <f>"298821248"</f>
        <v>298821248</v>
      </c>
      <c r="D2378" t="s">
        <v>6180</v>
      </c>
      <c r="E2378" t="s">
        <v>682</v>
      </c>
      <c r="F2378" t="s">
        <v>219</v>
      </c>
      <c r="G2378" s="1">
        <v>25164</v>
      </c>
      <c r="H2378" s="1">
        <v>40561</v>
      </c>
      <c r="I2378" t="str">
        <f t="shared" si="48"/>
        <v>51</v>
      </c>
      <c r="J2378" t="s">
        <v>471</v>
      </c>
      <c r="K2378" t="s">
        <v>25</v>
      </c>
      <c r="L2378" t="s">
        <v>26</v>
      </c>
      <c r="M2378" t="s">
        <v>27</v>
      </c>
      <c r="N2378" s="1">
        <v>18629</v>
      </c>
      <c r="O2378">
        <v>0</v>
      </c>
      <c r="P2378">
        <v>0</v>
      </c>
      <c r="Q2378" t="s">
        <v>37</v>
      </c>
      <c r="R2378" t="s">
        <v>71</v>
      </c>
      <c r="S2378" t="s">
        <v>6181</v>
      </c>
      <c r="T2378" t="s">
        <v>6182</v>
      </c>
    </row>
    <row r="2379" spans="1:20" x14ac:dyDescent="0.25">
      <c r="A2379" t="s">
        <v>6183</v>
      </c>
      <c r="B2379" t="str">
        <f>"6899"</f>
        <v>6899</v>
      </c>
      <c r="C2379" t="str">
        <f>"297666899"</f>
        <v>297666899</v>
      </c>
      <c r="D2379" t="s">
        <v>3853</v>
      </c>
      <c r="E2379" t="s">
        <v>299</v>
      </c>
      <c r="F2379" t="s">
        <v>44</v>
      </c>
      <c r="G2379" s="1">
        <v>22025</v>
      </c>
      <c r="H2379" s="1">
        <v>40561</v>
      </c>
      <c r="I2379" t="str">
        <f t="shared" si="48"/>
        <v>51</v>
      </c>
      <c r="J2379" t="s">
        <v>471</v>
      </c>
      <c r="K2379" t="s">
        <v>25</v>
      </c>
      <c r="L2379" t="s">
        <v>26</v>
      </c>
      <c r="M2379" t="s">
        <v>27</v>
      </c>
      <c r="N2379" s="1">
        <v>18629</v>
      </c>
      <c r="O2379">
        <v>0</v>
      </c>
      <c r="P2379">
        <v>0</v>
      </c>
      <c r="Q2379" t="s">
        <v>37</v>
      </c>
      <c r="R2379" t="s">
        <v>71</v>
      </c>
      <c r="S2379" t="s">
        <v>808</v>
      </c>
      <c r="T2379" t="s">
        <v>809</v>
      </c>
    </row>
    <row r="2380" spans="1:20" x14ac:dyDescent="0.25">
      <c r="A2380" t="s">
        <v>6184</v>
      </c>
      <c r="B2380" t="str">
        <f>"2827"</f>
        <v>2827</v>
      </c>
      <c r="C2380" t="str">
        <f>"549372827"</f>
        <v>549372827</v>
      </c>
      <c r="D2380" t="s">
        <v>6185</v>
      </c>
      <c r="E2380" t="s">
        <v>1666</v>
      </c>
      <c r="F2380" t="s">
        <v>93</v>
      </c>
      <c r="G2380" s="1">
        <v>21969</v>
      </c>
      <c r="H2380" s="1">
        <v>40561</v>
      </c>
      <c r="I2380" t="str">
        <f t="shared" si="48"/>
        <v>51</v>
      </c>
      <c r="J2380" t="s">
        <v>471</v>
      </c>
      <c r="K2380" t="s">
        <v>25</v>
      </c>
      <c r="L2380" t="s">
        <v>26</v>
      </c>
      <c r="M2380" t="s">
        <v>27</v>
      </c>
      <c r="N2380" s="1">
        <v>18629</v>
      </c>
      <c r="O2380">
        <v>0</v>
      </c>
      <c r="P2380">
        <v>0</v>
      </c>
      <c r="Q2380" t="s">
        <v>37</v>
      </c>
      <c r="R2380" t="s">
        <v>29</v>
      </c>
      <c r="S2380" t="s">
        <v>138</v>
      </c>
      <c r="T2380" t="s">
        <v>139</v>
      </c>
    </row>
    <row r="2381" spans="1:20" x14ac:dyDescent="0.25">
      <c r="A2381" t="s">
        <v>6186</v>
      </c>
      <c r="B2381" t="str">
        <f>"3874"</f>
        <v>3874</v>
      </c>
      <c r="C2381" t="str">
        <f>"290763874"</f>
        <v>290763874</v>
      </c>
      <c r="D2381" t="s">
        <v>4555</v>
      </c>
      <c r="E2381" t="s">
        <v>6187</v>
      </c>
      <c r="G2381" s="1">
        <v>25838</v>
      </c>
      <c r="H2381" s="1">
        <v>40561</v>
      </c>
      <c r="I2381" t="str">
        <f t="shared" si="48"/>
        <v>51</v>
      </c>
      <c r="J2381" t="s">
        <v>471</v>
      </c>
      <c r="K2381" t="s">
        <v>25</v>
      </c>
      <c r="L2381" t="s">
        <v>26</v>
      </c>
      <c r="M2381" t="s">
        <v>27</v>
      </c>
      <c r="N2381" s="1">
        <v>18629</v>
      </c>
      <c r="O2381">
        <v>0</v>
      </c>
      <c r="P2381">
        <v>0</v>
      </c>
      <c r="Q2381" t="s">
        <v>37</v>
      </c>
      <c r="R2381" t="s">
        <v>71</v>
      </c>
      <c r="S2381" t="s">
        <v>138</v>
      </c>
      <c r="T2381" t="s">
        <v>139</v>
      </c>
    </row>
    <row r="2382" spans="1:20" x14ac:dyDescent="0.25">
      <c r="A2382" t="s">
        <v>6188</v>
      </c>
      <c r="B2382" t="str">
        <f>"8795"</f>
        <v>8795</v>
      </c>
      <c r="C2382" t="str">
        <f>"287788795"</f>
        <v>287788795</v>
      </c>
      <c r="D2382" t="s">
        <v>1417</v>
      </c>
      <c r="E2382" t="s">
        <v>1342</v>
      </c>
      <c r="F2382" t="s">
        <v>264</v>
      </c>
      <c r="G2382" s="1">
        <v>28963</v>
      </c>
      <c r="H2382" s="1">
        <v>40561</v>
      </c>
      <c r="I2382" t="str">
        <f t="shared" si="48"/>
        <v>51</v>
      </c>
      <c r="J2382" t="s">
        <v>471</v>
      </c>
      <c r="K2382" t="s">
        <v>25</v>
      </c>
      <c r="L2382" t="s">
        <v>26</v>
      </c>
      <c r="M2382" t="s">
        <v>27</v>
      </c>
      <c r="N2382" s="1">
        <v>18629</v>
      </c>
      <c r="O2382">
        <v>0</v>
      </c>
      <c r="P2382">
        <v>0</v>
      </c>
      <c r="Q2382" t="s">
        <v>37</v>
      </c>
      <c r="R2382" t="s">
        <v>29</v>
      </c>
      <c r="S2382" t="s">
        <v>138</v>
      </c>
      <c r="T2382" t="s">
        <v>139</v>
      </c>
    </row>
    <row r="2383" spans="1:20" x14ac:dyDescent="0.25">
      <c r="A2383" t="s">
        <v>6189</v>
      </c>
      <c r="B2383" t="str">
        <f>"1291"</f>
        <v>1291</v>
      </c>
      <c r="C2383" t="str">
        <f>"216801291"</f>
        <v>216801291</v>
      </c>
      <c r="D2383" t="s">
        <v>122</v>
      </c>
      <c r="E2383" t="s">
        <v>1813</v>
      </c>
      <c r="F2383" t="s">
        <v>93</v>
      </c>
      <c r="G2383" s="1">
        <v>23182</v>
      </c>
      <c r="H2383" s="1">
        <v>40561</v>
      </c>
      <c r="I2383" t="str">
        <f t="shared" si="48"/>
        <v>51</v>
      </c>
      <c r="J2383" t="s">
        <v>471</v>
      </c>
      <c r="K2383" t="s">
        <v>25</v>
      </c>
      <c r="L2383" t="s">
        <v>26</v>
      </c>
      <c r="M2383" t="s">
        <v>27</v>
      </c>
      <c r="N2383" s="1">
        <v>18629</v>
      </c>
      <c r="O2383">
        <v>0</v>
      </c>
      <c r="P2383">
        <v>0</v>
      </c>
      <c r="Q2383" t="s">
        <v>37</v>
      </c>
      <c r="R2383" t="s">
        <v>71</v>
      </c>
      <c r="S2383" t="s">
        <v>2458</v>
      </c>
      <c r="T2383" t="s">
        <v>2459</v>
      </c>
    </row>
    <row r="2384" spans="1:20" x14ac:dyDescent="0.25">
      <c r="A2384" t="s">
        <v>6190</v>
      </c>
      <c r="B2384" t="str">
        <f>"4145"</f>
        <v>4145</v>
      </c>
      <c r="C2384" t="str">
        <f>"397524145"</f>
        <v>397524145</v>
      </c>
      <c r="D2384" t="s">
        <v>6191</v>
      </c>
      <c r="E2384" t="s">
        <v>2618</v>
      </c>
      <c r="F2384" t="s">
        <v>28</v>
      </c>
      <c r="G2384" s="1">
        <v>19869</v>
      </c>
      <c r="H2384" s="1">
        <v>40561</v>
      </c>
      <c r="I2384" t="str">
        <f t="shared" si="48"/>
        <v>51</v>
      </c>
      <c r="J2384" t="s">
        <v>471</v>
      </c>
      <c r="K2384" t="s">
        <v>25</v>
      </c>
      <c r="L2384" t="s">
        <v>26</v>
      </c>
      <c r="M2384" t="s">
        <v>27</v>
      </c>
      <c r="N2384" s="1">
        <v>18629</v>
      </c>
      <c r="O2384">
        <v>0</v>
      </c>
      <c r="P2384">
        <v>0</v>
      </c>
      <c r="Q2384" t="s">
        <v>37</v>
      </c>
      <c r="R2384" t="s">
        <v>71</v>
      </c>
      <c r="S2384" t="s">
        <v>871</v>
      </c>
      <c r="T2384" t="s">
        <v>872</v>
      </c>
    </row>
    <row r="2385" spans="1:20" x14ac:dyDescent="0.25">
      <c r="A2385" t="s">
        <v>6192</v>
      </c>
      <c r="B2385" t="str">
        <f>"1865"</f>
        <v>1865</v>
      </c>
      <c r="C2385" t="str">
        <f>"286601865"</f>
        <v>286601865</v>
      </c>
      <c r="D2385" t="s">
        <v>6193</v>
      </c>
      <c r="E2385" t="s">
        <v>4566</v>
      </c>
      <c r="F2385" t="s">
        <v>219</v>
      </c>
      <c r="G2385" s="1">
        <v>22150</v>
      </c>
      <c r="H2385" s="1">
        <v>40561</v>
      </c>
      <c r="I2385" t="str">
        <f t="shared" si="48"/>
        <v>51</v>
      </c>
      <c r="J2385" t="s">
        <v>471</v>
      </c>
      <c r="K2385" t="s">
        <v>25</v>
      </c>
      <c r="L2385" t="s">
        <v>26</v>
      </c>
      <c r="M2385" t="s">
        <v>27</v>
      </c>
      <c r="N2385" s="1">
        <v>18629</v>
      </c>
      <c r="O2385">
        <v>0</v>
      </c>
      <c r="P2385">
        <v>0</v>
      </c>
      <c r="Q2385" t="s">
        <v>37</v>
      </c>
      <c r="R2385" t="s">
        <v>29</v>
      </c>
      <c r="S2385" t="s">
        <v>138</v>
      </c>
      <c r="T2385" t="s">
        <v>139</v>
      </c>
    </row>
    <row r="2386" spans="1:20" x14ac:dyDescent="0.25">
      <c r="A2386" t="s">
        <v>6194</v>
      </c>
      <c r="B2386" t="str">
        <f>"2742"</f>
        <v>2742</v>
      </c>
      <c r="C2386" t="str">
        <f>"275742742"</f>
        <v>275742742</v>
      </c>
      <c r="D2386" t="s">
        <v>303</v>
      </c>
      <c r="E2386" t="s">
        <v>6195</v>
      </c>
      <c r="F2386" t="s">
        <v>264</v>
      </c>
      <c r="G2386" s="1">
        <v>22505</v>
      </c>
      <c r="H2386" s="1">
        <v>40561</v>
      </c>
      <c r="I2386" t="str">
        <f t="shared" si="48"/>
        <v>51</v>
      </c>
      <c r="J2386" t="s">
        <v>471</v>
      </c>
      <c r="K2386" t="s">
        <v>25</v>
      </c>
      <c r="L2386" t="s">
        <v>26</v>
      </c>
      <c r="M2386" t="s">
        <v>27</v>
      </c>
      <c r="N2386" s="1">
        <v>18629</v>
      </c>
      <c r="O2386">
        <v>0</v>
      </c>
      <c r="P2386">
        <v>0</v>
      </c>
      <c r="Q2386" t="s">
        <v>28</v>
      </c>
      <c r="R2386" t="s">
        <v>51</v>
      </c>
      <c r="S2386" s="2" t="s">
        <v>5804</v>
      </c>
      <c r="T2386" t="s">
        <v>5805</v>
      </c>
    </row>
    <row r="2387" spans="1:20" x14ac:dyDescent="0.25">
      <c r="A2387" t="s">
        <v>6196</v>
      </c>
      <c r="B2387" t="str">
        <f>"8401"</f>
        <v>8401</v>
      </c>
      <c r="C2387" t="str">
        <f>"111428401"</f>
        <v>111428401</v>
      </c>
      <c r="D2387" t="s">
        <v>6197</v>
      </c>
      <c r="E2387" t="s">
        <v>6198</v>
      </c>
      <c r="F2387" t="s">
        <v>414</v>
      </c>
      <c r="G2387" s="1">
        <v>19121</v>
      </c>
      <c r="H2387" s="1">
        <v>40561</v>
      </c>
      <c r="I2387" t="str">
        <f t="shared" si="48"/>
        <v>51</v>
      </c>
      <c r="J2387" t="s">
        <v>471</v>
      </c>
      <c r="K2387" t="s">
        <v>25</v>
      </c>
      <c r="L2387" t="s">
        <v>26</v>
      </c>
      <c r="M2387" t="s">
        <v>27</v>
      </c>
      <c r="N2387" s="1">
        <v>18629</v>
      </c>
      <c r="O2387">
        <v>0</v>
      </c>
      <c r="P2387">
        <v>0</v>
      </c>
      <c r="Q2387" t="s">
        <v>28</v>
      </c>
      <c r="R2387" t="s">
        <v>71</v>
      </c>
      <c r="S2387" t="s">
        <v>2458</v>
      </c>
      <c r="T2387" t="s">
        <v>2459</v>
      </c>
    </row>
    <row r="2388" spans="1:20" x14ac:dyDescent="0.25">
      <c r="A2388" t="s">
        <v>6199</v>
      </c>
      <c r="B2388" t="str">
        <f>"8514"</f>
        <v>8514</v>
      </c>
      <c r="C2388" t="str">
        <f>"279828514"</f>
        <v>279828514</v>
      </c>
      <c r="D2388" t="s">
        <v>6200</v>
      </c>
      <c r="E2388" t="s">
        <v>6201</v>
      </c>
      <c r="F2388" t="s">
        <v>165</v>
      </c>
      <c r="G2388" s="1">
        <v>28877</v>
      </c>
      <c r="H2388" s="1">
        <v>40561</v>
      </c>
      <c r="I2388" t="str">
        <f t="shared" si="48"/>
        <v>51</v>
      </c>
      <c r="J2388" t="s">
        <v>471</v>
      </c>
      <c r="K2388" t="s">
        <v>25</v>
      </c>
      <c r="L2388" t="s">
        <v>26</v>
      </c>
      <c r="M2388" t="s">
        <v>27</v>
      </c>
      <c r="N2388" s="1">
        <v>18629</v>
      </c>
      <c r="O2388">
        <v>0</v>
      </c>
      <c r="P2388">
        <v>0</v>
      </c>
      <c r="Q2388" t="s">
        <v>37</v>
      </c>
      <c r="R2388" t="s">
        <v>29</v>
      </c>
      <c r="S2388" t="s">
        <v>138</v>
      </c>
      <c r="T2388" t="s">
        <v>139</v>
      </c>
    </row>
    <row r="2389" spans="1:20" x14ac:dyDescent="0.25">
      <c r="A2389" t="s">
        <v>6202</v>
      </c>
      <c r="B2389" t="str">
        <f>"1239"</f>
        <v>1239</v>
      </c>
      <c r="C2389" t="str">
        <f>"293861239"</f>
        <v>293861239</v>
      </c>
      <c r="D2389" t="s">
        <v>5046</v>
      </c>
      <c r="E2389" t="s">
        <v>351</v>
      </c>
      <c r="F2389" t="s">
        <v>282</v>
      </c>
      <c r="G2389" s="1">
        <v>28810</v>
      </c>
      <c r="H2389" s="1">
        <v>40561</v>
      </c>
      <c r="I2389" t="str">
        <f t="shared" si="48"/>
        <v>51</v>
      </c>
      <c r="J2389" t="s">
        <v>471</v>
      </c>
      <c r="K2389" t="s">
        <v>25</v>
      </c>
      <c r="L2389" t="s">
        <v>26</v>
      </c>
      <c r="M2389" t="s">
        <v>27</v>
      </c>
      <c r="N2389" s="1">
        <v>18629</v>
      </c>
      <c r="O2389">
        <v>0</v>
      </c>
      <c r="P2389">
        <v>0</v>
      </c>
      <c r="Q2389" t="s">
        <v>28</v>
      </c>
      <c r="R2389" t="s">
        <v>29</v>
      </c>
      <c r="S2389" t="s">
        <v>1555</v>
      </c>
      <c r="T2389" t="s">
        <v>1556</v>
      </c>
    </row>
    <row r="2390" spans="1:20" x14ac:dyDescent="0.25">
      <c r="A2390" t="s">
        <v>6203</v>
      </c>
      <c r="B2390" t="str">
        <f>"1816"</f>
        <v>1816</v>
      </c>
      <c r="C2390" t="str">
        <f>"087721816"</f>
        <v>087721816</v>
      </c>
      <c r="D2390" t="s">
        <v>6204</v>
      </c>
      <c r="E2390" t="s">
        <v>628</v>
      </c>
      <c r="F2390" t="s">
        <v>28</v>
      </c>
      <c r="G2390" s="1">
        <v>26159</v>
      </c>
      <c r="H2390" s="1">
        <v>40561</v>
      </c>
      <c r="I2390" t="str">
        <f t="shared" si="48"/>
        <v>51</v>
      </c>
      <c r="J2390" t="s">
        <v>471</v>
      </c>
      <c r="K2390" t="s">
        <v>25</v>
      </c>
      <c r="L2390" t="s">
        <v>26</v>
      </c>
      <c r="M2390" t="s">
        <v>27</v>
      </c>
      <c r="N2390" s="1">
        <v>18629</v>
      </c>
      <c r="O2390">
        <v>0</v>
      </c>
      <c r="P2390">
        <v>0</v>
      </c>
      <c r="Q2390" t="s">
        <v>37</v>
      </c>
      <c r="R2390" t="s">
        <v>71</v>
      </c>
      <c r="S2390" t="s">
        <v>790</v>
      </c>
      <c r="T2390" t="s">
        <v>791</v>
      </c>
    </row>
    <row r="2391" spans="1:20" x14ac:dyDescent="0.25">
      <c r="A2391" t="s">
        <v>6205</v>
      </c>
      <c r="B2391" t="str">
        <f>"7746"</f>
        <v>7746</v>
      </c>
      <c r="C2391" t="str">
        <f>"298807746"</f>
        <v>298807746</v>
      </c>
      <c r="D2391" t="s">
        <v>4350</v>
      </c>
      <c r="E2391" t="s">
        <v>4521</v>
      </c>
      <c r="F2391" t="s">
        <v>219</v>
      </c>
      <c r="G2391" s="1">
        <v>30345</v>
      </c>
      <c r="H2391" s="1">
        <v>40561</v>
      </c>
      <c r="I2391" t="str">
        <f t="shared" si="48"/>
        <v>51</v>
      </c>
      <c r="J2391" t="s">
        <v>471</v>
      </c>
      <c r="K2391" t="s">
        <v>25</v>
      </c>
      <c r="L2391" t="s">
        <v>26</v>
      </c>
      <c r="M2391" t="s">
        <v>27</v>
      </c>
      <c r="N2391" s="1">
        <v>18629</v>
      </c>
      <c r="O2391">
        <v>0</v>
      </c>
      <c r="P2391">
        <v>0</v>
      </c>
      <c r="Q2391" t="s">
        <v>37</v>
      </c>
      <c r="R2391" t="s">
        <v>51</v>
      </c>
      <c r="S2391" s="2" t="s">
        <v>2693</v>
      </c>
      <c r="T2391" t="s">
        <v>2694</v>
      </c>
    </row>
    <row r="2392" spans="1:20" x14ac:dyDescent="0.25">
      <c r="A2392" t="s">
        <v>6206</v>
      </c>
      <c r="B2392" t="str">
        <f>"4498"</f>
        <v>4498</v>
      </c>
      <c r="C2392" t="str">
        <f>"424534498"</f>
        <v>424534498</v>
      </c>
      <c r="D2392" t="s">
        <v>114</v>
      </c>
      <c r="E2392" t="s">
        <v>941</v>
      </c>
      <c r="F2392" t="s">
        <v>219</v>
      </c>
      <c r="G2392" s="1">
        <v>30518</v>
      </c>
      <c r="H2392" s="1">
        <v>40561</v>
      </c>
      <c r="I2392" t="str">
        <f t="shared" si="48"/>
        <v>51</v>
      </c>
      <c r="J2392" t="s">
        <v>471</v>
      </c>
      <c r="K2392" t="s">
        <v>25</v>
      </c>
      <c r="L2392" t="s">
        <v>26</v>
      </c>
      <c r="M2392" t="s">
        <v>27</v>
      </c>
      <c r="N2392" s="1">
        <v>18629</v>
      </c>
      <c r="O2392">
        <v>0</v>
      </c>
      <c r="P2392">
        <v>0</v>
      </c>
      <c r="Q2392" t="s">
        <v>28</v>
      </c>
      <c r="R2392" t="s">
        <v>100</v>
      </c>
      <c r="S2392" t="s">
        <v>3191</v>
      </c>
      <c r="T2392" t="s">
        <v>3192</v>
      </c>
    </row>
    <row r="2393" spans="1:20" x14ac:dyDescent="0.25">
      <c r="A2393" t="s">
        <v>6207</v>
      </c>
      <c r="B2393" t="str">
        <f>"2120"</f>
        <v>2120</v>
      </c>
      <c r="C2393" t="str">
        <f>"269722120"</f>
        <v>269722120</v>
      </c>
      <c r="D2393" t="s">
        <v>6208</v>
      </c>
      <c r="E2393" t="s">
        <v>6209</v>
      </c>
      <c r="F2393" t="s">
        <v>44</v>
      </c>
      <c r="G2393" s="1">
        <v>27913</v>
      </c>
      <c r="H2393" s="1">
        <v>40561</v>
      </c>
      <c r="I2393" t="str">
        <f t="shared" si="48"/>
        <v>51</v>
      </c>
      <c r="J2393" t="s">
        <v>471</v>
      </c>
      <c r="K2393" t="s">
        <v>25</v>
      </c>
      <c r="L2393" t="s">
        <v>26</v>
      </c>
      <c r="M2393" t="s">
        <v>27</v>
      </c>
      <c r="N2393" s="1">
        <v>18629</v>
      </c>
      <c r="O2393">
        <v>0</v>
      </c>
      <c r="P2393">
        <v>0</v>
      </c>
      <c r="Q2393" t="s">
        <v>37</v>
      </c>
      <c r="R2393" t="s">
        <v>29</v>
      </c>
      <c r="S2393" t="s">
        <v>138</v>
      </c>
      <c r="T2393" t="s">
        <v>139</v>
      </c>
    </row>
    <row r="2394" spans="1:20" x14ac:dyDescent="0.25">
      <c r="A2394" t="s">
        <v>6210</v>
      </c>
      <c r="B2394" t="str">
        <f>"7657"</f>
        <v>7657</v>
      </c>
      <c r="C2394" t="str">
        <f>"191387657"</f>
        <v>191387657</v>
      </c>
      <c r="D2394" t="s">
        <v>6211</v>
      </c>
      <c r="E2394" t="s">
        <v>832</v>
      </c>
      <c r="G2394" s="1">
        <v>17549</v>
      </c>
      <c r="H2394" s="1">
        <v>40561</v>
      </c>
      <c r="I2394" t="str">
        <f t="shared" si="48"/>
        <v>51</v>
      </c>
      <c r="J2394" t="s">
        <v>471</v>
      </c>
      <c r="K2394" t="s">
        <v>25</v>
      </c>
      <c r="L2394" t="s">
        <v>26</v>
      </c>
      <c r="M2394" t="s">
        <v>27</v>
      </c>
      <c r="N2394" s="1">
        <v>18629</v>
      </c>
      <c r="O2394">
        <v>0</v>
      </c>
      <c r="P2394">
        <v>0</v>
      </c>
      <c r="Q2394" t="s">
        <v>28</v>
      </c>
      <c r="R2394" t="s">
        <v>71</v>
      </c>
      <c r="S2394" t="s">
        <v>2602</v>
      </c>
      <c r="T2394" t="s">
        <v>2603</v>
      </c>
    </row>
    <row r="2395" spans="1:20" x14ac:dyDescent="0.25">
      <c r="A2395" t="s">
        <v>6212</v>
      </c>
      <c r="B2395" t="str">
        <f>"9668"</f>
        <v>9668</v>
      </c>
      <c r="C2395" t="str">
        <f>"302449668"</f>
        <v>302449668</v>
      </c>
      <c r="D2395" t="s">
        <v>6213</v>
      </c>
      <c r="E2395" t="s">
        <v>106</v>
      </c>
      <c r="F2395" t="s">
        <v>93</v>
      </c>
      <c r="G2395" s="1">
        <v>17646</v>
      </c>
      <c r="H2395" s="1">
        <v>40561</v>
      </c>
      <c r="I2395" t="str">
        <f t="shared" si="48"/>
        <v>51</v>
      </c>
      <c r="J2395" t="s">
        <v>471</v>
      </c>
      <c r="K2395" t="s">
        <v>25</v>
      </c>
      <c r="L2395" t="s">
        <v>26</v>
      </c>
      <c r="M2395" t="s">
        <v>27</v>
      </c>
      <c r="N2395" s="1">
        <v>18629</v>
      </c>
      <c r="O2395">
        <v>0</v>
      </c>
      <c r="P2395">
        <v>0</v>
      </c>
      <c r="Q2395" t="s">
        <v>28</v>
      </c>
      <c r="R2395" t="s">
        <v>71</v>
      </c>
      <c r="S2395" t="s">
        <v>2458</v>
      </c>
      <c r="T2395" t="s">
        <v>2459</v>
      </c>
    </row>
    <row r="2396" spans="1:20" x14ac:dyDescent="0.25">
      <c r="A2396" t="s">
        <v>6214</v>
      </c>
      <c r="B2396" t="str">
        <f>"1265"</f>
        <v>1265</v>
      </c>
      <c r="C2396" t="str">
        <f>"169641265"</f>
        <v>169641265</v>
      </c>
      <c r="D2396" t="s">
        <v>6215</v>
      </c>
      <c r="E2396" t="s">
        <v>1666</v>
      </c>
      <c r="F2396" t="s">
        <v>93</v>
      </c>
      <c r="G2396" s="1">
        <v>26307</v>
      </c>
      <c r="H2396" s="1">
        <v>40560</v>
      </c>
      <c r="I2396" t="str">
        <f t="shared" si="48"/>
        <v>51</v>
      </c>
      <c r="J2396" t="s">
        <v>471</v>
      </c>
      <c r="K2396" t="s">
        <v>25</v>
      </c>
      <c r="L2396" t="s">
        <v>26</v>
      </c>
      <c r="M2396" t="s">
        <v>27</v>
      </c>
      <c r="N2396" s="1">
        <v>18629</v>
      </c>
      <c r="O2396">
        <v>0</v>
      </c>
      <c r="P2396">
        <v>0</v>
      </c>
      <c r="Q2396" t="s">
        <v>37</v>
      </c>
      <c r="R2396" t="s">
        <v>29</v>
      </c>
      <c r="S2396" t="s">
        <v>6132</v>
      </c>
      <c r="T2396" t="s">
        <v>6133</v>
      </c>
    </row>
    <row r="2397" spans="1:20" x14ac:dyDescent="0.25">
      <c r="A2397" t="s">
        <v>6216</v>
      </c>
      <c r="B2397" t="str">
        <f>"5443"</f>
        <v>5443</v>
      </c>
      <c r="C2397" t="str">
        <f>"385725443"</f>
        <v>385725443</v>
      </c>
      <c r="D2397" t="s">
        <v>2136</v>
      </c>
      <c r="E2397" t="s">
        <v>6217</v>
      </c>
      <c r="F2397" t="s">
        <v>264</v>
      </c>
      <c r="G2397" s="1">
        <v>27175</v>
      </c>
      <c r="H2397" s="1">
        <v>40560</v>
      </c>
      <c r="I2397" t="str">
        <f>"01"</f>
        <v>01</v>
      </c>
      <c r="J2397" t="s">
        <v>116</v>
      </c>
      <c r="K2397" t="s">
        <v>98</v>
      </c>
      <c r="L2397" t="s">
        <v>37</v>
      </c>
      <c r="M2397" t="s">
        <v>99</v>
      </c>
      <c r="N2397" s="1">
        <v>41617</v>
      </c>
      <c r="O2397">
        <v>14801.8</v>
      </c>
      <c r="P2397">
        <v>3700.32</v>
      </c>
      <c r="Q2397" t="s">
        <v>37</v>
      </c>
      <c r="R2397" t="s">
        <v>38</v>
      </c>
      <c r="S2397" t="s">
        <v>2678</v>
      </c>
      <c r="T2397" t="s">
        <v>2679</v>
      </c>
    </row>
    <row r="2398" spans="1:20" x14ac:dyDescent="0.25">
      <c r="A2398" t="s">
        <v>6218</v>
      </c>
      <c r="B2398" t="str">
        <f>"1508"</f>
        <v>1508</v>
      </c>
      <c r="C2398" t="str">
        <f>"377961508"</f>
        <v>377961508</v>
      </c>
      <c r="D2398" t="s">
        <v>6219</v>
      </c>
      <c r="E2398" t="s">
        <v>813</v>
      </c>
      <c r="F2398" t="s">
        <v>28</v>
      </c>
      <c r="G2398" s="1">
        <v>28331</v>
      </c>
      <c r="H2398" s="1">
        <v>40557</v>
      </c>
      <c r="I2398" t="str">
        <f>"20"</f>
        <v>20</v>
      </c>
      <c r="J2398" t="s">
        <v>123</v>
      </c>
      <c r="K2398" t="s">
        <v>98</v>
      </c>
      <c r="L2398" t="s">
        <v>37</v>
      </c>
      <c r="M2398" t="s">
        <v>99</v>
      </c>
      <c r="N2398" s="1">
        <v>41631</v>
      </c>
      <c r="O2398">
        <v>14801.82</v>
      </c>
      <c r="P2398">
        <v>3700.4</v>
      </c>
      <c r="Q2398" t="s">
        <v>37</v>
      </c>
      <c r="R2398" t="s">
        <v>100</v>
      </c>
      <c r="S2398" t="s">
        <v>2206</v>
      </c>
      <c r="T2398" t="s">
        <v>2207</v>
      </c>
    </row>
    <row r="2399" spans="1:20" x14ac:dyDescent="0.25">
      <c r="A2399" t="s">
        <v>6220</v>
      </c>
      <c r="B2399" t="str">
        <f>"2958"</f>
        <v>2958</v>
      </c>
      <c r="C2399" t="str">
        <f>"206442958"</f>
        <v>206442958</v>
      </c>
      <c r="D2399" t="s">
        <v>6221</v>
      </c>
      <c r="E2399" t="s">
        <v>3181</v>
      </c>
      <c r="G2399" s="1">
        <v>19798</v>
      </c>
      <c r="H2399" s="1">
        <v>40557</v>
      </c>
      <c r="I2399" t="str">
        <f>"52"</f>
        <v>52</v>
      </c>
      <c r="J2399" t="s">
        <v>330</v>
      </c>
      <c r="K2399" t="s">
        <v>25</v>
      </c>
      <c r="L2399" t="s">
        <v>26</v>
      </c>
      <c r="M2399" t="s">
        <v>27</v>
      </c>
      <c r="N2399" s="1">
        <v>18629</v>
      </c>
      <c r="O2399">
        <v>0</v>
      </c>
      <c r="P2399">
        <v>0</v>
      </c>
      <c r="Q2399" t="s">
        <v>28</v>
      </c>
      <c r="R2399" t="s">
        <v>51</v>
      </c>
      <c r="S2399" s="2" t="s">
        <v>362</v>
      </c>
      <c r="T2399" t="s">
        <v>363</v>
      </c>
    </row>
    <row r="2400" spans="1:20" x14ac:dyDescent="0.25">
      <c r="A2400" t="s">
        <v>6222</v>
      </c>
      <c r="B2400" t="str">
        <f>"7939"</f>
        <v>7939</v>
      </c>
      <c r="C2400" t="str">
        <f>"394787939"</f>
        <v>394787939</v>
      </c>
      <c r="D2400" t="s">
        <v>6223</v>
      </c>
      <c r="E2400" t="s">
        <v>1248</v>
      </c>
      <c r="F2400" t="s">
        <v>93</v>
      </c>
      <c r="G2400" s="1">
        <v>21864</v>
      </c>
      <c r="H2400" s="1">
        <v>40557</v>
      </c>
      <c r="I2400" t="str">
        <f>"20"</f>
        <v>20</v>
      </c>
      <c r="J2400" t="s">
        <v>123</v>
      </c>
      <c r="K2400" t="s">
        <v>98</v>
      </c>
      <c r="L2400" t="s">
        <v>37</v>
      </c>
      <c r="M2400" t="s">
        <v>257</v>
      </c>
      <c r="N2400" s="1">
        <v>41631</v>
      </c>
      <c r="O2400">
        <v>10753.16</v>
      </c>
      <c r="P2400">
        <v>2688.4</v>
      </c>
      <c r="Q2400" t="s">
        <v>37</v>
      </c>
      <c r="R2400" t="s">
        <v>100</v>
      </c>
      <c r="S2400" t="s">
        <v>246</v>
      </c>
      <c r="T2400" t="s">
        <v>247</v>
      </c>
    </row>
    <row r="2401" spans="1:20" x14ac:dyDescent="0.25">
      <c r="A2401" t="s">
        <v>6224</v>
      </c>
      <c r="B2401" t="str">
        <f>"1370"</f>
        <v>1370</v>
      </c>
      <c r="C2401" t="str">
        <f>"297521370"</f>
        <v>297521370</v>
      </c>
      <c r="D2401" t="s">
        <v>6225</v>
      </c>
      <c r="E2401" t="s">
        <v>194</v>
      </c>
      <c r="F2401" t="s">
        <v>37</v>
      </c>
      <c r="G2401" s="1">
        <v>23860</v>
      </c>
      <c r="H2401" s="1">
        <v>40557</v>
      </c>
      <c r="I2401" t="str">
        <f>"20"</f>
        <v>20</v>
      </c>
      <c r="J2401" t="s">
        <v>123</v>
      </c>
      <c r="K2401" t="s">
        <v>510</v>
      </c>
      <c r="L2401" t="s">
        <v>37</v>
      </c>
      <c r="M2401" t="s">
        <v>99</v>
      </c>
      <c r="N2401" s="1">
        <v>41631</v>
      </c>
      <c r="O2401">
        <v>19521.919999999998</v>
      </c>
      <c r="P2401">
        <v>4880.4799999999996</v>
      </c>
      <c r="Q2401" t="s">
        <v>37</v>
      </c>
      <c r="R2401" t="s">
        <v>346</v>
      </c>
      <c r="S2401" t="s">
        <v>1462</v>
      </c>
      <c r="T2401" t="s">
        <v>1463</v>
      </c>
    </row>
    <row r="2402" spans="1:20" x14ac:dyDescent="0.25">
      <c r="A2402" t="s">
        <v>6226</v>
      </c>
      <c r="B2402" t="str">
        <f>"7673"</f>
        <v>7673</v>
      </c>
      <c r="C2402" t="str">
        <f>"291807673"</f>
        <v>291807673</v>
      </c>
      <c r="D2402" t="s">
        <v>6227</v>
      </c>
      <c r="E2402" t="s">
        <v>782</v>
      </c>
      <c r="F2402" t="s">
        <v>1970</v>
      </c>
      <c r="G2402" s="1">
        <v>30177</v>
      </c>
      <c r="H2402" s="1">
        <v>40555</v>
      </c>
      <c r="I2402" t="str">
        <f>"20"</f>
        <v>20</v>
      </c>
      <c r="J2402" t="s">
        <v>123</v>
      </c>
      <c r="K2402" t="s">
        <v>98</v>
      </c>
      <c r="L2402" t="s">
        <v>37</v>
      </c>
      <c r="M2402" t="s">
        <v>257</v>
      </c>
      <c r="N2402" s="1">
        <v>41631</v>
      </c>
      <c r="O2402">
        <v>10753.16</v>
      </c>
      <c r="P2402">
        <v>2688.4</v>
      </c>
      <c r="Q2402" t="s">
        <v>37</v>
      </c>
      <c r="R2402" t="s">
        <v>100</v>
      </c>
      <c r="S2402" t="s">
        <v>138</v>
      </c>
      <c r="T2402" t="s">
        <v>139</v>
      </c>
    </row>
    <row r="2403" spans="1:20" x14ac:dyDescent="0.25">
      <c r="A2403" t="s">
        <v>6228</v>
      </c>
      <c r="B2403" t="str">
        <f>"5373"</f>
        <v>5373</v>
      </c>
      <c r="C2403" t="str">
        <f>"260745373"</f>
        <v>260745373</v>
      </c>
      <c r="D2403" t="s">
        <v>6229</v>
      </c>
      <c r="E2403" t="s">
        <v>197</v>
      </c>
      <c r="F2403" t="s">
        <v>438</v>
      </c>
      <c r="G2403" s="1">
        <v>20547</v>
      </c>
      <c r="H2403" s="1">
        <v>40555</v>
      </c>
      <c r="I2403" t="str">
        <f>"52"</f>
        <v>52</v>
      </c>
      <c r="J2403" t="s">
        <v>330</v>
      </c>
      <c r="K2403" t="s">
        <v>25</v>
      </c>
      <c r="L2403" t="s">
        <v>26</v>
      </c>
      <c r="M2403" t="s">
        <v>27</v>
      </c>
      <c r="N2403" s="1">
        <v>18629</v>
      </c>
      <c r="O2403">
        <v>0</v>
      </c>
      <c r="P2403">
        <v>0</v>
      </c>
      <c r="Q2403" t="s">
        <v>28</v>
      </c>
      <c r="R2403" t="s">
        <v>29</v>
      </c>
      <c r="S2403" t="s">
        <v>4000</v>
      </c>
      <c r="T2403" t="s">
        <v>4001</v>
      </c>
    </row>
    <row r="2404" spans="1:20" x14ac:dyDescent="0.25">
      <c r="A2404" t="s">
        <v>6230</v>
      </c>
      <c r="B2404" t="str">
        <f>"1572"</f>
        <v>1572</v>
      </c>
      <c r="C2404" t="str">
        <f>"273721572"</f>
        <v>273721572</v>
      </c>
      <c r="D2404" t="s">
        <v>6231</v>
      </c>
      <c r="E2404" t="s">
        <v>988</v>
      </c>
      <c r="F2404" t="s">
        <v>219</v>
      </c>
      <c r="G2404" s="1">
        <v>23358</v>
      </c>
      <c r="H2404" s="1">
        <v>40554</v>
      </c>
      <c r="I2404" t="str">
        <f>"52"</f>
        <v>52</v>
      </c>
      <c r="J2404" t="s">
        <v>330</v>
      </c>
      <c r="K2404" t="s">
        <v>25</v>
      </c>
      <c r="L2404" t="s">
        <v>26</v>
      </c>
      <c r="M2404" t="s">
        <v>27</v>
      </c>
      <c r="N2404" s="1">
        <v>18629</v>
      </c>
      <c r="O2404">
        <v>0</v>
      </c>
      <c r="P2404">
        <v>0</v>
      </c>
      <c r="Q2404" t="s">
        <v>28</v>
      </c>
      <c r="R2404" t="s">
        <v>29</v>
      </c>
      <c r="S2404" t="s">
        <v>4000</v>
      </c>
      <c r="T2404" t="s">
        <v>4001</v>
      </c>
    </row>
    <row r="2405" spans="1:20" x14ac:dyDescent="0.25">
      <c r="A2405" t="s">
        <v>6232</v>
      </c>
      <c r="B2405" t="str">
        <f>"9869"</f>
        <v>9869</v>
      </c>
      <c r="C2405" t="str">
        <f>"283119869"</f>
        <v>283119869</v>
      </c>
      <c r="D2405" t="s">
        <v>6233</v>
      </c>
      <c r="E2405" t="s">
        <v>6234</v>
      </c>
      <c r="G2405" s="1">
        <v>25005</v>
      </c>
      <c r="H2405" s="1">
        <v>40554</v>
      </c>
      <c r="I2405" t="str">
        <f>"51"</f>
        <v>51</v>
      </c>
      <c r="J2405" t="s">
        <v>471</v>
      </c>
      <c r="K2405" t="s">
        <v>25</v>
      </c>
      <c r="L2405" t="s">
        <v>26</v>
      </c>
      <c r="M2405" t="s">
        <v>27</v>
      </c>
      <c r="N2405" s="1">
        <v>18629</v>
      </c>
      <c r="O2405">
        <v>0</v>
      </c>
      <c r="P2405">
        <v>0</v>
      </c>
      <c r="Q2405" t="s">
        <v>37</v>
      </c>
      <c r="R2405" t="s">
        <v>71</v>
      </c>
      <c r="S2405" t="s">
        <v>871</v>
      </c>
      <c r="T2405" t="s">
        <v>872</v>
      </c>
    </row>
    <row r="2406" spans="1:20" x14ac:dyDescent="0.25">
      <c r="A2406" t="s">
        <v>6235</v>
      </c>
      <c r="B2406" t="str">
        <f>"4276"</f>
        <v>4276</v>
      </c>
      <c r="C2406" t="str">
        <f>"302724276"</f>
        <v>302724276</v>
      </c>
      <c r="D2406" t="s">
        <v>2794</v>
      </c>
      <c r="E2406" t="s">
        <v>1350</v>
      </c>
      <c r="F2406" t="s">
        <v>813</v>
      </c>
      <c r="G2406" s="1">
        <v>23479</v>
      </c>
      <c r="H2406" s="1">
        <v>40553</v>
      </c>
      <c r="I2406" t="str">
        <f>"15"</f>
        <v>15</v>
      </c>
      <c r="J2406" t="s">
        <v>36</v>
      </c>
      <c r="K2406" t="s">
        <v>175</v>
      </c>
      <c r="L2406" t="s">
        <v>37</v>
      </c>
      <c r="M2406" t="s">
        <v>99</v>
      </c>
      <c r="N2406" s="1">
        <v>41617</v>
      </c>
      <c r="O2406">
        <v>16411.72</v>
      </c>
      <c r="P2406">
        <v>4102.8</v>
      </c>
      <c r="Q2406" t="s">
        <v>37</v>
      </c>
      <c r="R2406" t="s">
        <v>38</v>
      </c>
      <c r="S2406" t="s">
        <v>982</v>
      </c>
      <c r="T2406" t="s">
        <v>983</v>
      </c>
    </row>
    <row r="2407" spans="1:20" x14ac:dyDescent="0.25">
      <c r="A2407" t="s">
        <v>6236</v>
      </c>
      <c r="B2407" t="str">
        <f>"9595"</f>
        <v>9595</v>
      </c>
      <c r="C2407" t="str">
        <f>"297909595"</f>
        <v>297909595</v>
      </c>
      <c r="D2407" t="s">
        <v>6237</v>
      </c>
      <c r="E2407" t="s">
        <v>6238</v>
      </c>
      <c r="F2407" t="s">
        <v>28</v>
      </c>
      <c r="G2407" s="1">
        <v>28778</v>
      </c>
      <c r="H2407" s="1">
        <v>40553</v>
      </c>
      <c r="I2407" t="str">
        <f>"42"</f>
        <v>42</v>
      </c>
      <c r="J2407" t="s">
        <v>367</v>
      </c>
      <c r="K2407" t="s">
        <v>25</v>
      </c>
      <c r="L2407" t="s">
        <v>26</v>
      </c>
      <c r="M2407" t="s">
        <v>27</v>
      </c>
      <c r="N2407" s="1">
        <v>18629</v>
      </c>
      <c r="O2407">
        <v>0</v>
      </c>
      <c r="P2407">
        <v>0</v>
      </c>
      <c r="Q2407" t="s">
        <v>28</v>
      </c>
      <c r="R2407" t="s">
        <v>100</v>
      </c>
      <c r="S2407" t="s">
        <v>3959</v>
      </c>
      <c r="T2407" t="s">
        <v>3960</v>
      </c>
    </row>
    <row r="2408" spans="1:20" x14ac:dyDescent="0.25">
      <c r="A2408" t="s">
        <v>6239</v>
      </c>
      <c r="B2408" t="str">
        <f>"7242"</f>
        <v>7242</v>
      </c>
      <c r="C2408" t="str">
        <f>"302727242"</f>
        <v>302727242</v>
      </c>
      <c r="D2408" t="s">
        <v>1156</v>
      </c>
      <c r="E2408" t="s">
        <v>197</v>
      </c>
      <c r="F2408" t="s">
        <v>93</v>
      </c>
      <c r="G2408" s="1">
        <v>23151</v>
      </c>
      <c r="H2408" s="1">
        <v>40553</v>
      </c>
      <c r="I2408" t="str">
        <f>"03"</f>
        <v>03</v>
      </c>
      <c r="J2408" t="s">
        <v>70</v>
      </c>
      <c r="K2408" t="s">
        <v>98</v>
      </c>
      <c r="L2408" t="s">
        <v>37</v>
      </c>
      <c r="M2408" t="s">
        <v>117</v>
      </c>
      <c r="N2408" s="1">
        <v>41617</v>
      </c>
      <c r="O2408">
        <v>4951.96</v>
      </c>
      <c r="P2408">
        <v>1237.8599999999999</v>
      </c>
      <c r="Q2408" t="s">
        <v>28</v>
      </c>
      <c r="R2408" t="s">
        <v>29</v>
      </c>
      <c r="S2408" t="s">
        <v>1454</v>
      </c>
      <c r="T2408" t="s">
        <v>1455</v>
      </c>
    </row>
    <row r="2409" spans="1:20" x14ac:dyDescent="0.25">
      <c r="A2409" t="s">
        <v>6240</v>
      </c>
      <c r="B2409" t="str">
        <f>"8452"</f>
        <v>8452</v>
      </c>
      <c r="C2409" t="str">
        <f>"297768452"</f>
        <v>297768452</v>
      </c>
      <c r="D2409" t="s">
        <v>6241</v>
      </c>
      <c r="E2409" t="s">
        <v>2385</v>
      </c>
      <c r="F2409" t="s">
        <v>358</v>
      </c>
      <c r="G2409" s="1">
        <v>24436</v>
      </c>
      <c r="H2409" s="1">
        <v>40553</v>
      </c>
      <c r="I2409" t="str">
        <f>"41"</f>
        <v>41</v>
      </c>
      <c r="J2409" t="s">
        <v>24</v>
      </c>
      <c r="K2409" t="s">
        <v>25</v>
      </c>
      <c r="L2409" t="s">
        <v>26</v>
      </c>
      <c r="M2409" t="s">
        <v>27</v>
      </c>
      <c r="N2409" s="1">
        <v>18629</v>
      </c>
      <c r="O2409">
        <v>0</v>
      </c>
      <c r="P2409">
        <v>0</v>
      </c>
      <c r="Q2409" t="s">
        <v>37</v>
      </c>
      <c r="R2409" t="s">
        <v>51</v>
      </c>
      <c r="S2409" t="s">
        <v>138</v>
      </c>
      <c r="T2409" t="s">
        <v>139</v>
      </c>
    </row>
    <row r="2410" spans="1:20" x14ac:dyDescent="0.25">
      <c r="A2410" t="s">
        <v>6242</v>
      </c>
      <c r="B2410" t="str">
        <f>"5519"</f>
        <v>5519</v>
      </c>
      <c r="C2410" t="str">
        <f>"214865519"</f>
        <v>214865519</v>
      </c>
      <c r="D2410" t="s">
        <v>6243</v>
      </c>
      <c r="E2410" t="s">
        <v>1094</v>
      </c>
      <c r="F2410" t="s">
        <v>28</v>
      </c>
      <c r="G2410" s="1">
        <v>23787</v>
      </c>
      <c r="H2410" s="1">
        <v>40553</v>
      </c>
      <c r="I2410" t="str">
        <f>"15"</f>
        <v>15</v>
      </c>
      <c r="J2410" t="s">
        <v>36</v>
      </c>
      <c r="L2410" t="s">
        <v>37</v>
      </c>
      <c r="M2410" t="s">
        <v>143</v>
      </c>
      <c r="N2410" s="1">
        <v>41617</v>
      </c>
      <c r="O2410">
        <v>185.9</v>
      </c>
      <c r="P2410">
        <v>-185.9</v>
      </c>
      <c r="Q2410" t="s">
        <v>37</v>
      </c>
      <c r="R2410" t="s">
        <v>346</v>
      </c>
      <c r="S2410" t="s">
        <v>5770</v>
      </c>
      <c r="T2410" t="s">
        <v>5771</v>
      </c>
    </row>
    <row r="2411" spans="1:20" x14ac:dyDescent="0.25">
      <c r="A2411" t="s">
        <v>6244</v>
      </c>
      <c r="B2411" t="str">
        <f>"0500"</f>
        <v>0500</v>
      </c>
      <c r="C2411" t="str">
        <f>"277500500"</f>
        <v>277500500</v>
      </c>
      <c r="D2411" t="s">
        <v>1798</v>
      </c>
      <c r="E2411" t="s">
        <v>4512</v>
      </c>
      <c r="G2411" s="1">
        <v>19525</v>
      </c>
      <c r="H2411" s="1">
        <v>40553</v>
      </c>
      <c r="I2411" t="str">
        <f>"07"</f>
        <v>07</v>
      </c>
      <c r="J2411" t="s">
        <v>1018</v>
      </c>
      <c r="K2411" t="s">
        <v>98</v>
      </c>
      <c r="L2411" t="s">
        <v>37</v>
      </c>
      <c r="M2411" t="s">
        <v>99</v>
      </c>
      <c r="N2411" s="1">
        <v>41617</v>
      </c>
      <c r="O2411">
        <v>14801.8</v>
      </c>
      <c r="P2411">
        <v>3700.32</v>
      </c>
      <c r="Q2411" t="s">
        <v>28</v>
      </c>
      <c r="R2411" t="s">
        <v>29</v>
      </c>
      <c r="S2411" t="s">
        <v>6245</v>
      </c>
      <c r="T2411" t="s">
        <v>6246</v>
      </c>
    </row>
    <row r="2412" spans="1:20" x14ac:dyDescent="0.25">
      <c r="A2412" t="s">
        <v>6247</v>
      </c>
      <c r="B2412" t="str">
        <f>"1341"</f>
        <v>1341</v>
      </c>
      <c r="C2412" t="str">
        <f>"289701341"</f>
        <v>289701341</v>
      </c>
      <c r="D2412" t="s">
        <v>798</v>
      </c>
      <c r="E2412" t="s">
        <v>430</v>
      </c>
      <c r="F2412" t="s">
        <v>6248</v>
      </c>
      <c r="G2412" s="1">
        <v>27680</v>
      </c>
      <c r="H2412" s="1">
        <v>40553</v>
      </c>
      <c r="I2412" t="str">
        <f>"42"</f>
        <v>42</v>
      </c>
      <c r="J2412" t="s">
        <v>367</v>
      </c>
      <c r="K2412" t="s">
        <v>25</v>
      </c>
      <c r="L2412" t="s">
        <v>26</v>
      </c>
      <c r="M2412" t="s">
        <v>27</v>
      </c>
      <c r="N2412" s="1">
        <v>18629</v>
      </c>
      <c r="O2412">
        <v>0</v>
      </c>
      <c r="P2412">
        <v>0</v>
      </c>
      <c r="Q2412" t="s">
        <v>28</v>
      </c>
      <c r="R2412" t="s">
        <v>100</v>
      </c>
      <c r="S2412" t="s">
        <v>3959</v>
      </c>
      <c r="T2412" t="s">
        <v>3960</v>
      </c>
    </row>
    <row r="2413" spans="1:20" x14ac:dyDescent="0.25">
      <c r="A2413" t="s">
        <v>6249</v>
      </c>
      <c r="B2413" t="str">
        <f>"1518"</f>
        <v>1518</v>
      </c>
      <c r="C2413" t="str">
        <f>"211661518"</f>
        <v>211661518</v>
      </c>
      <c r="D2413" t="s">
        <v>6250</v>
      </c>
      <c r="E2413" t="s">
        <v>2725</v>
      </c>
      <c r="F2413" t="s">
        <v>26</v>
      </c>
      <c r="G2413" s="1">
        <v>27253</v>
      </c>
      <c r="H2413" s="1">
        <v>40553</v>
      </c>
      <c r="I2413" t="str">
        <f>"41"</f>
        <v>41</v>
      </c>
      <c r="J2413" t="s">
        <v>24</v>
      </c>
      <c r="K2413" t="s">
        <v>25</v>
      </c>
      <c r="L2413" t="s">
        <v>26</v>
      </c>
      <c r="M2413" t="s">
        <v>27</v>
      </c>
      <c r="N2413" s="1">
        <v>18629</v>
      </c>
      <c r="O2413">
        <v>0</v>
      </c>
      <c r="P2413">
        <v>0</v>
      </c>
      <c r="Q2413" t="s">
        <v>37</v>
      </c>
      <c r="R2413" t="s">
        <v>29</v>
      </c>
      <c r="S2413" t="s">
        <v>138</v>
      </c>
      <c r="T2413" t="s">
        <v>139</v>
      </c>
    </row>
    <row r="2414" spans="1:20" x14ac:dyDescent="0.25">
      <c r="A2414" t="s">
        <v>6251</v>
      </c>
      <c r="B2414" t="str">
        <f>"5577"</f>
        <v>5577</v>
      </c>
      <c r="C2414" t="str">
        <f>"292385577"</f>
        <v>292385577</v>
      </c>
      <c r="D2414" t="s">
        <v>6252</v>
      </c>
      <c r="E2414" t="s">
        <v>6253</v>
      </c>
      <c r="G2414" s="1">
        <v>15471</v>
      </c>
      <c r="H2414" s="1">
        <v>40553</v>
      </c>
      <c r="I2414" t="str">
        <f>"41"</f>
        <v>41</v>
      </c>
      <c r="J2414" t="s">
        <v>24</v>
      </c>
      <c r="K2414" t="s">
        <v>25</v>
      </c>
      <c r="L2414" t="s">
        <v>26</v>
      </c>
      <c r="M2414" t="s">
        <v>27</v>
      </c>
      <c r="N2414" s="1">
        <v>18629</v>
      </c>
      <c r="O2414">
        <v>0</v>
      </c>
      <c r="P2414">
        <v>0</v>
      </c>
      <c r="Q2414" t="s">
        <v>37</v>
      </c>
      <c r="R2414" t="s">
        <v>51</v>
      </c>
      <c r="S2414" t="s">
        <v>138</v>
      </c>
      <c r="T2414" t="s">
        <v>139</v>
      </c>
    </row>
    <row r="2415" spans="1:20" x14ac:dyDescent="0.25">
      <c r="A2415" t="s">
        <v>6254</v>
      </c>
      <c r="B2415" t="str">
        <f>"1193"</f>
        <v>1193</v>
      </c>
      <c r="C2415" t="str">
        <f>"284501193"</f>
        <v>284501193</v>
      </c>
      <c r="D2415" t="s">
        <v>1755</v>
      </c>
      <c r="E2415" t="s">
        <v>1074</v>
      </c>
      <c r="F2415" t="s">
        <v>44</v>
      </c>
      <c r="G2415" s="1">
        <v>18964</v>
      </c>
      <c r="H2415" s="1">
        <v>40553</v>
      </c>
      <c r="I2415" t="str">
        <f>"30"</f>
        <v>30</v>
      </c>
      <c r="J2415" t="s">
        <v>50</v>
      </c>
      <c r="K2415" t="s">
        <v>25</v>
      </c>
      <c r="L2415" t="s">
        <v>26</v>
      </c>
      <c r="M2415" t="s">
        <v>27</v>
      </c>
      <c r="N2415" s="1">
        <v>18629</v>
      </c>
      <c r="O2415">
        <v>0</v>
      </c>
      <c r="P2415">
        <v>0</v>
      </c>
      <c r="Q2415" t="s">
        <v>37</v>
      </c>
      <c r="R2415" t="s">
        <v>71</v>
      </c>
      <c r="S2415" t="s">
        <v>209</v>
      </c>
      <c r="T2415" t="s">
        <v>210</v>
      </c>
    </row>
    <row r="2416" spans="1:20" x14ac:dyDescent="0.25">
      <c r="A2416" t="s">
        <v>6255</v>
      </c>
      <c r="B2416" t="str">
        <f>"4980"</f>
        <v>4980</v>
      </c>
      <c r="C2416" t="str">
        <f>"271584980"</f>
        <v>271584980</v>
      </c>
      <c r="D2416" t="s">
        <v>6256</v>
      </c>
      <c r="E2416" t="s">
        <v>35</v>
      </c>
      <c r="G2416" s="1">
        <v>23146</v>
      </c>
      <c r="H2416" s="1">
        <v>40553</v>
      </c>
      <c r="I2416" t="str">
        <f>"42"</f>
        <v>42</v>
      </c>
      <c r="J2416" t="s">
        <v>367</v>
      </c>
      <c r="K2416" t="s">
        <v>25</v>
      </c>
      <c r="L2416" t="s">
        <v>26</v>
      </c>
      <c r="M2416" t="s">
        <v>27</v>
      </c>
      <c r="N2416" s="1">
        <v>18629</v>
      </c>
      <c r="O2416">
        <v>0</v>
      </c>
      <c r="P2416">
        <v>0</v>
      </c>
      <c r="Q2416" t="s">
        <v>28</v>
      </c>
      <c r="R2416" t="s">
        <v>100</v>
      </c>
      <c r="S2416" t="s">
        <v>3959</v>
      </c>
      <c r="T2416" t="s">
        <v>3960</v>
      </c>
    </row>
    <row r="2417" spans="1:20" x14ac:dyDescent="0.25">
      <c r="A2417" t="s">
        <v>6257</v>
      </c>
      <c r="B2417" t="str">
        <f>"9619"</f>
        <v>9619</v>
      </c>
      <c r="C2417" t="str">
        <f>"270669619"</f>
        <v>270669619</v>
      </c>
      <c r="D2417" t="s">
        <v>866</v>
      </c>
      <c r="E2417" t="s">
        <v>6258</v>
      </c>
      <c r="F2417" t="s">
        <v>165</v>
      </c>
      <c r="G2417" s="1">
        <v>27096</v>
      </c>
      <c r="H2417" s="1">
        <v>40553</v>
      </c>
      <c r="I2417" t="str">
        <f>"41"</f>
        <v>41</v>
      </c>
      <c r="J2417" t="s">
        <v>24</v>
      </c>
      <c r="K2417" t="s">
        <v>25</v>
      </c>
      <c r="L2417" t="s">
        <v>26</v>
      </c>
      <c r="M2417" t="s">
        <v>27</v>
      </c>
      <c r="N2417" s="1">
        <v>18629</v>
      </c>
      <c r="O2417">
        <v>0</v>
      </c>
      <c r="P2417">
        <v>0</v>
      </c>
      <c r="Q2417" t="s">
        <v>37</v>
      </c>
      <c r="R2417" t="s">
        <v>51</v>
      </c>
      <c r="S2417" t="s">
        <v>138</v>
      </c>
      <c r="T2417" t="s">
        <v>139</v>
      </c>
    </row>
    <row r="2418" spans="1:20" x14ac:dyDescent="0.25">
      <c r="A2418" t="s">
        <v>6259</v>
      </c>
      <c r="B2418" t="str">
        <f>"6935"</f>
        <v>6935</v>
      </c>
      <c r="C2418" t="str">
        <f>"354726935"</f>
        <v>354726935</v>
      </c>
      <c r="D2418" t="s">
        <v>6260</v>
      </c>
      <c r="E2418" t="s">
        <v>1784</v>
      </c>
      <c r="F2418" t="s">
        <v>6261</v>
      </c>
      <c r="G2418" s="1">
        <v>26469</v>
      </c>
      <c r="H2418" s="1">
        <v>40553</v>
      </c>
      <c r="I2418" t="str">
        <f>"03"</f>
        <v>03</v>
      </c>
      <c r="J2418" t="s">
        <v>70</v>
      </c>
      <c r="K2418" t="s">
        <v>98</v>
      </c>
      <c r="L2418" t="s">
        <v>37</v>
      </c>
      <c r="M2418" t="s">
        <v>257</v>
      </c>
      <c r="N2418" s="1">
        <v>41617</v>
      </c>
      <c r="O2418">
        <v>10753.08</v>
      </c>
      <c r="P2418">
        <v>2688.4</v>
      </c>
      <c r="Q2418" t="s">
        <v>37</v>
      </c>
      <c r="R2418" t="s">
        <v>29</v>
      </c>
      <c r="S2418" t="s">
        <v>1182</v>
      </c>
      <c r="T2418" t="s">
        <v>1183</v>
      </c>
    </row>
    <row r="2419" spans="1:20" x14ac:dyDescent="0.25">
      <c r="A2419" t="s">
        <v>6262</v>
      </c>
      <c r="B2419" t="str">
        <f>"6735"</f>
        <v>6735</v>
      </c>
      <c r="C2419" t="str">
        <f>"294566735"</f>
        <v>294566735</v>
      </c>
      <c r="D2419" t="s">
        <v>881</v>
      </c>
      <c r="E2419" t="s">
        <v>1134</v>
      </c>
      <c r="G2419" s="1">
        <v>20473</v>
      </c>
      <c r="H2419" s="1">
        <v>40553</v>
      </c>
      <c r="I2419" t="str">
        <f>"12"</f>
        <v>12</v>
      </c>
      <c r="J2419" t="s">
        <v>245</v>
      </c>
      <c r="K2419" t="s">
        <v>98</v>
      </c>
      <c r="L2419" t="s">
        <v>37</v>
      </c>
      <c r="M2419" t="s">
        <v>117</v>
      </c>
      <c r="N2419" s="1">
        <v>41617</v>
      </c>
      <c r="O2419">
        <v>4951.96</v>
      </c>
      <c r="P2419">
        <v>1237.8599999999999</v>
      </c>
      <c r="Q2419" t="s">
        <v>37</v>
      </c>
      <c r="R2419" t="s">
        <v>29</v>
      </c>
      <c r="S2419" t="s">
        <v>300</v>
      </c>
      <c r="T2419" t="s">
        <v>301</v>
      </c>
    </row>
    <row r="2420" spans="1:20" x14ac:dyDescent="0.25">
      <c r="A2420" t="s">
        <v>6263</v>
      </c>
      <c r="B2420" t="str">
        <f>"6019"</f>
        <v>6019</v>
      </c>
      <c r="C2420" t="str">
        <f>"287846019"</f>
        <v>287846019</v>
      </c>
      <c r="D2420" t="s">
        <v>6264</v>
      </c>
      <c r="E2420" t="s">
        <v>6265</v>
      </c>
      <c r="F2420" t="s">
        <v>6266</v>
      </c>
      <c r="G2420" s="1">
        <v>26388</v>
      </c>
      <c r="H2420" s="1">
        <v>40547</v>
      </c>
      <c r="I2420" t="str">
        <f>"52"</f>
        <v>52</v>
      </c>
      <c r="J2420" t="s">
        <v>330</v>
      </c>
      <c r="K2420" t="s">
        <v>25</v>
      </c>
      <c r="L2420" t="s">
        <v>26</v>
      </c>
      <c r="M2420" t="s">
        <v>27</v>
      </c>
      <c r="N2420" s="1">
        <v>18629</v>
      </c>
      <c r="O2420">
        <v>0</v>
      </c>
      <c r="P2420">
        <v>0</v>
      </c>
      <c r="Q2420" t="s">
        <v>37</v>
      </c>
      <c r="R2420" t="s">
        <v>258</v>
      </c>
      <c r="S2420" t="s">
        <v>678</v>
      </c>
      <c r="T2420" t="s">
        <v>679</v>
      </c>
    </row>
    <row r="2421" spans="1:20" x14ac:dyDescent="0.25">
      <c r="A2421" t="s">
        <v>6267</v>
      </c>
      <c r="B2421" t="str">
        <f>"8753"</f>
        <v>8753</v>
      </c>
      <c r="C2421" t="str">
        <f>"276768753"</f>
        <v>276768753</v>
      </c>
      <c r="D2421" t="s">
        <v>6268</v>
      </c>
      <c r="E2421" t="s">
        <v>255</v>
      </c>
      <c r="F2421" t="s">
        <v>28</v>
      </c>
      <c r="G2421" s="1">
        <v>23266</v>
      </c>
      <c r="H2421" s="1">
        <v>40547</v>
      </c>
      <c r="I2421" t="str">
        <f>"15"</f>
        <v>15</v>
      </c>
      <c r="J2421" t="s">
        <v>36</v>
      </c>
      <c r="L2421" t="s">
        <v>37</v>
      </c>
      <c r="M2421" t="s">
        <v>143</v>
      </c>
      <c r="N2421" s="1">
        <v>41617</v>
      </c>
      <c r="O2421">
        <v>185.9</v>
      </c>
      <c r="P2421">
        <v>-185.9</v>
      </c>
      <c r="Q2421" t="s">
        <v>37</v>
      </c>
      <c r="R2421" t="s">
        <v>599</v>
      </c>
      <c r="S2421" t="s">
        <v>600</v>
      </c>
      <c r="T2421" t="s">
        <v>601</v>
      </c>
    </row>
    <row r="2422" spans="1:20" x14ac:dyDescent="0.25">
      <c r="A2422" t="s">
        <v>6269</v>
      </c>
      <c r="B2422" t="str">
        <f>"1501"</f>
        <v>1501</v>
      </c>
      <c r="C2422" t="str">
        <f>"290501501"</f>
        <v>290501501</v>
      </c>
      <c r="D2422" t="s">
        <v>2702</v>
      </c>
      <c r="E2422" t="s">
        <v>6270</v>
      </c>
      <c r="G2422" s="1">
        <v>18807</v>
      </c>
      <c r="H2422" s="1">
        <v>40547</v>
      </c>
      <c r="I2422" t="str">
        <f>"52"</f>
        <v>52</v>
      </c>
      <c r="J2422" t="s">
        <v>330</v>
      </c>
      <c r="K2422" t="s">
        <v>25</v>
      </c>
      <c r="L2422" t="s">
        <v>26</v>
      </c>
      <c r="M2422" t="s">
        <v>27</v>
      </c>
      <c r="N2422" s="1">
        <v>18629</v>
      </c>
      <c r="O2422">
        <v>0</v>
      </c>
      <c r="P2422">
        <v>0</v>
      </c>
      <c r="Q2422" t="s">
        <v>37</v>
      </c>
      <c r="R2422" t="s">
        <v>258</v>
      </c>
      <c r="S2422" t="s">
        <v>678</v>
      </c>
      <c r="T2422" t="s">
        <v>679</v>
      </c>
    </row>
    <row r="2423" spans="1:20" x14ac:dyDescent="0.25">
      <c r="A2423" t="s">
        <v>6271</v>
      </c>
      <c r="B2423" t="str">
        <f>"0198"</f>
        <v>0198</v>
      </c>
      <c r="C2423" t="str">
        <f>"287540198"</f>
        <v>287540198</v>
      </c>
      <c r="D2423" t="s">
        <v>3425</v>
      </c>
      <c r="E2423" t="s">
        <v>1399</v>
      </c>
      <c r="G2423" s="1">
        <v>19175</v>
      </c>
      <c r="H2423" s="1">
        <v>40546</v>
      </c>
      <c r="I2423" t="str">
        <f>"20"</f>
        <v>20</v>
      </c>
      <c r="J2423" t="s">
        <v>123</v>
      </c>
      <c r="K2423" t="s">
        <v>98</v>
      </c>
      <c r="L2423" t="s">
        <v>37</v>
      </c>
      <c r="M2423" t="s">
        <v>257</v>
      </c>
      <c r="N2423" s="1">
        <v>41631</v>
      </c>
      <c r="O2423">
        <v>10753.16</v>
      </c>
      <c r="P2423">
        <v>2688.4</v>
      </c>
      <c r="Q2423" t="s">
        <v>28</v>
      </c>
      <c r="R2423" t="s">
        <v>29</v>
      </c>
      <c r="S2423" t="s">
        <v>138</v>
      </c>
      <c r="T2423" t="s">
        <v>139</v>
      </c>
    </row>
    <row r="2424" spans="1:20" x14ac:dyDescent="0.25">
      <c r="A2424" t="s">
        <v>6272</v>
      </c>
      <c r="B2424" t="str">
        <f>"9490"</f>
        <v>9490</v>
      </c>
      <c r="C2424" t="str">
        <f>"290869490"</f>
        <v>290869490</v>
      </c>
      <c r="D2424" t="s">
        <v>2794</v>
      </c>
      <c r="E2424" t="s">
        <v>173</v>
      </c>
      <c r="F2424" t="s">
        <v>6273</v>
      </c>
      <c r="G2424" s="1">
        <v>29843</v>
      </c>
      <c r="H2424" s="1">
        <v>40546</v>
      </c>
      <c r="I2424" t="str">
        <f>"05"</f>
        <v>05</v>
      </c>
      <c r="J2424" t="s">
        <v>58</v>
      </c>
      <c r="K2424" t="s">
        <v>98</v>
      </c>
      <c r="L2424" t="s">
        <v>37</v>
      </c>
      <c r="M2424" t="s">
        <v>117</v>
      </c>
      <c r="N2424" s="1">
        <v>41617</v>
      </c>
      <c r="O2424">
        <v>4951.96</v>
      </c>
      <c r="P2424">
        <v>1237.8599999999999</v>
      </c>
      <c r="Q2424" t="s">
        <v>37</v>
      </c>
      <c r="R2424" t="s">
        <v>599</v>
      </c>
      <c r="S2424" t="s">
        <v>600</v>
      </c>
      <c r="T2424" t="s">
        <v>601</v>
      </c>
    </row>
    <row r="2425" spans="1:20" x14ac:dyDescent="0.25">
      <c r="A2425" t="s">
        <v>6274</v>
      </c>
      <c r="B2425" t="str">
        <f>"8116"</f>
        <v>8116</v>
      </c>
      <c r="C2425" t="str">
        <f>"609608116"</f>
        <v>609608116</v>
      </c>
      <c r="D2425" t="s">
        <v>6275</v>
      </c>
      <c r="E2425" t="s">
        <v>1026</v>
      </c>
      <c r="F2425" t="s">
        <v>414</v>
      </c>
      <c r="G2425" s="1">
        <v>20334</v>
      </c>
      <c r="H2425" s="1">
        <v>40546</v>
      </c>
      <c r="I2425" t="str">
        <f>"51"</f>
        <v>51</v>
      </c>
      <c r="J2425" t="s">
        <v>471</v>
      </c>
      <c r="K2425" t="s">
        <v>25</v>
      </c>
      <c r="L2425" t="s">
        <v>26</v>
      </c>
      <c r="M2425" t="s">
        <v>27</v>
      </c>
      <c r="N2425" s="1">
        <v>18629</v>
      </c>
      <c r="O2425">
        <v>0</v>
      </c>
      <c r="P2425">
        <v>0</v>
      </c>
      <c r="Q2425" t="s">
        <v>37</v>
      </c>
      <c r="R2425" t="s">
        <v>29</v>
      </c>
      <c r="S2425" t="s">
        <v>138</v>
      </c>
      <c r="T2425" t="s">
        <v>139</v>
      </c>
    </row>
    <row r="2426" spans="1:20" x14ac:dyDescent="0.25">
      <c r="A2426" t="s">
        <v>6276</v>
      </c>
      <c r="B2426" t="str">
        <f>"7994"</f>
        <v>7994</v>
      </c>
      <c r="C2426" t="str">
        <f>"281827994"</f>
        <v>281827994</v>
      </c>
      <c r="D2426" t="s">
        <v>6277</v>
      </c>
      <c r="E2426" t="s">
        <v>48</v>
      </c>
      <c r="F2426" t="s">
        <v>49</v>
      </c>
      <c r="G2426" s="1">
        <v>25101</v>
      </c>
      <c r="H2426" s="1">
        <v>40546</v>
      </c>
      <c r="I2426" t="str">
        <f>"03"</f>
        <v>03</v>
      </c>
      <c r="J2426" t="s">
        <v>70</v>
      </c>
      <c r="K2426" t="s">
        <v>98</v>
      </c>
      <c r="L2426" t="s">
        <v>37</v>
      </c>
      <c r="M2426" t="s">
        <v>117</v>
      </c>
      <c r="N2426" s="1">
        <v>41617</v>
      </c>
      <c r="O2426">
        <v>4951.96</v>
      </c>
      <c r="P2426">
        <v>1237.8599999999999</v>
      </c>
      <c r="Q2426" t="s">
        <v>37</v>
      </c>
      <c r="R2426" t="s">
        <v>29</v>
      </c>
      <c r="S2426" t="s">
        <v>138</v>
      </c>
      <c r="T2426" t="s">
        <v>139</v>
      </c>
    </row>
    <row r="2427" spans="1:20" x14ac:dyDescent="0.25">
      <c r="A2427" t="s">
        <v>6278</v>
      </c>
      <c r="B2427" t="str">
        <f>"1296"</f>
        <v>1296</v>
      </c>
      <c r="C2427" t="str">
        <f>"425891296"</f>
        <v>425891296</v>
      </c>
      <c r="D2427" t="s">
        <v>6279</v>
      </c>
      <c r="E2427" t="s">
        <v>6280</v>
      </c>
      <c r="F2427" t="s">
        <v>190</v>
      </c>
      <c r="G2427" s="1">
        <v>27744</v>
      </c>
      <c r="H2427" s="1">
        <v>40546</v>
      </c>
      <c r="I2427" t="str">
        <f>"20"</f>
        <v>20</v>
      </c>
      <c r="J2427" t="s">
        <v>123</v>
      </c>
      <c r="K2427" t="s">
        <v>98</v>
      </c>
      <c r="L2427" t="s">
        <v>37</v>
      </c>
      <c r="M2427" t="s">
        <v>99</v>
      </c>
      <c r="N2427" s="1">
        <v>41631</v>
      </c>
      <c r="O2427">
        <v>14801.82</v>
      </c>
      <c r="P2427">
        <v>3700.4</v>
      </c>
      <c r="Q2427" t="s">
        <v>37</v>
      </c>
      <c r="R2427" t="s">
        <v>51</v>
      </c>
      <c r="S2427" s="2" t="s">
        <v>3136</v>
      </c>
      <c r="T2427" t="s">
        <v>3137</v>
      </c>
    </row>
    <row r="2428" spans="1:20" x14ac:dyDescent="0.25">
      <c r="A2428" t="s">
        <v>6281</v>
      </c>
      <c r="B2428" t="str">
        <f>"7529"</f>
        <v>7529</v>
      </c>
      <c r="C2428" t="str">
        <f>"283527529"</f>
        <v>283527529</v>
      </c>
      <c r="D2428" t="s">
        <v>6282</v>
      </c>
      <c r="E2428" t="s">
        <v>372</v>
      </c>
      <c r="F2428" t="s">
        <v>165</v>
      </c>
      <c r="G2428" s="1">
        <v>19039</v>
      </c>
      <c r="H2428" s="1">
        <v>40546</v>
      </c>
      <c r="I2428" t="str">
        <f>"05"</f>
        <v>05</v>
      </c>
      <c r="J2428" t="s">
        <v>58</v>
      </c>
      <c r="K2428" t="s">
        <v>98</v>
      </c>
      <c r="L2428" t="s">
        <v>37</v>
      </c>
      <c r="M2428" t="s">
        <v>257</v>
      </c>
      <c r="N2428" s="1">
        <v>41617</v>
      </c>
      <c r="O2428">
        <v>10753.08</v>
      </c>
      <c r="P2428">
        <v>2688.4</v>
      </c>
      <c r="Q2428" t="s">
        <v>37</v>
      </c>
      <c r="R2428" t="s">
        <v>599</v>
      </c>
      <c r="S2428" t="s">
        <v>600</v>
      </c>
      <c r="T2428" t="s">
        <v>601</v>
      </c>
    </row>
    <row r="2429" spans="1:20" x14ac:dyDescent="0.25">
      <c r="A2429" t="s">
        <v>6283</v>
      </c>
      <c r="B2429" t="str">
        <f>"9596"</f>
        <v>9596</v>
      </c>
      <c r="C2429" t="str">
        <f>"170449596"</f>
        <v>170449596</v>
      </c>
      <c r="D2429" t="s">
        <v>6284</v>
      </c>
      <c r="E2429" t="s">
        <v>6285</v>
      </c>
      <c r="G2429" s="1">
        <v>19493</v>
      </c>
      <c r="H2429" s="1">
        <v>40546</v>
      </c>
      <c r="I2429" t="str">
        <f>"01"</f>
        <v>01</v>
      </c>
      <c r="J2429" t="s">
        <v>116</v>
      </c>
      <c r="K2429" t="s">
        <v>98</v>
      </c>
      <c r="L2429" t="s">
        <v>37</v>
      </c>
      <c r="M2429" t="s">
        <v>257</v>
      </c>
      <c r="N2429" s="1">
        <v>41617</v>
      </c>
      <c r="O2429">
        <v>10753.08</v>
      </c>
      <c r="P2429">
        <v>2688.4</v>
      </c>
      <c r="Q2429" t="s">
        <v>28</v>
      </c>
      <c r="R2429" t="s">
        <v>51</v>
      </c>
      <c r="S2429" s="2" t="s">
        <v>1140</v>
      </c>
      <c r="T2429" t="s">
        <v>1141</v>
      </c>
    </row>
    <row r="2430" spans="1:20" x14ac:dyDescent="0.25">
      <c r="A2430" t="s">
        <v>6286</v>
      </c>
      <c r="B2430" t="str">
        <f>"6661"</f>
        <v>6661</v>
      </c>
      <c r="C2430" t="str">
        <f>"270726661"</f>
        <v>270726661</v>
      </c>
      <c r="D2430" t="s">
        <v>6287</v>
      </c>
      <c r="E2430" t="s">
        <v>5442</v>
      </c>
      <c r="F2430" t="s">
        <v>97</v>
      </c>
      <c r="G2430" s="1">
        <v>24715</v>
      </c>
      <c r="H2430" s="1">
        <v>40546</v>
      </c>
      <c r="I2430" t="str">
        <f>"52"</f>
        <v>52</v>
      </c>
      <c r="J2430" t="s">
        <v>330</v>
      </c>
      <c r="K2430" t="s">
        <v>25</v>
      </c>
      <c r="L2430" t="s">
        <v>26</v>
      </c>
      <c r="M2430" t="s">
        <v>27</v>
      </c>
      <c r="N2430" s="1">
        <v>18629</v>
      </c>
      <c r="O2430">
        <v>0</v>
      </c>
      <c r="P2430">
        <v>0</v>
      </c>
      <c r="Q2430" t="s">
        <v>37</v>
      </c>
      <c r="R2430" t="s">
        <v>258</v>
      </c>
      <c r="S2430" t="s">
        <v>678</v>
      </c>
      <c r="T2430" t="s">
        <v>679</v>
      </c>
    </row>
    <row r="2431" spans="1:20" x14ac:dyDescent="0.25">
      <c r="A2431" t="s">
        <v>6288</v>
      </c>
      <c r="B2431" t="str">
        <f>"1594"</f>
        <v>1594</v>
      </c>
      <c r="C2431" t="str">
        <f>"287661594"</f>
        <v>287661594</v>
      </c>
      <c r="D2431" t="s">
        <v>6289</v>
      </c>
      <c r="E2431" t="s">
        <v>1363</v>
      </c>
      <c r="F2431" t="s">
        <v>2146</v>
      </c>
      <c r="G2431" s="1">
        <v>25121</v>
      </c>
      <c r="H2431" s="1">
        <v>40539</v>
      </c>
      <c r="I2431" t="str">
        <f>"51"</f>
        <v>51</v>
      </c>
      <c r="J2431" t="s">
        <v>471</v>
      </c>
      <c r="K2431" t="s">
        <v>25</v>
      </c>
      <c r="L2431" t="s">
        <v>26</v>
      </c>
      <c r="M2431" t="s">
        <v>27</v>
      </c>
      <c r="N2431" s="1">
        <v>18629</v>
      </c>
      <c r="O2431">
        <v>0</v>
      </c>
      <c r="P2431">
        <v>0</v>
      </c>
      <c r="Q2431" t="s">
        <v>37</v>
      </c>
      <c r="R2431" t="s">
        <v>100</v>
      </c>
      <c r="S2431" t="s">
        <v>1392</v>
      </c>
      <c r="T2431" t="s">
        <v>1393</v>
      </c>
    </row>
    <row r="2432" spans="1:20" x14ac:dyDescent="0.25">
      <c r="A2432" t="s">
        <v>6290</v>
      </c>
      <c r="B2432" t="str">
        <f>"4967"</f>
        <v>4967</v>
      </c>
      <c r="C2432" t="str">
        <f>"286504967"</f>
        <v>286504967</v>
      </c>
      <c r="D2432" t="s">
        <v>6291</v>
      </c>
      <c r="E2432" t="s">
        <v>2110</v>
      </c>
      <c r="F2432" t="s">
        <v>93</v>
      </c>
      <c r="G2432" s="1">
        <v>18582</v>
      </c>
      <c r="H2432" s="1">
        <v>40525</v>
      </c>
      <c r="I2432" t="str">
        <f>"15"</f>
        <v>15</v>
      </c>
      <c r="J2432" t="s">
        <v>36</v>
      </c>
      <c r="K2432" t="s">
        <v>510</v>
      </c>
      <c r="L2432" t="s">
        <v>37</v>
      </c>
      <c r="M2432" t="s">
        <v>117</v>
      </c>
      <c r="N2432" s="1">
        <v>41659</v>
      </c>
      <c r="O2432">
        <v>6477.12</v>
      </c>
      <c r="P2432">
        <v>1619.28</v>
      </c>
      <c r="Q2432" t="s">
        <v>37</v>
      </c>
      <c r="R2432" t="s">
        <v>29</v>
      </c>
      <c r="S2432" s="2" t="s">
        <v>1148</v>
      </c>
      <c r="T2432" t="s">
        <v>1149</v>
      </c>
    </row>
    <row r="2433" spans="1:20" x14ac:dyDescent="0.25">
      <c r="A2433" t="s">
        <v>6292</v>
      </c>
      <c r="B2433" t="str">
        <f>"5318"</f>
        <v>5318</v>
      </c>
      <c r="C2433" t="str">
        <f>"294545318"</f>
        <v>294545318</v>
      </c>
      <c r="D2433" t="s">
        <v>6293</v>
      </c>
      <c r="E2433" t="s">
        <v>5096</v>
      </c>
      <c r="F2433" t="s">
        <v>44</v>
      </c>
      <c r="G2433" s="1">
        <v>20060</v>
      </c>
      <c r="H2433" s="1">
        <v>40518</v>
      </c>
      <c r="I2433" t="str">
        <f>"05"</f>
        <v>05</v>
      </c>
      <c r="J2433" t="s">
        <v>58</v>
      </c>
      <c r="K2433" t="s">
        <v>98</v>
      </c>
      <c r="L2433" t="s">
        <v>37</v>
      </c>
      <c r="M2433" t="s">
        <v>257</v>
      </c>
      <c r="N2433" s="1">
        <v>41617</v>
      </c>
      <c r="O2433">
        <v>10753.08</v>
      </c>
      <c r="P2433">
        <v>2688.4</v>
      </c>
      <c r="Q2433" t="s">
        <v>37</v>
      </c>
      <c r="R2433" t="s">
        <v>71</v>
      </c>
      <c r="S2433" t="s">
        <v>857</v>
      </c>
      <c r="T2433" t="s">
        <v>858</v>
      </c>
    </row>
    <row r="2434" spans="1:20" x14ac:dyDescent="0.25">
      <c r="A2434" t="s">
        <v>6294</v>
      </c>
      <c r="B2434" t="str">
        <f>"0142"</f>
        <v>0142</v>
      </c>
      <c r="C2434" t="str">
        <f>"283620142"</f>
        <v>283620142</v>
      </c>
      <c r="D2434" t="s">
        <v>6295</v>
      </c>
      <c r="E2434" t="s">
        <v>179</v>
      </c>
      <c r="G2434" s="1">
        <v>26680</v>
      </c>
      <c r="H2434" s="1">
        <v>40518</v>
      </c>
      <c r="I2434" t="str">
        <f>"05"</f>
        <v>05</v>
      </c>
      <c r="J2434" t="s">
        <v>58</v>
      </c>
      <c r="L2434" t="s">
        <v>37</v>
      </c>
      <c r="M2434" t="s">
        <v>143</v>
      </c>
      <c r="N2434" s="1">
        <v>41617</v>
      </c>
      <c r="O2434">
        <v>185.9</v>
      </c>
      <c r="P2434">
        <v>-185.9</v>
      </c>
      <c r="Q2434" t="s">
        <v>28</v>
      </c>
      <c r="R2434" t="s">
        <v>29</v>
      </c>
      <c r="S2434" t="s">
        <v>717</v>
      </c>
      <c r="T2434" t="s">
        <v>718</v>
      </c>
    </row>
    <row r="2435" spans="1:20" x14ac:dyDescent="0.25">
      <c r="A2435" t="s">
        <v>6296</v>
      </c>
      <c r="B2435" t="str">
        <f>"2728"</f>
        <v>2728</v>
      </c>
      <c r="C2435" t="str">
        <f>"479322728"</f>
        <v>479322728</v>
      </c>
      <c r="D2435" t="s">
        <v>2236</v>
      </c>
      <c r="E2435" t="s">
        <v>33</v>
      </c>
      <c r="F2435" t="s">
        <v>629</v>
      </c>
      <c r="G2435" s="1">
        <v>13110</v>
      </c>
      <c r="H2435" s="1">
        <v>40518</v>
      </c>
      <c r="I2435" t="str">
        <f>"50"</f>
        <v>50</v>
      </c>
      <c r="J2435" t="s">
        <v>208</v>
      </c>
      <c r="K2435" t="s">
        <v>25</v>
      </c>
      <c r="L2435" t="s">
        <v>26</v>
      </c>
      <c r="M2435" t="s">
        <v>27</v>
      </c>
      <c r="N2435" s="1">
        <v>18629</v>
      </c>
      <c r="O2435">
        <v>0</v>
      </c>
      <c r="P2435">
        <v>0</v>
      </c>
      <c r="Q2435" t="s">
        <v>28</v>
      </c>
      <c r="R2435" t="s">
        <v>71</v>
      </c>
      <c r="S2435" t="s">
        <v>209</v>
      </c>
      <c r="T2435" t="s">
        <v>210</v>
      </c>
    </row>
    <row r="2436" spans="1:20" x14ac:dyDescent="0.25">
      <c r="A2436" t="s">
        <v>6297</v>
      </c>
      <c r="B2436" t="str">
        <f>"0380"</f>
        <v>0380</v>
      </c>
      <c r="C2436" t="str">
        <f>"298540380"</f>
        <v>298540380</v>
      </c>
      <c r="D2436" t="s">
        <v>6298</v>
      </c>
      <c r="E2436" t="s">
        <v>2815</v>
      </c>
      <c r="F2436" t="s">
        <v>97</v>
      </c>
      <c r="G2436" s="1">
        <v>20240</v>
      </c>
      <c r="H2436" s="1">
        <v>40511</v>
      </c>
      <c r="I2436" t="str">
        <f>"41"</f>
        <v>41</v>
      </c>
      <c r="J2436" t="s">
        <v>24</v>
      </c>
      <c r="K2436" t="s">
        <v>25</v>
      </c>
      <c r="L2436" t="s">
        <v>26</v>
      </c>
      <c r="M2436" t="s">
        <v>27</v>
      </c>
      <c r="N2436" s="1">
        <v>18629</v>
      </c>
      <c r="O2436">
        <v>0</v>
      </c>
      <c r="P2436">
        <v>0</v>
      </c>
      <c r="Q2436" t="s">
        <v>28</v>
      </c>
      <c r="R2436" t="s">
        <v>29</v>
      </c>
      <c r="S2436" t="s">
        <v>527</v>
      </c>
      <c r="T2436" t="s">
        <v>528</v>
      </c>
    </row>
    <row r="2437" spans="1:20" x14ac:dyDescent="0.25">
      <c r="A2437" t="s">
        <v>6299</v>
      </c>
      <c r="B2437" t="str">
        <f>"4165"</f>
        <v>4165</v>
      </c>
      <c r="C2437" t="str">
        <f>"272544165"</f>
        <v>272544165</v>
      </c>
      <c r="D2437" t="s">
        <v>6300</v>
      </c>
      <c r="E2437" t="s">
        <v>1372</v>
      </c>
      <c r="F2437" t="s">
        <v>93</v>
      </c>
      <c r="G2437" s="1">
        <v>19280</v>
      </c>
      <c r="H2437" s="1">
        <v>40511</v>
      </c>
      <c r="I2437" t="str">
        <f>"41"</f>
        <v>41</v>
      </c>
      <c r="J2437" t="s">
        <v>24</v>
      </c>
      <c r="K2437" t="s">
        <v>25</v>
      </c>
      <c r="L2437" t="s">
        <v>26</v>
      </c>
      <c r="M2437" t="s">
        <v>27</v>
      </c>
      <c r="N2437" s="1">
        <v>18629</v>
      </c>
      <c r="O2437">
        <v>0</v>
      </c>
      <c r="P2437">
        <v>0</v>
      </c>
      <c r="Q2437" t="s">
        <v>37</v>
      </c>
      <c r="R2437" t="s">
        <v>258</v>
      </c>
      <c r="S2437" t="s">
        <v>527</v>
      </c>
      <c r="T2437" t="s">
        <v>528</v>
      </c>
    </row>
    <row r="2438" spans="1:20" x14ac:dyDescent="0.25">
      <c r="A2438" t="s">
        <v>6301</v>
      </c>
      <c r="B2438" t="str">
        <f>"6968"</f>
        <v>6968</v>
      </c>
      <c r="C2438" t="str">
        <f>"273906968"</f>
        <v>273906968</v>
      </c>
      <c r="D2438" t="s">
        <v>4589</v>
      </c>
      <c r="E2438" t="s">
        <v>782</v>
      </c>
      <c r="G2438" s="1">
        <v>26268</v>
      </c>
      <c r="H2438" s="1">
        <v>40511</v>
      </c>
      <c r="I2438" t="str">
        <f>"41"</f>
        <v>41</v>
      </c>
      <c r="J2438" t="s">
        <v>24</v>
      </c>
      <c r="K2438" t="s">
        <v>25</v>
      </c>
      <c r="L2438" t="s">
        <v>26</v>
      </c>
      <c r="M2438" t="s">
        <v>27</v>
      </c>
      <c r="N2438" s="1">
        <v>18629</v>
      </c>
      <c r="O2438">
        <v>0</v>
      </c>
      <c r="P2438">
        <v>0</v>
      </c>
      <c r="Q2438" t="s">
        <v>37</v>
      </c>
      <c r="R2438" t="s">
        <v>258</v>
      </c>
      <c r="S2438" t="s">
        <v>527</v>
      </c>
      <c r="T2438" t="s">
        <v>528</v>
      </c>
    </row>
    <row r="2439" spans="1:20" x14ac:dyDescent="0.25">
      <c r="A2439" t="s">
        <v>6302</v>
      </c>
      <c r="B2439" t="str">
        <f>"5167"</f>
        <v>5167</v>
      </c>
      <c r="C2439" t="str">
        <f>"327525167"</f>
        <v>327525167</v>
      </c>
      <c r="D2439" t="s">
        <v>1911</v>
      </c>
      <c r="E2439" t="s">
        <v>6303</v>
      </c>
      <c r="F2439" t="s">
        <v>49</v>
      </c>
      <c r="G2439" s="1">
        <v>19245</v>
      </c>
      <c r="H2439" s="1">
        <v>40511</v>
      </c>
      <c r="I2439" t="str">
        <f>"15"</f>
        <v>15</v>
      </c>
      <c r="J2439" t="s">
        <v>36</v>
      </c>
      <c r="K2439" t="s">
        <v>98</v>
      </c>
      <c r="L2439" t="s">
        <v>37</v>
      </c>
      <c r="M2439" t="s">
        <v>117</v>
      </c>
      <c r="N2439" s="1">
        <v>41617</v>
      </c>
      <c r="O2439">
        <v>4951.96</v>
      </c>
      <c r="P2439">
        <v>1237.8599999999999</v>
      </c>
      <c r="Q2439" t="s">
        <v>37</v>
      </c>
      <c r="R2439" t="s">
        <v>51</v>
      </c>
      <c r="S2439" t="s">
        <v>527</v>
      </c>
      <c r="T2439" t="s">
        <v>528</v>
      </c>
    </row>
    <row r="2440" spans="1:20" x14ac:dyDescent="0.25">
      <c r="A2440" t="s">
        <v>6304</v>
      </c>
      <c r="B2440" t="str">
        <f>"2976"</f>
        <v>2976</v>
      </c>
      <c r="C2440" t="str">
        <f>"270802976"</f>
        <v>270802976</v>
      </c>
      <c r="D2440" t="s">
        <v>433</v>
      </c>
      <c r="E2440" t="s">
        <v>583</v>
      </c>
      <c r="F2440" t="s">
        <v>256</v>
      </c>
      <c r="G2440" s="1">
        <v>25550</v>
      </c>
      <c r="H2440" s="1">
        <v>40511</v>
      </c>
      <c r="I2440" t="str">
        <f>"03"</f>
        <v>03</v>
      </c>
      <c r="J2440" t="s">
        <v>70</v>
      </c>
      <c r="K2440" t="s">
        <v>98</v>
      </c>
      <c r="L2440" t="s">
        <v>37</v>
      </c>
      <c r="M2440" t="s">
        <v>99</v>
      </c>
      <c r="N2440" s="1">
        <v>41617</v>
      </c>
      <c r="O2440">
        <v>14801.8</v>
      </c>
      <c r="P2440">
        <v>3700.32</v>
      </c>
      <c r="Q2440" t="s">
        <v>37</v>
      </c>
      <c r="R2440" t="s">
        <v>29</v>
      </c>
      <c r="S2440" t="s">
        <v>934</v>
      </c>
      <c r="T2440" t="s">
        <v>935</v>
      </c>
    </row>
    <row r="2441" spans="1:20" x14ac:dyDescent="0.25">
      <c r="A2441" t="s">
        <v>6305</v>
      </c>
      <c r="B2441" t="str">
        <f>"5184"</f>
        <v>5184</v>
      </c>
      <c r="C2441" t="str">
        <f>"294745184"</f>
        <v>294745184</v>
      </c>
      <c r="D2441" t="s">
        <v>1971</v>
      </c>
      <c r="E2441" t="s">
        <v>6306</v>
      </c>
      <c r="F2441" t="s">
        <v>37</v>
      </c>
      <c r="G2441" s="1">
        <v>25571</v>
      </c>
      <c r="H2441" s="1">
        <v>40511</v>
      </c>
      <c r="I2441" t="str">
        <f>"53"</f>
        <v>53</v>
      </c>
      <c r="J2441" t="s">
        <v>917</v>
      </c>
      <c r="K2441" t="s">
        <v>25</v>
      </c>
      <c r="L2441" t="s">
        <v>26</v>
      </c>
      <c r="M2441" t="s">
        <v>27</v>
      </c>
      <c r="N2441" s="1">
        <v>18629</v>
      </c>
      <c r="O2441">
        <v>0</v>
      </c>
      <c r="P2441">
        <v>0</v>
      </c>
      <c r="Q2441" t="s">
        <v>37</v>
      </c>
      <c r="R2441" t="s">
        <v>312</v>
      </c>
      <c r="S2441" t="s">
        <v>918</v>
      </c>
      <c r="T2441" t="s">
        <v>919</v>
      </c>
    </row>
    <row r="2442" spans="1:20" x14ac:dyDescent="0.25">
      <c r="A2442" t="s">
        <v>6307</v>
      </c>
      <c r="B2442" t="str">
        <f>"6664"</f>
        <v>6664</v>
      </c>
      <c r="C2442" t="str">
        <f>"282886664"</f>
        <v>282886664</v>
      </c>
      <c r="D2442" t="s">
        <v>2183</v>
      </c>
      <c r="E2442" t="s">
        <v>1172</v>
      </c>
      <c r="G2442" s="1">
        <v>28199</v>
      </c>
      <c r="H2442" s="1">
        <v>40511</v>
      </c>
      <c r="I2442" t="str">
        <f>"12"</f>
        <v>12</v>
      </c>
      <c r="J2442" t="s">
        <v>245</v>
      </c>
      <c r="K2442" t="s">
        <v>98</v>
      </c>
      <c r="L2442" t="s">
        <v>37</v>
      </c>
      <c r="M2442" t="s">
        <v>117</v>
      </c>
      <c r="N2442" s="1">
        <v>41617</v>
      </c>
      <c r="O2442">
        <v>4951.96</v>
      </c>
      <c r="P2442">
        <v>1237.8599999999999</v>
      </c>
      <c r="Q2442" t="s">
        <v>28</v>
      </c>
      <c r="R2442" t="s">
        <v>29</v>
      </c>
      <c r="S2442" t="s">
        <v>2090</v>
      </c>
      <c r="T2442" t="s">
        <v>2091</v>
      </c>
    </row>
    <row r="2443" spans="1:20" x14ac:dyDescent="0.25">
      <c r="A2443" t="s">
        <v>6308</v>
      </c>
      <c r="B2443" t="str">
        <f>"1838"</f>
        <v>1838</v>
      </c>
      <c r="C2443" t="str">
        <f>"271861838"</f>
        <v>271861838</v>
      </c>
      <c r="D2443" t="s">
        <v>6309</v>
      </c>
      <c r="E2443" t="s">
        <v>991</v>
      </c>
      <c r="F2443" t="s">
        <v>219</v>
      </c>
      <c r="G2443" s="1">
        <v>26029</v>
      </c>
      <c r="H2443" s="1">
        <v>40511</v>
      </c>
      <c r="I2443" t="str">
        <f>"03"</f>
        <v>03</v>
      </c>
      <c r="J2443" t="s">
        <v>70</v>
      </c>
      <c r="K2443" t="s">
        <v>98</v>
      </c>
      <c r="L2443" t="s">
        <v>37</v>
      </c>
      <c r="M2443" t="s">
        <v>99</v>
      </c>
      <c r="N2443" s="1">
        <v>41617</v>
      </c>
      <c r="O2443">
        <v>14801.8</v>
      </c>
      <c r="P2443">
        <v>3700.32</v>
      </c>
      <c r="Q2443" t="s">
        <v>37</v>
      </c>
      <c r="R2443" t="s">
        <v>38</v>
      </c>
      <c r="S2443" t="s">
        <v>5219</v>
      </c>
      <c r="T2443" t="s">
        <v>5220</v>
      </c>
    </row>
    <row r="2444" spans="1:20" x14ac:dyDescent="0.25">
      <c r="A2444" t="s">
        <v>6310</v>
      </c>
      <c r="B2444" t="str">
        <f>"5910"</f>
        <v>5910</v>
      </c>
      <c r="C2444" t="str">
        <f>"281765910"</f>
        <v>281765910</v>
      </c>
      <c r="D2444" t="s">
        <v>3325</v>
      </c>
      <c r="E2444" t="s">
        <v>35</v>
      </c>
      <c r="G2444" s="1">
        <v>25027</v>
      </c>
      <c r="H2444" s="1">
        <v>40504</v>
      </c>
      <c r="I2444" t="str">
        <f>"03"</f>
        <v>03</v>
      </c>
      <c r="J2444" t="s">
        <v>70</v>
      </c>
      <c r="K2444" t="s">
        <v>175</v>
      </c>
      <c r="L2444" t="s">
        <v>37</v>
      </c>
      <c r="M2444" t="s">
        <v>117</v>
      </c>
      <c r="N2444" s="1">
        <v>41617</v>
      </c>
      <c r="O2444">
        <v>5288.66</v>
      </c>
      <c r="P2444">
        <v>1322.1</v>
      </c>
      <c r="Q2444" t="s">
        <v>28</v>
      </c>
      <c r="R2444" t="s">
        <v>110</v>
      </c>
      <c r="S2444" t="s">
        <v>482</v>
      </c>
      <c r="T2444" t="s">
        <v>483</v>
      </c>
    </row>
    <row r="2445" spans="1:20" x14ac:dyDescent="0.25">
      <c r="A2445" t="s">
        <v>6311</v>
      </c>
      <c r="B2445" t="str">
        <f>"8614"</f>
        <v>8614</v>
      </c>
      <c r="C2445" t="str">
        <f>"585138614"</f>
        <v>585138614</v>
      </c>
      <c r="D2445" t="s">
        <v>6312</v>
      </c>
      <c r="E2445" t="s">
        <v>2364</v>
      </c>
      <c r="F2445" t="s">
        <v>219</v>
      </c>
      <c r="G2445" s="1">
        <v>26348</v>
      </c>
      <c r="H2445" s="1">
        <v>40501</v>
      </c>
      <c r="I2445" t="str">
        <f>"01"</f>
        <v>01</v>
      </c>
      <c r="J2445" t="s">
        <v>116</v>
      </c>
      <c r="K2445" t="s">
        <v>98</v>
      </c>
      <c r="L2445" t="s">
        <v>37</v>
      </c>
      <c r="M2445" t="s">
        <v>99</v>
      </c>
      <c r="N2445" s="1">
        <v>41617</v>
      </c>
      <c r="O2445">
        <v>14801.8</v>
      </c>
      <c r="P2445">
        <v>3700.32</v>
      </c>
      <c r="Q2445" t="s">
        <v>37</v>
      </c>
      <c r="R2445" t="s">
        <v>100</v>
      </c>
      <c r="S2445" t="s">
        <v>101</v>
      </c>
      <c r="T2445" t="s">
        <v>102</v>
      </c>
    </row>
    <row r="2446" spans="1:20" x14ac:dyDescent="0.25">
      <c r="A2446" t="s">
        <v>6313</v>
      </c>
      <c r="B2446" t="str">
        <f>"5737"</f>
        <v>5737</v>
      </c>
      <c r="C2446" t="str">
        <f>"300865737"</f>
        <v>300865737</v>
      </c>
      <c r="D2446" t="s">
        <v>603</v>
      </c>
      <c r="E2446" t="s">
        <v>2246</v>
      </c>
      <c r="F2446" t="s">
        <v>311</v>
      </c>
      <c r="G2446" s="1">
        <v>27599</v>
      </c>
      <c r="H2446" s="1">
        <v>40497</v>
      </c>
      <c r="I2446" t="str">
        <f>"41"</f>
        <v>41</v>
      </c>
      <c r="J2446" t="s">
        <v>24</v>
      </c>
      <c r="K2446" t="s">
        <v>25</v>
      </c>
      <c r="L2446" t="s">
        <v>26</v>
      </c>
      <c r="M2446" t="s">
        <v>27</v>
      </c>
      <c r="N2446" s="1">
        <v>18629</v>
      </c>
      <c r="O2446">
        <v>0</v>
      </c>
      <c r="P2446">
        <v>0</v>
      </c>
      <c r="Q2446" t="s">
        <v>37</v>
      </c>
      <c r="R2446" t="s">
        <v>29</v>
      </c>
      <c r="S2446" t="s">
        <v>138</v>
      </c>
      <c r="T2446" t="s">
        <v>139</v>
      </c>
    </row>
    <row r="2447" spans="1:20" x14ac:dyDescent="0.25">
      <c r="A2447" t="s">
        <v>6314</v>
      </c>
      <c r="B2447" t="str">
        <f>"9792"</f>
        <v>9792</v>
      </c>
      <c r="C2447" t="str">
        <f>"383649792"</f>
        <v>383649792</v>
      </c>
      <c r="D2447" t="s">
        <v>1798</v>
      </c>
      <c r="E2447" t="s">
        <v>6315</v>
      </c>
      <c r="F2447" t="s">
        <v>28</v>
      </c>
      <c r="G2447" s="1">
        <v>21291</v>
      </c>
      <c r="H2447" s="1">
        <v>40497</v>
      </c>
      <c r="I2447" t="str">
        <f>"05"</f>
        <v>05</v>
      </c>
      <c r="J2447" t="s">
        <v>58</v>
      </c>
      <c r="K2447" t="s">
        <v>98</v>
      </c>
      <c r="L2447" t="s">
        <v>37</v>
      </c>
      <c r="M2447" t="s">
        <v>99</v>
      </c>
      <c r="N2447" s="1">
        <v>41617</v>
      </c>
      <c r="O2447">
        <v>14801.8</v>
      </c>
      <c r="P2447">
        <v>3700.32</v>
      </c>
      <c r="Q2447" t="s">
        <v>37</v>
      </c>
      <c r="R2447" t="s">
        <v>258</v>
      </c>
      <c r="S2447" t="s">
        <v>259</v>
      </c>
      <c r="T2447" t="s">
        <v>260</v>
      </c>
    </row>
    <row r="2448" spans="1:20" x14ac:dyDescent="0.25">
      <c r="A2448" t="s">
        <v>6316</v>
      </c>
      <c r="B2448" t="str">
        <f>"8051"</f>
        <v>8051</v>
      </c>
      <c r="C2448" t="str">
        <f>"276708051"</f>
        <v>276708051</v>
      </c>
      <c r="D2448" t="s">
        <v>6317</v>
      </c>
      <c r="E2448" t="s">
        <v>6318</v>
      </c>
      <c r="F2448" t="s">
        <v>556</v>
      </c>
      <c r="G2448" s="1">
        <v>24702</v>
      </c>
      <c r="H2448" s="1">
        <v>40497</v>
      </c>
      <c r="I2448" t="str">
        <f>"41"</f>
        <v>41</v>
      </c>
      <c r="J2448" t="s">
        <v>24</v>
      </c>
      <c r="K2448" t="s">
        <v>25</v>
      </c>
      <c r="L2448" t="s">
        <v>26</v>
      </c>
      <c r="M2448" t="s">
        <v>27</v>
      </c>
      <c r="N2448" s="1">
        <v>18629</v>
      </c>
      <c r="O2448">
        <v>0</v>
      </c>
      <c r="P2448">
        <v>0</v>
      </c>
      <c r="Q2448" t="s">
        <v>28</v>
      </c>
      <c r="R2448" t="s">
        <v>71</v>
      </c>
      <c r="S2448" t="s">
        <v>402</v>
      </c>
      <c r="T2448" t="s">
        <v>403</v>
      </c>
    </row>
    <row r="2449" spans="1:20" x14ac:dyDescent="0.25">
      <c r="A2449" t="s">
        <v>6319</v>
      </c>
      <c r="B2449" t="str">
        <f>"2553"</f>
        <v>2553</v>
      </c>
      <c r="C2449" t="str">
        <f>"294742553"</f>
        <v>294742553</v>
      </c>
      <c r="D2449" t="s">
        <v>6320</v>
      </c>
      <c r="E2449" t="s">
        <v>6321</v>
      </c>
      <c r="F2449" t="s">
        <v>438</v>
      </c>
      <c r="G2449" s="1">
        <v>29037</v>
      </c>
      <c r="H2449" s="1">
        <v>40497</v>
      </c>
      <c r="I2449" t="str">
        <f>"42"</f>
        <v>42</v>
      </c>
      <c r="J2449" t="s">
        <v>367</v>
      </c>
      <c r="K2449" t="s">
        <v>25</v>
      </c>
      <c r="L2449" t="s">
        <v>26</v>
      </c>
      <c r="M2449" t="s">
        <v>27</v>
      </c>
      <c r="N2449" s="1">
        <v>18629</v>
      </c>
      <c r="O2449">
        <v>0</v>
      </c>
      <c r="P2449">
        <v>0</v>
      </c>
      <c r="Q2449" t="s">
        <v>37</v>
      </c>
      <c r="R2449" t="s">
        <v>258</v>
      </c>
      <c r="S2449" t="s">
        <v>6322</v>
      </c>
      <c r="T2449" t="s">
        <v>6323</v>
      </c>
    </row>
    <row r="2450" spans="1:20" x14ac:dyDescent="0.25">
      <c r="A2450" t="s">
        <v>6324</v>
      </c>
      <c r="B2450" t="str">
        <f>"5524"</f>
        <v>5524</v>
      </c>
      <c r="C2450" t="str">
        <f>"287785524"</f>
        <v>287785524</v>
      </c>
      <c r="D2450" t="s">
        <v>105</v>
      </c>
      <c r="E2450" t="s">
        <v>988</v>
      </c>
      <c r="F2450" t="s">
        <v>69</v>
      </c>
      <c r="G2450" s="1">
        <v>27538</v>
      </c>
      <c r="H2450" s="1">
        <v>40497</v>
      </c>
      <c r="I2450" t="str">
        <f>"50"</f>
        <v>50</v>
      </c>
      <c r="J2450" t="s">
        <v>208</v>
      </c>
      <c r="K2450" t="s">
        <v>25</v>
      </c>
      <c r="L2450" t="s">
        <v>26</v>
      </c>
      <c r="M2450" t="s">
        <v>27</v>
      </c>
      <c r="N2450" s="1">
        <v>18629</v>
      </c>
      <c r="O2450">
        <v>0</v>
      </c>
      <c r="P2450">
        <v>0</v>
      </c>
      <c r="Q2450" t="s">
        <v>28</v>
      </c>
      <c r="R2450" t="s">
        <v>258</v>
      </c>
      <c r="S2450" t="s">
        <v>472</v>
      </c>
      <c r="T2450" t="s">
        <v>473</v>
      </c>
    </row>
    <row r="2451" spans="1:20" x14ac:dyDescent="0.25">
      <c r="A2451" t="s">
        <v>6325</v>
      </c>
      <c r="B2451" t="str">
        <f>"4664"</f>
        <v>4664</v>
      </c>
      <c r="C2451" t="str">
        <f>"211604664"</f>
        <v>211604664</v>
      </c>
      <c r="D2451" t="s">
        <v>6326</v>
      </c>
      <c r="E2451" t="s">
        <v>6327</v>
      </c>
      <c r="F2451" t="s">
        <v>28</v>
      </c>
      <c r="G2451" s="1">
        <v>26430</v>
      </c>
      <c r="H2451" s="1">
        <v>40497</v>
      </c>
      <c r="I2451" t="str">
        <f>"15"</f>
        <v>15</v>
      </c>
      <c r="J2451" t="s">
        <v>36</v>
      </c>
      <c r="K2451" t="s">
        <v>175</v>
      </c>
      <c r="L2451" t="s">
        <v>37</v>
      </c>
      <c r="M2451" t="s">
        <v>99</v>
      </c>
      <c r="N2451" s="1">
        <v>41617</v>
      </c>
      <c r="O2451">
        <v>16411.72</v>
      </c>
      <c r="P2451">
        <v>4102.8</v>
      </c>
      <c r="Q2451" t="s">
        <v>37</v>
      </c>
      <c r="R2451" t="s">
        <v>346</v>
      </c>
      <c r="S2451" t="s">
        <v>5770</v>
      </c>
      <c r="T2451" t="s">
        <v>5771</v>
      </c>
    </row>
    <row r="2452" spans="1:20" x14ac:dyDescent="0.25">
      <c r="A2452" t="s">
        <v>6328</v>
      </c>
      <c r="B2452" t="str">
        <f>"5701"</f>
        <v>5701</v>
      </c>
      <c r="C2452" t="str">
        <f>"285505701"</f>
        <v>285505701</v>
      </c>
      <c r="D2452" t="s">
        <v>6329</v>
      </c>
      <c r="E2452" t="s">
        <v>106</v>
      </c>
      <c r="G2452" s="1">
        <v>19642</v>
      </c>
      <c r="H2452" s="1">
        <v>40490</v>
      </c>
      <c r="I2452" t="str">
        <f>"52"</f>
        <v>52</v>
      </c>
      <c r="J2452" t="s">
        <v>330</v>
      </c>
      <c r="K2452" t="s">
        <v>25</v>
      </c>
      <c r="L2452" t="s">
        <v>26</v>
      </c>
      <c r="M2452" t="s">
        <v>27</v>
      </c>
      <c r="N2452" s="1">
        <v>18629</v>
      </c>
      <c r="O2452">
        <v>0</v>
      </c>
      <c r="P2452">
        <v>0</v>
      </c>
      <c r="Q2452" t="s">
        <v>28</v>
      </c>
      <c r="R2452" t="s">
        <v>258</v>
      </c>
      <c r="S2452" t="s">
        <v>5785</v>
      </c>
      <c r="T2452" t="s">
        <v>5786</v>
      </c>
    </row>
    <row r="2453" spans="1:20" x14ac:dyDescent="0.25">
      <c r="A2453" t="s">
        <v>6330</v>
      </c>
      <c r="B2453" t="str">
        <f>"6539"</f>
        <v>6539</v>
      </c>
      <c r="C2453" t="str">
        <f>"360826539"</f>
        <v>360826539</v>
      </c>
      <c r="D2453" t="s">
        <v>3152</v>
      </c>
      <c r="E2453" t="s">
        <v>3696</v>
      </c>
      <c r="F2453" t="s">
        <v>1074</v>
      </c>
      <c r="G2453" s="1">
        <v>31086</v>
      </c>
      <c r="H2453" s="1">
        <v>40490</v>
      </c>
      <c r="I2453" t="str">
        <f>"01"</f>
        <v>01</v>
      </c>
      <c r="J2453" t="s">
        <v>116</v>
      </c>
      <c r="K2453" t="s">
        <v>510</v>
      </c>
      <c r="L2453" t="s">
        <v>37</v>
      </c>
      <c r="M2453" t="s">
        <v>117</v>
      </c>
      <c r="N2453" s="1">
        <v>41617</v>
      </c>
      <c r="O2453">
        <v>6477.12</v>
      </c>
      <c r="P2453">
        <v>1619.28</v>
      </c>
      <c r="Q2453" t="s">
        <v>37</v>
      </c>
      <c r="R2453" t="s">
        <v>100</v>
      </c>
      <c r="S2453" t="s">
        <v>655</v>
      </c>
      <c r="T2453" t="s">
        <v>656</v>
      </c>
    </row>
    <row r="2454" spans="1:20" x14ac:dyDescent="0.25">
      <c r="A2454" t="s">
        <v>6331</v>
      </c>
      <c r="B2454" t="str">
        <f>"6469"</f>
        <v>6469</v>
      </c>
      <c r="C2454" t="str">
        <f>"271666469"</f>
        <v>271666469</v>
      </c>
      <c r="D2454" t="s">
        <v>6332</v>
      </c>
      <c r="E2454" t="s">
        <v>1081</v>
      </c>
      <c r="F2454" t="s">
        <v>1049</v>
      </c>
      <c r="G2454" s="1">
        <v>22337</v>
      </c>
      <c r="H2454" s="1">
        <v>40483</v>
      </c>
      <c r="I2454" t="str">
        <f>"05"</f>
        <v>05</v>
      </c>
      <c r="J2454" t="s">
        <v>58</v>
      </c>
      <c r="K2454" t="s">
        <v>175</v>
      </c>
      <c r="L2454" t="s">
        <v>37</v>
      </c>
      <c r="M2454" t="s">
        <v>257</v>
      </c>
      <c r="N2454" s="1">
        <v>41617</v>
      </c>
      <c r="O2454">
        <v>11847.94</v>
      </c>
      <c r="P2454">
        <v>2961.92</v>
      </c>
      <c r="Q2454" t="s">
        <v>28</v>
      </c>
      <c r="R2454" t="s">
        <v>100</v>
      </c>
      <c r="S2454" t="s">
        <v>1392</v>
      </c>
      <c r="T2454" t="s">
        <v>1393</v>
      </c>
    </row>
    <row r="2455" spans="1:20" x14ac:dyDescent="0.25">
      <c r="A2455" t="s">
        <v>6333</v>
      </c>
      <c r="B2455" t="str">
        <f>"7657"</f>
        <v>7657</v>
      </c>
      <c r="C2455" t="str">
        <f>"286527657"</f>
        <v>286527657</v>
      </c>
      <c r="D2455" t="s">
        <v>553</v>
      </c>
      <c r="E2455" t="s">
        <v>583</v>
      </c>
      <c r="F2455" t="s">
        <v>97</v>
      </c>
      <c r="G2455" s="1">
        <v>19570</v>
      </c>
      <c r="H2455" s="1">
        <v>40483</v>
      </c>
      <c r="I2455" t="str">
        <f>"05"</f>
        <v>05</v>
      </c>
      <c r="J2455" t="s">
        <v>58</v>
      </c>
      <c r="K2455" t="s">
        <v>175</v>
      </c>
      <c r="L2455" t="s">
        <v>37</v>
      </c>
      <c r="M2455" t="s">
        <v>257</v>
      </c>
      <c r="N2455" s="1">
        <v>41841</v>
      </c>
      <c r="O2455">
        <v>11847.94</v>
      </c>
      <c r="P2455">
        <v>2961.92</v>
      </c>
      <c r="Q2455" t="s">
        <v>37</v>
      </c>
      <c r="R2455" t="s">
        <v>71</v>
      </c>
      <c r="S2455" t="s">
        <v>1702</v>
      </c>
      <c r="T2455" t="s">
        <v>1703</v>
      </c>
    </row>
    <row r="2456" spans="1:20" x14ac:dyDescent="0.25">
      <c r="A2456" t="s">
        <v>6334</v>
      </c>
      <c r="B2456" t="str">
        <f>"1368"</f>
        <v>1368</v>
      </c>
      <c r="C2456" t="str">
        <f>"293801368"</f>
        <v>293801368</v>
      </c>
      <c r="D2456" t="s">
        <v>2326</v>
      </c>
      <c r="E2456" t="s">
        <v>963</v>
      </c>
      <c r="F2456" t="s">
        <v>44</v>
      </c>
      <c r="G2456" s="1">
        <v>25738</v>
      </c>
      <c r="H2456" s="1">
        <v>40483</v>
      </c>
      <c r="I2456" t="str">
        <f>"15"</f>
        <v>15</v>
      </c>
      <c r="J2456" t="s">
        <v>36</v>
      </c>
      <c r="K2456" t="s">
        <v>98</v>
      </c>
      <c r="L2456" t="s">
        <v>37</v>
      </c>
      <c r="M2456" t="s">
        <v>117</v>
      </c>
      <c r="N2456" s="1">
        <v>41617</v>
      </c>
      <c r="O2456">
        <v>4951.96</v>
      </c>
      <c r="P2456">
        <v>1237.8599999999999</v>
      </c>
      <c r="Q2456" t="s">
        <v>37</v>
      </c>
      <c r="R2456" t="s">
        <v>100</v>
      </c>
      <c r="S2456" t="s">
        <v>347</v>
      </c>
      <c r="T2456" t="s">
        <v>348</v>
      </c>
    </row>
    <row r="2457" spans="1:20" x14ac:dyDescent="0.25">
      <c r="A2457" t="s">
        <v>6335</v>
      </c>
      <c r="B2457" t="str">
        <f>"9363"</f>
        <v>9363</v>
      </c>
      <c r="C2457" t="str">
        <f>"292709363"</f>
        <v>292709363</v>
      </c>
      <c r="D2457" t="s">
        <v>6336</v>
      </c>
      <c r="E2457" t="s">
        <v>2905</v>
      </c>
      <c r="F2457" t="s">
        <v>264</v>
      </c>
      <c r="G2457" s="1">
        <v>23064</v>
      </c>
      <c r="H2457" s="1">
        <v>40483</v>
      </c>
      <c r="I2457" t="str">
        <f>"05"</f>
        <v>05</v>
      </c>
      <c r="J2457" t="s">
        <v>58</v>
      </c>
      <c r="K2457" t="s">
        <v>175</v>
      </c>
      <c r="L2457" t="s">
        <v>37</v>
      </c>
      <c r="M2457" t="s">
        <v>257</v>
      </c>
      <c r="N2457" s="1">
        <v>41617</v>
      </c>
      <c r="O2457">
        <v>11847.94</v>
      </c>
      <c r="P2457">
        <v>2961.92</v>
      </c>
      <c r="Q2457" t="s">
        <v>37</v>
      </c>
      <c r="R2457" t="s">
        <v>29</v>
      </c>
      <c r="S2457" t="s">
        <v>3275</v>
      </c>
      <c r="T2457" t="s">
        <v>3276</v>
      </c>
    </row>
    <row r="2458" spans="1:20" x14ac:dyDescent="0.25">
      <c r="A2458" t="s">
        <v>6337</v>
      </c>
      <c r="B2458" t="str">
        <f>"6698"</f>
        <v>6698</v>
      </c>
      <c r="C2458" t="str">
        <f>"273526698"</f>
        <v>273526698</v>
      </c>
      <c r="D2458" t="s">
        <v>6338</v>
      </c>
      <c r="E2458" t="s">
        <v>649</v>
      </c>
      <c r="F2458" t="s">
        <v>44</v>
      </c>
      <c r="G2458" s="1">
        <v>19239</v>
      </c>
      <c r="H2458" s="1">
        <v>40483</v>
      </c>
      <c r="I2458" t="str">
        <f>"05"</f>
        <v>05</v>
      </c>
      <c r="J2458" t="s">
        <v>58</v>
      </c>
      <c r="L2458" t="s">
        <v>37</v>
      </c>
      <c r="M2458" t="s">
        <v>143</v>
      </c>
      <c r="N2458" s="1">
        <v>41617</v>
      </c>
      <c r="O2458">
        <v>185.9</v>
      </c>
      <c r="P2458">
        <v>-185.9</v>
      </c>
      <c r="Q2458" t="s">
        <v>28</v>
      </c>
      <c r="R2458" t="s">
        <v>110</v>
      </c>
      <c r="S2458" t="s">
        <v>482</v>
      </c>
      <c r="T2458" t="s">
        <v>483</v>
      </c>
    </row>
    <row r="2459" spans="1:20" x14ac:dyDescent="0.25">
      <c r="A2459" t="s">
        <v>6339</v>
      </c>
      <c r="B2459" t="str">
        <f>"1741"</f>
        <v>1741</v>
      </c>
      <c r="C2459" t="str">
        <f>"170581741"</f>
        <v>170581741</v>
      </c>
      <c r="D2459" t="s">
        <v>6340</v>
      </c>
      <c r="E2459" t="s">
        <v>256</v>
      </c>
      <c r="F2459" t="s">
        <v>556</v>
      </c>
      <c r="G2459" s="1">
        <v>24950</v>
      </c>
      <c r="H2459" s="1">
        <v>40483</v>
      </c>
      <c r="I2459" t="str">
        <f>"01"</f>
        <v>01</v>
      </c>
      <c r="J2459" t="s">
        <v>116</v>
      </c>
      <c r="K2459" t="s">
        <v>98</v>
      </c>
      <c r="L2459" t="s">
        <v>37</v>
      </c>
      <c r="M2459" t="s">
        <v>99</v>
      </c>
      <c r="N2459" s="1">
        <v>41617</v>
      </c>
      <c r="O2459">
        <v>14801.8</v>
      </c>
      <c r="P2459">
        <v>3700.32</v>
      </c>
      <c r="Q2459" t="s">
        <v>37</v>
      </c>
      <c r="R2459" t="s">
        <v>346</v>
      </c>
      <c r="S2459" t="s">
        <v>5770</v>
      </c>
      <c r="T2459" t="s">
        <v>5771</v>
      </c>
    </row>
    <row r="2460" spans="1:20" x14ac:dyDescent="0.25">
      <c r="A2460" t="s">
        <v>6341</v>
      </c>
      <c r="B2460" t="str">
        <f>"2339"</f>
        <v>2339</v>
      </c>
      <c r="C2460" t="str">
        <f>"356362339"</f>
        <v>356362339</v>
      </c>
      <c r="D2460" t="s">
        <v>6342</v>
      </c>
      <c r="E2460" t="s">
        <v>304</v>
      </c>
      <c r="F2460" t="s">
        <v>414</v>
      </c>
      <c r="G2460" s="1">
        <v>16216</v>
      </c>
      <c r="H2460" s="1">
        <v>40483</v>
      </c>
      <c r="I2460" t="str">
        <f>"01"</f>
        <v>01</v>
      </c>
      <c r="J2460" t="s">
        <v>116</v>
      </c>
      <c r="K2460" t="s">
        <v>98</v>
      </c>
      <c r="L2460" t="s">
        <v>37</v>
      </c>
      <c r="M2460" t="s">
        <v>257</v>
      </c>
      <c r="N2460" s="1">
        <v>41617</v>
      </c>
      <c r="O2460">
        <v>10753.08</v>
      </c>
      <c r="P2460">
        <v>2688.4</v>
      </c>
      <c r="Q2460" t="s">
        <v>28</v>
      </c>
      <c r="R2460" t="s">
        <v>100</v>
      </c>
      <c r="S2460" t="s">
        <v>347</v>
      </c>
      <c r="T2460" t="s">
        <v>348</v>
      </c>
    </row>
    <row r="2461" spans="1:20" x14ac:dyDescent="0.25">
      <c r="A2461" t="s">
        <v>6343</v>
      </c>
      <c r="B2461" t="str">
        <f>"1177"</f>
        <v>1177</v>
      </c>
      <c r="C2461" t="str">
        <f>"280821177"</f>
        <v>280821177</v>
      </c>
      <c r="D2461" t="s">
        <v>6344</v>
      </c>
      <c r="E2461" t="s">
        <v>6345</v>
      </c>
      <c r="G2461" s="1">
        <v>26876</v>
      </c>
      <c r="H2461" s="1">
        <v>40483</v>
      </c>
      <c r="I2461" t="str">
        <f>"05"</f>
        <v>05</v>
      </c>
      <c r="J2461" t="s">
        <v>58</v>
      </c>
      <c r="K2461" t="s">
        <v>175</v>
      </c>
      <c r="L2461" t="s">
        <v>37</v>
      </c>
      <c r="M2461" t="s">
        <v>117</v>
      </c>
      <c r="N2461" s="1">
        <v>41617</v>
      </c>
      <c r="O2461">
        <v>5288.66</v>
      </c>
      <c r="P2461">
        <v>1322.1</v>
      </c>
      <c r="Q2461" t="s">
        <v>28</v>
      </c>
      <c r="R2461" t="s">
        <v>29</v>
      </c>
      <c r="S2461" t="s">
        <v>3275</v>
      </c>
      <c r="T2461" t="s">
        <v>3276</v>
      </c>
    </row>
    <row r="2462" spans="1:20" x14ac:dyDescent="0.25">
      <c r="A2462" t="s">
        <v>6346</v>
      </c>
      <c r="B2462" t="str">
        <f>"6120"</f>
        <v>6120</v>
      </c>
      <c r="C2462" t="str">
        <f>"294986120"</f>
        <v>294986120</v>
      </c>
      <c r="D2462" t="s">
        <v>6347</v>
      </c>
      <c r="E2462" t="s">
        <v>224</v>
      </c>
      <c r="G2462" s="1">
        <v>25388</v>
      </c>
      <c r="H2462" s="1">
        <v>40476</v>
      </c>
      <c r="I2462" t="str">
        <f>"03"</f>
        <v>03</v>
      </c>
      <c r="J2462" t="s">
        <v>70</v>
      </c>
      <c r="K2462" t="s">
        <v>98</v>
      </c>
      <c r="L2462" t="s">
        <v>37</v>
      </c>
      <c r="M2462" t="s">
        <v>117</v>
      </c>
      <c r="N2462" s="1">
        <v>41617</v>
      </c>
      <c r="O2462">
        <v>4951.96</v>
      </c>
      <c r="P2462">
        <v>1237.8599999999999</v>
      </c>
      <c r="Q2462" t="s">
        <v>28</v>
      </c>
      <c r="R2462" t="s">
        <v>258</v>
      </c>
      <c r="S2462" t="s">
        <v>533</v>
      </c>
      <c r="T2462" t="s">
        <v>534</v>
      </c>
    </row>
    <row r="2463" spans="1:20" x14ac:dyDescent="0.25">
      <c r="A2463" t="s">
        <v>6348</v>
      </c>
      <c r="B2463" t="str">
        <f>"5320"</f>
        <v>5320</v>
      </c>
      <c r="C2463" t="str">
        <f>"275765320"</f>
        <v>275765320</v>
      </c>
      <c r="D2463" t="s">
        <v>6349</v>
      </c>
      <c r="E2463" t="s">
        <v>6350</v>
      </c>
      <c r="F2463" t="s">
        <v>6351</v>
      </c>
      <c r="G2463" s="1">
        <v>23743</v>
      </c>
      <c r="H2463" s="1">
        <v>40476</v>
      </c>
      <c r="I2463" t="str">
        <f>"52"</f>
        <v>52</v>
      </c>
      <c r="J2463" t="s">
        <v>330</v>
      </c>
      <c r="K2463" t="s">
        <v>25</v>
      </c>
      <c r="L2463" t="s">
        <v>26</v>
      </c>
      <c r="M2463" t="s">
        <v>27</v>
      </c>
      <c r="N2463" s="1">
        <v>18629</v>
      </c>
      <c r="O2463">
        <v>0</v>
      </c>
      <c r="P2463">
        <v>0</v>
      </c>
      <c r="Q2463" t="s">
        <v>28</v>
      </c>
      <c r="R2463" t="s">
        <v>258</v>
      </c>
      <c r="S2463" t="s">
        <v>331</v>
      </c>
      <c r="T2463" t="s">
        <v>332</v>
      </c>
    </row>
    <row r="2464" spans="1:20" x14ac:dyDescent="0.25">
      <c r="A2464" t="s">
        <v>6352</v>
      </c>
      <c r="B2464" t="str">
        <f>"6764"</f>
        <v>6764</v>
      </c>
      <c r="C2464" t="str">
        <f>"237416764"</f>
        <v>237416764</v>
      </c>
      <c r="D2464" t="s">
        <v>6353</v>
      </c>
      <c r="E2464" t="s">
        <v>6354</v>
      </c>
      <c r="G2464" s="1">
        <v>25029</v>
      </c>
      <c r="H2464" s="1">
        <v>40473</v>
      </c>
      <c r="I2464" t="str">
        <f>"51"</f>
        <v>51</v>
      </c>
      <c r="J2464" t="s">
        <v>471</v>
      </c>
      <c r="K2464" t="s">
        <v>25</v>
      </c>
      <c r="L2464" t="s">
        <v>26</v>
      </c>
      <c r="M2464" t="s">
        <v>27</v>
      </c>
      <c r="N2464" s="1">
        <v>18629</v>
      </c>
      <c r="O2464">
        <v>0</v>
      </c>
      <c r="P2464">
        <v>0</v>
      </c>
      <c r="Q2464" t="s">
        <v>37</v>
      </c>
      <c r="R2464" t="s">
        <v>51</v>
      </c>
      <c r="S2464" s="2" t="s">
        <v>2202</v>
      </c>
      <c r="T2464" t="s">
        <v>2203</v>
      </c>
    </row>
    <row r="2465" spans="1:20" x14ac:dyDescent="0.25">
      <c r="A2465" t="s">
        <v>6355</v>
      </c>
      <c r="B2465" t="str">
        <f>"3673"</f>
        <v>3673</v>
      </c>
      <c r="C2465" t="str">
        <f>"273783673"</f>
        <v>273783673</v>
      </c>
      <c r="D2465" t="s">
        <v>3983</v>
      </c>
      <c r="E2465" t="s">
        <v>6356</v>
      </c>
      <c r="G2465" s="1">
        <v>24633</v>
      </c>
      <c r="H2465" s="1">
        <v>40472</v>
      </c>
      <c r="I2465" t="str">
        <f>"52"</f>
        <v>52</v>
      </c>
      <c r="J2465" t="s">
        <v>330</v>
      </c>
      <c r="K2465" t="s">
        <v>25</v>
      </c>
      <c r="L2465" t="s">
        <v>26</v>
      </c>
      <c r="M2465" t="s">
        <v>27</v>
      </c>
      <c r="N2465" s="1">
        <v>18629</v>
      </c>
      <c r="O2465">
        <v>0</v>
      </c>
      <c r="P2465">
        <v>0</v>
      </c>
      <c r="Q2465" t="s">
        <v>28</v>
      </c>
      <c r="R2465" t="s">
        <v>258</v>
      </c>
      <c r="S2465" t="s">
        <v>336</v>
      </c>
      <c r="T2465" t="s">
        <v>337</v>
      </c>
    </row>
    <row r="2466" spans="1:20" x14ac:dyDescent="0.25">
      <c r="A2466" t="s">
        <v>6357</v>
      </c>
      <c r="B2466" t="str">
        <f>"2012"</f>
        <v>2012</v>
      </c>
      <c r="C2466" t="str">
        <f>"213442012"</f>
        <v>213442012</v>
      </c>
      <c r="D2466" t="s">
        <v>6358</v>
      </c>
      <c r="E2466" t="s">
        <v>197</v>
      </c>
      <c r="F2466" t="s">
        <v>282</v>
      </c>
      <c r="G2466" s="1">
        <v>16157</v>
      </c>
      <c r="H2466" s="1">
        <v>40471</v>
      </c>
      <c r="I2466" t="str">
        <f>"52"</f>
        <v>52</v>
      </c>
      <c r="J2466" t="s">
        <v>330</v>
      </c>
      <c r="K2466" t="s">
        <v>25</v>
      </c>
      <c r="L2466" t="s">
        <v>26</v>
      </c>
      <c r="M2466" t="s">
        <v>27</v>
      </c>
      <c r="N2466" s="1">
        <v>18629</v>
      </c>
      <c r="O2466">
        <v>0</v>
      </c>
      <c r="P2466">
        <v>0</v>
      </c>
      <c r="Q2466" t="s">
        <v>28</v>
      </c>
      <c r="R2466" t="s">
        <v>77</v>
      </c>
      <c r="S2466" t="s">
        <v>1235</v>
      </c>
      <c r="T2466" t="s">
        <v>1236</v>
      </c>
    </row>
    <row r="2467" spans="1:20" x14ac:dyDescent="0.25">
      <c r="A2467" t="s">
        <v>6359</v>
      </c>
      <c r="B2467" t="str">
        <f>"9714"</f>
        <v>9714</v>
      </c>
      <c r="C2467" t="str">
        <f>"431829714"</f>
        <v>431829714</v>
      </c>
      <c r="D2467" t="s">
        <v>563</v>
      </c>
      <c r="E2467" t="s">
        <v>6360</v>
      </c>
      <c r="G2467" s="1">
        <v>16854</v>
      </c>
      <c r="H2467" s="1">
        <v>40470</v>
      </c>
      <c r="I2467" t="str">
        <f>"52"</f>
        <v>52</v>
      </c>
      <c r="J2467" t="s">
        <v>330</v>
      </c>
      <c r="K2467" t="s">
        <v>25</v>
      </c>
      <c r="L2467" t="s">
        <v>26</v>
      </c>
      <c r="M2467" t="s">
        <v>27</v>
      </c>
      <c r="N2467" s="1">
        <v>18629</v>
      </c>
      <c r="O2467">
        <v>0</v>
      </c>
      <c r="P2467">
        <v>0</v>
      </c>
      <c r="Q2467" t="s">
        <v>37</v>
      </c>
      <c r="R2467" t="s">
        <v>51</v>
      </c>
      <c r="S2467" s="2" t="s">
        <v>362</v>
      </c>
      <c r="T2467" t="s">
        <v>363</v>
      </c>
    </row>
    <row r="2468" spans="1:20" x14ac:dyDescent="0.25">
      <c r="A2468" t="s">
        <v>6361</v>
      </c>
      <c r="B2468" t="str">
        <f>"5774"</f>
        <v>5774</v>
      </c>
      <c r="C2468" t="str">
        <f>"295845774"</f>
        <v>295845774</v>
      </c>
      <c r="D2468" t="s">
        <v>6362</v>
      </c>
      <c r="E2468" t="s">
        <v>197</v>
      </c>
      <c r="F2468" t="s">
        <v>35</v>
      </c>
      <c r="G2468" s="1">
        <v>31567</v>
      </c>
      <c r="H2468" s="1">
        <v>40469</v>
      </c>
      <c r="I2468" t="str">
        <f>"15"</f>
        <v>15</v>
      </c>
      <c r="J2468" t="s">
        <v>36</v>
      </c>
      <c r="K2468" t="s">
        <v>98</v>
      </c>
      <c r="L2468" t="s">
        <v>37</v>
      </c>
      <c r="M2468" t="s">
        <v>117</v>
      </c>
      <c r="N2468" s="1">
        <v>41617</v>
      </c>
      <c r="O2468">
        <v>4951.96</v>
      </c>
      <c r="P2468">
        <v>1237.8599999999999</v>
      </c>
      <c r="Q2468" t="s">
        <v>28</v>
      </c>
      <c r="R2468" t="s">
        <v>38</v>
      </c>
      <c r="S2468" t="s">
        <v>1777</v>
      </c>
      <c r="T2468" t="s">
        <v>1778</v>
      </c>
    </row>
    <row r="2469" spans="1:20" x14ac:dyDescent="0.25">
      <c r="A2469" t="s">
        <v>6363</v>
      </c>
      <c r="B2469" t="str">
        <f>"3058"</f>
        <v>3058</v>
      </c>
      <c r="C2469" t="str">
        <f>"287523058"</f>
        <v>287523058</v>
      </c>
      <c r="D2469" t="s">
        <v>6364</v>
      </c>
      <c r="E2469" t="s">
        <v>2364</v>
      </c>
      <c r="F2469" t="s">
        <v>97</v>
      </c>
      <c r="G2469" s="1">
        <v>19069</v>
      </c>
      <c r="H2469" s="1">
        <v>40469</v>
      </c>
      <c r="I2469" t="str">
        <f>"05"</f>
        <v>05</v>
      </c>
      <c r="J2469" t="s">
        <v>58</v>
      </c>
      <c r="K2469" t="s">
        <v>98</v>
      </c>
      <c r="L2469" t="s">
        <v>37</v>
      </c>
      <c r="M2469" t="s">
        <v>117</v>
      </c>
      <c r="N2469" s="1">
        <v>41617</v>
      </c>
      <c r="O2469">
        <v>4951.96</v>
      </c>
      <c r="P2469">
        <v>1237.8599999999999</v>
      </c>
      <c r="Q2469" t="s">
        <v>37</v>
      </c>
      <c r="R2469" t="s">
        <v>51</v>
      </c>
      <c r="S2469" t="s">
        <v>795</v>
      </c>
      <c r="T2469" t="s">
        <v>796</v>
      </c>
    </row>
    <row r="2470" spans="1:20" x14ac:dyDescent="0.25">
      <c r="A2470" t="s">
        <v>6365</v>
      </c>
      <c r="B2470" t="str">
        <f>"7849"</f>
        <v>7849</v>
      </c>
      <c r="C2470" t="str">
        <f>"276447849"</f>
        <v>276447849</v>
      </c>
      <c r="D2470" t="s">
        <v>6366</v>
      </c>
      <c r="E2470" t="s">
        <v>263</v>
      </c>
      <c r="F2470" t="s">
        <v>26</v>
      </c>
      <c r="G2470" s="1">
        <v>19320</v>
      </c>
      <c r="H2470" s="1">
        <v>40469</v>
      </c>
      <c r="I2470" t="str">
        <f>"05"</f>
        <v>05</v>
      </c>
      <c r="J2470" t="s">
        <v>58</v>
      </c>
      <c r="K2470" t="s">
        <v>98</v>
      </c>
      <c r="L2470" t="s">
        <v>37</v>
      </c>
      <c r="M2470" t="s">
        <v>117</v>
      </c>
      <c r="N2470" s="1">
        <v>41617</v>
      </c>
      <c r="O2470">
        <v>4951.96</v>
      </c>
      <c r="P2470">
        <v>1237.8599999999999</v>
      </c>
      <c r="Q2470" t="s">
        <v>28</v>
      </c>
      <c r="R2470" t="s">
        <v>29</v>
      </c>
      <c r="S2470" t="s">
        <v>594</v>
      </c>
      <c r="T2470" t="s">
        <v>595</v>
      </c>
    </row>
    <row r="2471" spans="1:20" x14ac:dyDescent="0.25">
      <c r="A2471" t="s">
        <v>6367</v>
      </c>
      <c r="B2471" t="str">
        <f>"0765"</f>
        <v>0765</v>
      </c>
      <c r="C2471" t="str">
        <f>"270920765"</f>
        <v>270920765</v>
      </c>
      <c r="D2471" t="s">
        <v>6368</v>
      </c>
      <c r="E2471" t="s">
        <v>609</v>
      </c>
      <c r="F2471" t="s">
        <v>122</v>
      </c>
      <c r="G2471" s="1">
        <v>31263</v>
      </c>
      <c r="H2471" s="1">
        <v>40469</v>
      </c>
      <c r="I2471" t="str">
        <f>"31"</f>
        <v>31</v>
      </c>
      <c r="J2471" t="s">
        <v>3321</v>
      </c>
      <c r="K2471" t="s">
        <v>25</v>
      </c>
      <c r="L2471" t="s">
        <v>26</v>
      </c>
      <c r="M2471" t="s">
        <v>27</v>
      </c>
      <c r="N2471" s="1">
        <v>18629</v>
      </c>
      <c r="O2471">
        <v>0</v>
      </c>
      <c r="P2471">
        <v>0</v>
      </c>
      <c r="Q2471" t="s">
        <v>28</v>
      </c>
      <c r="R2471" t="s">
        <v>29</v>
      </c>
      <c r="S2471" t="s">
        <v>3322</v>
      </c>
      <c r="T2471" t="s">
        <v>3323</v>
      </c>
    </row>
    <row r="2472" spans="1:20" x14ac:dyDescent="0.25">
      <c r="A2472" t="s">
        <v>6369</v>
      </c>
      <c r="B2472" t="str">
        <f>"1886"</f>
        <v>1886</v>
      </c>
      <c r="C2472" t="str">
        <f>"269641886"</f>
        <v>269641886</v>
      </c>
      <c r="D2472" t="s">
        <v>6370</v>
      </c>
      <c r="E2472" t="s">
        <v>197</v>
      </c>
      <c r="G2472" s="1">
        <v>21804</v>
      </c>
      <c r="H2472" s="1">
        <v>40469</v>
      </c>
      <c r="I2472" t="str">
        <f>"01"</f>
        <v>01</v>
      </c>
      <c r="J2472" t="s">
        <v>116</v>
      </c>
      <c r="K2472" t="s">
        <v>98</v>
      </c>
      <c r="L2472" t="s">
        <v>37</v>
      </c>
      <c r="M2472" t="s">
        <v>99</v>
      </c>
      <c r="N2472" s="1">
        <v>41617</v>
      </c>
      <c r="O2472">
        <v>14801.8</v>
      </c>
      <c r="P2472">
        <v>3700.32</v>
      </c>
      <c r="Q2472" t="s">
        <v>28</v>
      </c>
      <c r="R2472" t="s">
        <v>51</v>
      </c>
      <c r="S2472" s="2" t="s">
        <v>1272</v>
      </c>
      <c r="T2472" t="s">
        <v>1273</v>
      </c>
    </row>
    <row r="2473" spans="1:20" x14ac:dyDescent="0.25">
      <c r="A2473" t="s">
        <v>6371</v>
      </c>
      <c r="B2473" t="str">
        <f>"8452"</f>
        <v>8452</v>
      </c>
      <c r="C2473" t="str">
        <f>"297548452"</f>
        <v>297548452</v>
      </c>
      <c r="D2473" t="s">
        <v>666</v>
      </c>
      <c r="E2473" t="s">
        <v>1248</v>
      </c>
      <c r="F2473" t="s">
        <v>2075</v>
      </c>
      <c r="G2473" s="1">
        <v>20309</v>
      </c>
      <c r="H2473" s="1">
        <v>40469</v>
      </c>
      <c r="I2473" t="str">
        <f>"12"</f>
        <v>12</v>
      </c>
      <c r="J2473" t="s">
        <v>245</v>
      </c>
      <c r="L2473" t="s">
        <v>37</v>
      </c>
      <c r="M2473" t="s">
        <v>143</v>
      </c>
      <c r="N2473" s="1">
        <v>41743</v>
      </c>
      <c r="O2473">
        <v>185.9</v>
      </c>
      <c r="P2473">
        <v>-185.9</v>
      </c>
      <c r="Q2473" t="s">
        <v>37</v>
      </c>
      <c r="R2473" t="s">
        <v>71</v>
      </c>
      <c r="S2473" t="s">
        <v>923</v>
      </c>
      <c r="T2473" t="s">
        <v>924</v>
      </c>
    </row>
    <row r="2474" spans="1:20" x14ac:dyDescent="0.25">
      <c r="A2474" t="s">
        <v>6372</v>
      </c>
      <c r="B2474" t="str">
        <f>"6515"</f>
        <v>6515</v>
      </c>
      <c r="C2474" t="str">
        <f>"300646515"</f>
        <v>300646515</v>
      </c>
      <c r="D2474" t="s">
        <v>6373</v>
      </c>
      <c r="E2474" t="s">
        <v>1744</v>
      </c>
      <c r="G2474" s="1">
        <v>25806</v>
      </c>
      <c r="H2474" s="1">
        <v>40469</v>
      </c>
      <c r="I2474" t="str">
        <f>"03"</f>
        <v>03</v>
      </c>
      <c r="J2474" t="s">
        <v>70</v>
      </c>
      <c r="K2474" t="s">
        <v>98</v>
      </c>
      <c r="L2474" t="s">
        <v>37</v>
      </c>
      <c r="M2474" t="s">
        <v>117</v>
      </c>
      <c r="N2474" s="1">
        <v>41617</v>
      </c>
      <c r="O2474">
        <v>4951.96</v>
      </c>
      <c r="P2474">
        <v>1237.8599999999999</v>
      </c>
      <c r="Q2474" t="s">
        <v>37</v>
      </c>
      <c r="R2474" t="s">
        <v>110</v>
      </c>
      <c r="S2474" t="s">
        <v>1908</v>
      </c>
      <c r="T2474" t="s">
        <v>1909</v>
      </c>
    </row>
    <row r="2475" spans="1:20" x14ac:dyDescent="0.25">
      <c r="A2475" t="s">
        <v>6374</v>
      </c>
      <c r="B2475" t="str">
        <f>"4293"</f>
        <v>4293</v>
      </c>
      <c r="C2475" t="str">
        <f>"279644293"</f>
        <v>279644293</v>
      </c>
      <c r="D2475" t="s">
        <v>6375</v>
      </c>
      <c r="E2475" t="s">
        <v>2794</v>
      </c>
      <c r="F2475" t="s">
        <v>28</v>
      </c>
      <c r="G2475" s="1">
        <v>26862</v>
      </c>
      <c r="H2475" s="1">
        <v>40468</v>
      </c>
      <c r="I2475" t="str">
        <f>"41"</f>
        <v>41</v>
      </c>
      <c r="J2475" t="s">
        <v>24</v>
      </c>
      <c r="K2475" t="s">
        <v>25</v>
      </c>
      <c r="L2475" t="s">
        <v>26</v>
      </c>
      <c r="M2475" t="s">
        <v>27</v>
      </c>
      <c r="N2475" s="1">
        <v>18629</v>
      </c>
      <c r="O2475">
        <v>0</v>
      </c>
      <c r="P2475">
        <v>0</v>
      </c>
      <c r="Q2475" t="s">
        <v>28</v>
      </c>
      <c r="R2475" t="s">
        <v>71</v>
      </c>
      <c r="S2475" t="s">
        <v>402</v>
      </c>
      <c r="T2475" t="s">
        <v>403</v>
      </c>
    </row>
    <row r="2476" spans="1:20" x14ac:dyDescent="0.25">
      <c r="A2476" t="s">
        <v>6376</v>
      </c>
      <c r="B2476" t="str">
        <f>"5077"</f>
        <v>5077</v>
      </c>
      <c r="C2476" t="str">
        <f>"302585077"</f>
        <v>302585077</v>
      </c>
      <c r="D2476" t="s">
        <v>6377</v>
      </c>
      <c r="E2476" t="s">
        <v>35</v>
      </c>
      <c r="F2476" t="s">
        <v>414</v>
      </c>
      <c r="G2476" s="1">
        <v>19814</v>
      </c>
      <c r="H2476" s="1">
        <v>40465</v>
      </c>
      <c r="I2476" t="str">
        <f>"52"</f>
        <v>52</v>
      </c>
      <c r="J2476" t="s">
        <v>330</v>
      </c>
      <c r="K2476" t="s">
        <v>25</v>
      </c>
      <c r="L2476" t="s">
        <v>26</v>
      </c>
      <c r="M2476" t="s">
        <v>27</v>
      </c>
      <c r="N2476" s="1">
        <v>18629</v>
      </c>
      <c r="O2476">
        <v>0</v>
      </c>
      <c r="P2476">
        <v>0</v>
      </c>
      <c r="Q2476" t="s">
        <v>28</v>
      </c>
      <c r="R2476" t="s">
        <v>51</v>
      </c>
      <c r="S2476" s="2" t="s">
        <v>362</v>
      </c>
      <c r="T2476" t="s">
        <v>363</v>
      </c>
    </row>
    <row r="2477" spans="1:20" x14ac:dyDescent="0.25">
      <c r="A2477" t="s">
        <v>6378</v>
      </c>
      <c r="B2477" t="str">
        <f>"0363"</f>
        <v>0363</v>
      </c>
      <c r="C2477" t="str">
        <f>"287600363"</f>
        <v>287600363</v>
      </c>
      <c r="D2477" t="s">
        <v>6379</v>
      </c>
      <c r="E2477" t="s">
        <v>6380</v>
      </c>
      <c r="F2477" t="s">
        <v>28</v>
      </c>
      <c r="G2477" s="1">
        <v>25276</v>
      </c>
      <c r="H2477" s="1">
        <v>40462</v>
      </c>
      <c r="I2477" t="str">
        <f>"01"</f>
        <v>01</v>
      </c>
      <c r="J2477" t="s">
        <v>116</v>
      </c>
      <c r="K2477" t="s">
        <v>98</v>
      </c>
      <c r="L2477" t="s">
        <v>37</v>
      </c>
      <c r="M2477" t="s">
        <v>99</v>
      </c>
      <c r="N2477" s="1">
        <v>41617</v>
      </c>
      <c r="O2477">
        <v>14801.8</v>
      </c>
      <c r="P2477">
        <v>3700.32</v>
      </c>
      <c r="Q2477" t="s">
        <v>37</v>
      </c>
      <c r="R2477" t="s">
        <v>599</v>
      </c>
      <c r="S2477" t="s">
        <v>600</v>
      </c>
      <c r="T2477" t="s">
        <v>601</v>
      </c>
    </row>
    <row r="2478" spans="1:20" x14ac:dyDescent="0.25">
      <c r="A2478" t="s">
        <v>6381</v>
      </c>
      <c r="B2478" t="str">
        <f>"4020"</f>
        <v>4020</v>
      </c>
      <c r="C2478" t="str">
        <f>"279564020"</f>
        <v>279564020</v>
      </c>
      <c r="D2478" t="s">
        <v>6382</v>
      </c>
      <c r="E2478" t="s">
        <v>2450</v>
      </c>
      <c r="F2478" t="s">
        <v>44</v>
      </c>
      <c r="G2478" s="1">
        <v>19677</v>
      </c>
      <c r="H2478" s="1">
        <v>40458</v>
      </c>
      <c r="I2478" t="str">
        <f>"12"</f>
        <v>12</v>
      </c>
      <c r="J2478" t="s">
        <v>245</v>
      </c>
      <c r="K2478" t="s">
        <v>175</v>
      </c>
      <c r="L2478" t="s">
        <v>37</v>
      </c>
      <c r="M2478" t="s">
        <v>257</v>
      </c>
      <c r="N2478" s="1">
        <v>41617</v>
      </c>
      <c r="O2478">
        <v>11847.94</v>
      </c>
      <c r="P2478">
        <v>2961.92</v>
      </c>
      <c r="Q2478" t="s">
        <v>37</v>
      </c>
      <c r="R2478" t="s">
        <v>110</v>
      </c>
      <c r="S2478" t="s">
        <v>2858</v>
      </c>
      <c r="T2478" t="s">
        <v>2859</v>
      </c>
    </row>
    <row r="2479" spans="1:20" x14ac:dyDescent="0.25">
      <c r="A2479" t="s">
        <v>6383</v>
      </c>
      <c r="B2479" t="str">
        <f>"8587"</f>
        <v>8587</v>
      </c>
      <c r="C2479" t="str">
        <f>"290848587"</f>
        <v>290848587</v>
      </c>
      <c r="D2479" t="s">
        <v>6384</v>
      </c>
      <c r="E2479" t="s">
        <v>6385</v>
      </c>
      <c r="F2479" t="s">
        <v>28</v>
      </c>
      <c r="G2479" s="1">
        <v>29129</v>
      </c>
      <c r="H2479" s="1">
        <v>40456</v>
      </c>
      <c r="I2479" t="str">
        <f>"52"</f>
        <v>52</v>
      </c>
      <c r="J2479" t="s">
        <v>330</v>
      </c>
      <c r="K2479" t="s">
        <v>25</v>
      </c>
      <c r="L2479" t="s">
        <v>26</v>
      </c>
      <c r="M2479" t="s">
        <v>27</v>
      </c>
      <c r="N2479" s="1">
        <v>18629</v>
      </c>
      <c r="O2479">
        <v>0</v>
      </c>
      <c r="P2479">
        <v>0</v>
      </c>
      <c r="Q2479" t="s">
        <v>28</v>
      </c>
      <c r="R2479" t="s">
        <v>258</v>
      </c>
      <c r="S2479" t="s">
        <v>5785</v>
      </c>
      <c r="T2479" t="s">
        <v>5786</v>
      </c>
    </row>
    <row r="2480" spans="1:20" x14ac:dyDescent="0.25">
      <c r="A2480" t="s">
        <v>6386</v>
      </c>
      <c r="B2480" t="str">
        <f>"2586"</f>
        <v>2586</v>
      </c>
      <c r="C2480" t="str">
        <f>"232602586"</f>
        <v>232602586</v>
      </c>
      <c r="D2480" t="s">
        <v>6387</v>
      </c>
      <c r="E2480" t="s">
        <v>6388</v>
      </c>
      <c r="G2480" s="1">
        <v>14930</v>
      </c>
      <c r="H2480" s="1">
        <v>40456</v>
      </c>
      <c r="I2480" t="str">
        <f>"52"</f>
        <v>52</v>
      </c>
      <c r="J2480" t="s">
        <v>330</v>
      </c>
      <c r="K2480" t="s">
        <v>25</v>
      </c>
      <c r="L2480" t="s">
        <v>26</v>
      </c>
      <c r="M2480" t="s">
        <v>27</v>
      </c>
      <c r="N2480" s="1">
        <v>18629</v>
      </c>
      <c r="O2480">
        <v>0</v>
      </c>
      <c r="P2480">
        <v>0</v>
      </c>
      <c r="Q2480" t="s">
        <v>37</v>
      </c>
      <c r="R2480" t="s">
        <v>51</v>
      </c>
      <c r="S2480" s="2" t="s">
        <v>362</v>
      </c>
      <c r="T2480" t="s">
        <v>363</v>
      </c>
    </row>
    <row r="2481" spans="1:20" x14ac:dyDescent="0.25">
      <c r="A2481" t="s">
        <v>6389</v>
      </c>
      <c r="B2481" t="str">
        <f>"6712"</f>
        <v>6712</v>
      </c>
      <c r="C2481" t="str">
        <f>"299186712"</f>
        <v>299186712</v>
      </c>
      <c r="D2481" t="s">
        <v>6390</v>
      </c>
      <c r="E2481" t="s">
        <v>649</v>
      </c>
      <c r="G2481" s="1">
        <v>9523</v>
      </c>
      <c r="H2481" s="1">
        <v>40456</v>
      </c>
      <c r="I2481" t="str">
        <f>"52"</f>
        <v>52</v>
      </c>
      <c r="J2481" t="s">
        <v>330</v>
      </c>
      <c r="K2481" t="s">
        <v>25</v>
      </c>
      <c r="L2481" t="s">
        <v>26</v>
      </c>
      <c r="M2481" t="s">
        <v>27</v>
      </c>
      <c r="N2481" s="1">
        <v>18629</v>
      </c>
      <c r="O2481">
        <v>0</v>
      </c>
      <c r="P2481">
        <v>0</v>
      </c>
      <c r="Q2481" t="s">
        <v>28</v>
      </c>
      <c r="R2481" t="s">
        <v>51</v>
      </c>
      <c r="S2481" s="2" t="s">
        <v>362</v>
      </c>
      <c r="T2481" t="s">
        <v>363</v>
      </c>
    </row>
    <row r="2482" spans="1:20" x14ac:dyDescent="0.25">
      <c r="A2482" t="s">
        <v>6391</v>
      </c>
      <c r="B2482" t="str">
        <f>"2839"</f>
        <v>2839</v>
      </c>
      <c r="C2482" t="str">
        <f>"283442839"</f>
        <v>283442839</v>
      </c>
      <c r="D2482" t="s">
        <v>6392</v>
      </c>
      <c r="E2482" t="s">
        <v>335</v>
      </c>
      <c r="G2482" s="1">
        <v>18737</v>
      </c>
      <c r="H2482" s="1">
        <v>40455</v>
      </c>
      <c r="I2482" t="str">
        <f>"01"</f>
        <v>01</v>
      </c>
      <c r="J2482" t="s">
        <v>116</v>
      </c>
      <c r="K2482" t="s">
        <v>98</v>
      </c>
      <c r="L2482" t="s">
        <v>37</v>
      </c>
      <c r="M2482" t="s">
        <v>117</v>
      </c>
      <c r="N2482" s="1">
        <v>41617</v>
      </c>
      <c r="O2482">
        <v>4951.96</v>
      </c>
      <c r="P2482">
        <v>1237.8599999999999</v>
      </c>
      <c r="Q2482" t="s">
        <v>28</v>
      </c>
      <c r="R2482" t="s">
        <v>38</v>
      </c>
      <c r="S2482" t="s">
        <v>39</v>
      </c>
      <c r="T2482" t="s">
        <v>40</v>
      </c>
    </row>
    <row r="2483" spans="1:20" x14ac:dyDescent="0.25">
      <c r="A2483" t="s">
        <v>6393</v>
      </c>
      <c r="B2483" t="str">
        <f>"2472"</f>
        <v>2472</v>
      </c>
      <c r="C2483" t="str">
        <f>"278502472"</f>
        <v>278502472</v>
      </c>
      <c r="D2483" t="s">
        <v>1156</v>
      </c>
      <c r="E2483" t="s">
        <v>1981</v>
      </c>
      <c r="F2483" t="s">
        <v>93</v>
      </c>
      <c r="G2483" s="1">
        <v>19115</v>
      </c>
      <c r="H2483" s="1">
        <v>40455</v>
      </c>
      <c r="I2483" t="str">
        <f>"33"</f>
        <v>33</v>
      </c>
      <c r="J2483" t="s">
        <v>45</v>
      </c>
      <c r="K2483" t="s">
        <v>25</v>
      </c>
      <c r="L2483" t="s">
        <v>26</v>
      </c>
      <c r="M2483" t="s">
        <v>27</v>
      </c>
      <c r="N2483" s="1">
        <v>18629</v>
      </c>
      <c r="O2483">
        <v>0</v>
      </c>
      <c r="P2483">
        <v>0</v>
      </c>
      <c r="Q2483" t="s">
        <v>37</v>
      </c>
      <c r="R2483" t="s">
        <v>51</v>
      </c>
      <c r="S2483" t="s">
        <v>795</v>
      </c>
      <c r="T2483" t="s">
        <v>796</v>
      </c>
    </row>
    <row r="2484" spans="1:20" x14ac:dyDescent="0.25">
      <c r="A2484" t="s">
        <v>6394</v>
      </c>
      <c r="B2484" t="str">
        <f>"2339"</f>
        <v>2339</v>
      </c>
      <c r="C2484" t="str">
        <f>"275802339"</f>
        <v>275802339</v>
      </c>
      <c r="D2484" t="s">
        <v>6395</v>
      </c>
      <c r="E2484" t="s">
        <v>448</v>
      </c>
      <c r="F2484" t="s">
        <v>28</v>
      </c>
      <c r="G2484" s="1">
        <v>25084</v>
      </c>
      <c r="H2484" s="1">
        <v>40455</v>
      </c>
      <c r="I2484" t="str">
        <f>"33"</f>
        <v>33</v>
      </c>
      <c r="J2484" t="s">
        <v>45</v>
      </c>
      <c r="K2484" t="s">
        <v>25</v>
      </c>
      <c r="L2484" t="s">
        <v>26</v>
      </c>
      <c r="M2484" t="s">
        <v>27</v>
      </c>
      <c r="N2484" s="1">
        <v>18629</v>
      </c>
      <c r="O2484">
        <v>0</v>
      </c>
      <c r="P2484">
        <v>0</v>
      </c>
      <c r="Q2484" t="s">
        <v>37</v>
      </c>
      <c r="R2484" t="s">
        <v>29</v>
      </c>
      <c r="S2484" t="s">
        <v>594</v>
      </c>
      <c r="T2484" t="s">
        <v>595</v>
      </c>
    </row>
    <row r="2485" spans="1:20" x14ac:dyDescent="0.25">
      <c r="A2485" t="s">
        <v>6396</v>
      </c>
      <c r="B2485" t="str">
        <f>"6107"</f>
        <v>6107</v>
      </c>
      <c r="C2485" t="str">
        <f>"298566107"</f>
        <v>298566107</v>
      </c>
      <c r="D2485" t="s">
        <v>6397</v>
      </c>
      <c r="E2485" t="s">
        <v>682</v>
      </c>
      <c r="F2485" t="s">
        <v>219</v>
      </c>
      <c r="G2485" s="1">
        <v>22847</v>
      </c>
      <c r="H2485" s="1">
        <v>40455</v>
      </c>
      <c r="I2485" t="str">
        <f>"03"</f>
        <v>03</v>
      </c>
      <c r="J2485" t="s">
        <v>70</v>
      </c>
      <c r="K2485" t="s">
        <v>175</v>
      </c>
      <c r="L2485" t="s">
        <v>37</v>
      </c>
      <c r="M2485" t="s">
        <v>99</v>
      </c>
      <c r="N2485" s="1">
        <v>41617</v>
      </c>
      <c r="O2485">
        <v>16411.72</v>
      </c>
      <c r="P2485">
        <v>4102.8</v>
      </c>
      <c r="Q2485" t="s">
        <v>37</v>
      </c>
      <c r="R2485" t="s">
        <v>38</v>
      </c>
      <c r="S2485" t="s">
        <v>5219</v>
      </c>
      <c r="T2485" t="s">
        <v>5220</v>
      </c>
    </row>
    <row r="2486" spans="1:20" x14ac:dyDescent="0.25">
      <c r="A2486" t="s">
        <v>6398</v>
      </c>
      <c r="B2486" t="str">
        <f>"0366"</f>
        <v>0366</v>
      </c>
      <c r="C2486" t="str">
        <f>"273480366"</f>
        <v>273480366</v>
      </c>
      <c r="D2486" t="s">
        <v>6399</v>
      </c>
      <c r="E2486" t="s">
        <v>6400</v>
      </c>
      <c r="G2486" s="1">
        <v>18160</v>
      </c>
      <c r="H2486" s="1">
        <v>40455</v>
      </c>
      <c r="I2486" t="str">
        <f>"41"</f>
        <v>41</v>
      </c>
      <c r="J2486" t="s">
        <v>24</v>
      </c>
      <c r="K2486" t="s">
        <v>25</v>
      </c>
      <c r="L2486" t="s">
        <v>26</v>
      </c>
      <c r="M2486" t="s">
        <v>27</v>
      </c>
      <c r="N2486" s="1">
        <v>18629</v>
      </c>
      <c r="O2486">
        <v>0</v>
      </c>
      <c r="P2486">
        <v>0</v>
      </c>
      <c r="Q2486" t="s">
        <v>37</v>
      </c>
      <c r="R2486" t="s">
        <v>29</v>
      </c>
      <c r="S2486" t="s">
        <v>88</v>
      </c>
      <c r="T2486" t="s">
        <v>89</v>
      </c>
    </row>
    <row r="2487" spans="1:20" x14ac:dyDescent="0.25">
      <c r="A2487" t="s">
        <v>6401</v>
      </c>
      <c r="B2487" t="str">
        <f>"4574"</f>
        <v>4574</v>
      </c>
      <c r="C2487" t="str">
        <f>"290504574"</f>
        <v>290504574</v>
      </c>
      <c r="D2487" t="s">
        <v>3037</v>
      </c>
      <c r="E2487" t="s">
        <v>1067</v>
      </c>
      <c r="G2487" s="1">
        <v>19544</v>
      </c>
      <c r="H2487" s="1">
        <v>40451</v>
      </c>
      <c r="I2487" t="str">
        <f>"51"</f>
        <v>51</v>
      </c>
      <c r="J2487" t="s">
        <v>471</v>
      </c>
      <c r="K2487" t="s">
        <v>25</v>
      </c>
      <c r="L2487" t="s">
        <v>26</v>
      </c>
      <c r="M2487" t="s">
        <v>27</v>
      </c>
      <c r="N2487" s="1">
        <v>18629</v>
      </c>
      <c r="O2487">
        <v>0</v>
      </c>
      <c r="P2487">
        <v>0</v>
      </c>
      <c r="Q2487" t="s">
        <v>28</v>
      </c>
      <c r="R2487" t="s">
        <v>29</v>
      </c>
      <c r="S2487" t="s">
        <v>3682</v>
      </c>
      <c r="T2487" t="s">
        <v>3683</v>
      </c>
    </row>
    <row r="2488" spans="1:20" x14ac:dyDescent="0.25">
      <c r="A2488" t="s">
        <v>6402</v>
      </c>
      <c r="B2488" t="str">
        <f>"0443"</f>
        <v>0443</v>
      </c>
      <c r="C2488" t="str">
        <f>"300040443"</f>
        <v>300040443</v>
      </c>
      <c r="D2488" t="s">
        <v>1084</v>
      </c>
      <c r="E2488" t="s">
        <v>4634</v>
      </c>
      <c r="F2488" t="s">
        <v>438</v>
      </c>
      <c r="G2488" s="1">
        <v>21125</v>
      </c>
      <c r="H2488" s="1">
        <v>40448</v>
      </c>
      <c r="I2488" t="str">
        <f>"51"</f>
        <v>51</v>
      </c>
      <c r="J2488" t="s">
        <v>471</v>
      </c>
      <c r="K2488" t="s">
        <v>25</v>
      </c>
      <c r="L2488" t="s">
        <v>26</v>
      </c>
      <c r="M2488" t="s">
        <v>27</v>
      </c>
      <c r="N2488" s="1">
        <v>18629</v>
      </c>
      <c r="O2488">
        <v>0</v>
      </c>
      <c r="P2488">
        <v>0</v>
      </c>
      <c r="Q2488" t="s">
        <v>37</v>
      </c>
      <c r="R2488" t="s">
        <v>29</v>
      </c>
      <c r="S2488" t="s">
        <v>594</v>
      </c>
      <c r="T2488" t="s">
        <v>595</v>
      </c>
    </row>
    <row r="2489" spans="1:20" x14ac:dyDescent="0.25">
      <c r="A2489" t="s">
        <v>6403</v>
      </c>
      <c r="B2489" t="str">
        <f>"0857"</f>
        <v>0857</v>
      </c>
      <c r="C2489" t="str">
        <f>"282480857"</f>
        <v>282480857</v>
      </c>
      <c r="D2489" t="s">
        <v>6404</v>
      </c>
      <c r="E2489" t="s">
        <v>1049</v>
      </c>
      <c r="G2489" s="1">
        <v>21511</v>
      </c>
      <c r="H2489" s="1">
        <v>40448</v>
      </c>
      <c r="I2489" t="str">
        <f>"15"</f>
        <v>15</v>
      </c>
      <c r="J2489" t="s">
        <v>36</v>
      </c>
      <c r="K2489" t="s">
        <v>98</v>
      </c>
      <c r="L2489" t="s">
        <v>37</v>
      </c>
      <c r="M2489" t="s">
        <v>257</v>
      </c>
      <c r="N2489" s="1">
        <v>41617</v>
      </c>
      <c r="O2489">
        <v>10753.08</v>
      </c>
      <c r="P2489">
        <v>2688.4</v>
      </c>
      <c r="Q2489" t="s">
        <v>28</v>
      </c>
      <c r="R2489" t="s">
        <v>38</v>
      </c>
      <c r="S2489" t="s">
        <v>1777</v>
      </c>
      <c r="T2489" t="s">
        <v>1778</v>
      </c>
    </row>
    <row r="2490" spans="1:20" x14ac:dyDescent="0.25">
      <c r="A2490" t="s">
        <v>6405</v>
      </c>
      <c r="B2490" t="str">
        <f>"9308"</f>
        <v>9308</v>
      </c>
      <c r="C2490" t="str">
        <f>"278669308"</f>
        <v>278669308</v>
      </c>
      <c r="D2490" t="s">
        <v>6406</v>
      </c>
      <c r="E2490" t="s">
        <v>179</v>
      </c>
      <c r="F2490" t="s">
        <v>197</v>
      </c>
      <c r="G2490" s="1">
        <v>24556</v>
      </c>
      <c r="H2490" s="1">
        <v>40446</v>
      </c>
      <c r="I2490" t="str">
        <f>"52"</f>
        <v>52</v>
      </c>
      <c r="J2490" t="s">
        <v>330</v>
      </c>
      <c r="K2490" t="s">
        <v>25</v>
      </c>
      <c r="L2490" t="s">
        <v>26</v>
      </c>
      <c r="M2490" t="s">
        <v>27</v>
      </c>
      <c r="N2490" s="1">
        <v>18629</v>
      </c>
      <c r="O2490">
        <v>0</v>
      </c>
      <c r="P2490">
        <v>0</v>
      </c>
      <c r="Q2490" t="s">
        <v>28</v>
      </c>
      <c r="R2490" t="s">
        <v>258</v>
      </c>
      <c r="S2490" t="s">
        <v>331</v>
      </c>
      <c r="T2490" t="s">
        <v>332</v>
      </c>
    </row>
    <row r="2491" spans="1:20" x14ac:dyDescent="0.25">
      <c r="A2491" t="s">
        <v>6407</v>
      </c>
      <c r="B2491" t="str">
        <f>"3526"</f>
        <v>3526</v>
      </c>
      <c r="C2491" t="str">
        <f>"295483526"</f>
        <v>295483526</v>
      </c>
      <c r="D2491" t="s">
        <v>6408</v>
      </c>
      <c r="E2491" t="s">
        <v>609</v>
      </c>
      <c r="F2491" t="s">
        <v>329</v>
      </c>
      <c r="G2491" s="1">
        <v>20437</v>
      </c>
      <c r="H2491" s="1">
        <v>40446</v>
      </c>
      <c r="I2491" t="str">
        <f>"52"</f>
        <v>52</v>
      </c>
      <c r="J2491" t="s">
        <v>330</v>
      </c>
      <c r="K2491" t="s">
        <v>25</v>
      </c>
      <c r="L2491" t="s">
        <v>26</v>
      </c>
      <c r="M2491" t="s">
        <v>27</v>
      </c>
      <c r="N2491" s="1">
        <v>18629</v>
      </c>
      <c r="O2491">
        <v>0</v>
      </c>
      <c r="P2491">
        <v>0</v>
      </c>
      <c r="Q2491" t="s">
        <v>28</v>
      </c>
      <c r="R2491" t="s">
        <v>258</v>
      </c>
      <c r="S2491" t="s">
        <v>331</v>
      </c>
      <c r="T2491" t="s">
        <v>332</v>
      </c>
    </row>
    <row r="2492" spans="1:20" x14ac:dyDescent="0.25">
      <c r="A2492" t="s">
        <v>6409</v>
      </c>
      <c r="B2492" t="str">
        <f>"6020"</f>
        <v>6020</v>
      </c>
      <c r="C2492" t="str">
        <f>"276806020"</f>
        <v>276806020</v>
      </c>
      <c r="D2492" t="s">
        <v>6410</v>
      </c>
      <c r="E2492" t="s">
        <v>3646</v>
      </c>
      <c r="F2492" t="s">
        <v>26</v>
      </c>
      <c r="G2492" s="1">
        <v>25507</v>
      </c>
      <c r="H2492" s="1">
        <v>40442</v>
      </c>
      <c r="I2492" t="str">
        <f>"52"</f>
        <v>52</v>
      </c>
      <c r="J2492" t="s">
        <v>330</v>
      </c>
      <c r="K2492" t="s">
        <v>25</v>
      </c>
      <c r="L2492" t="s">
        <v>26</v>
      </c>
      <c r="M2492" t="s">
        <v>27</v>
      </c>
      <c r="N2492" s="1">
        <v>18629</v>
      </c>
      <c r="O2492">
        <v>0</v>
      </c>
      <c r="P2492">
        <v>0</v>
      </c>
      <c r="Q2492" t="s">
        <v>28</v>
      </c>
      <c r="R2492" t="s">
        <v>312</v>
      </c>
      <c r="S2492" t="s">
        <v>2038</v>
      </c>
      <c r="T2492" t="s">
        <v>2039</v>
      </c>
    </row>
    <row r="2493" spans="1:20" x14ac:dyDescent="0.25">
      <c r="A2493" t="s">
        <v>6411</v>
      </c>
      <c r="B2493" t="str">
        <f>"1259"</f>
        <v>1259</v>
      </c>
      <c r="C2493" t="str">
        <f>"283661259"</f>
        <v>283661259</v>
      </c>
      <c r="D2493" t="s">
        <v>6412</v>
      </c>
      <c r="E2493" t="s">
        <v>609</v>
      </c>
      <c r="F2493" t="s">
        <v>6413</v>
      </c>
      <c r="G2493" s="1">
        <v>22495</v>
      </c>
      <c r="H2493" s="1">
        <v>40442</v>
      </c>
      <c r="I2493" t="str">
        <f>"52"</f>
        <v>52</v>
      </c>
      <c r="J2493" t="s">
        <v>330</v>
      </c>
      <c r="K2493" t="s">
        <v>25</v>
      </c>
      <c r="L2493" t="s">
        <v>26</v>
      </c>
      <c r="M2493" t="s">
        <v>27</v>
      </c>
      <c r="N2493" s="1">
        <v>18629</v>
      </c>
      <c r="O2493">
        <v>0</v>
      </c>
      <c r="P2493">
        <v>0</v>
      </c>
      <c r="Q2493" t="s">
        <v>28</v>
      </c>
      <c r="R2493" t="s">
        <v>312</v>
      </c>
      <c r="S2493" t="s">
        <v>2038</v>
      </c>
      <c r="T2493" t="s">
        <v>2039</v>
      </c>
    </row>
    <row r="2494" spans="1:20" x14ac:dyDescent="0.25">
      <c r="A2494" t="s">
        <v>6414</v>
      </c>
      <c r="B2494" t="str">
        <f>"7634"</f>
        <v>7634</v>
      </c>
      <c r="C2494" t="str">
        <f>"291907634"</f>
        <v>291907634</v>
      </c>
      <c r="D2494" t="s">
        <v>6415</v>
      </c>
      <c r="E2494" t="s">
        <v>6416</v>
      </c>
      <c r="F2494" t="s">
        <v>28</v>
      </c>
      <c r="G2494" s="1">
        <v>32342</v>
      </c>
      <c r="H2494" s="1">
        <v>40442</v>
      </c>
      <c r="I2494" t="str">
        <f>"41"</f>
        <v>41</v>
      </c>
      <c r="J2494" t="s">
        <v>24</v>
      </c>
      <c r="K2494" t="s">
        <v>25</v>
      </c>
      <c r="L2494" t="s">
        <v>26</v>
      </c>
      <c r="M2494" t="s">
        <v>27</v>
      </c>
      <c r="N2494" s="1">
        <v>18629</v>
      </c>
      <c r="O2494">
        <v>0</v>
      </c>
      <c r="P2494">
        <v>0</v>
      </c>
      <c r="Q2494" t="s">
        <v>37</v>
      </c>
      <c r="R2494" t="s">
        <v>51</v>
      </c>
      <c r="S2494" t="s">
        <v>83</v>
      </c>
      <c r="T2494" t="s">
        <v>84</v>
      </c>
    </row>
    <row r="2495" spans="1:20" x14ac:dyDescent="0.25">
      <c r="A2495" t="s">
        <v>6417</v>
      </c>
      <c r="B2495" t="str">
        <f>"6695"</f>
        <v>6695</v>
      </c>
      <c r="C2495" t="str">
        <f>"293586695"</f>
        <v>293586695</v>
      </c>
      <c r="D2495" t="s">
        <v>6418</v>
      </c>
      <c r="E2495" t="s">
        <v>3674</v>
      </c>
      <c r="F2495" t="s">
        <v>44</v>
      </c>
      <c r="G2495" s="1">
        <v>21031</v>
      </c>
      <c r="H2495" s="1">
        <v>40442</v>
      </c>
      <c r="I2495" t="str">
        <f>"41"</f>
        <v>41</v>
      </c>
      <c r="J2495" t="s">
        <v>24</v>
      </c>
      <c r="K2495" t="s">
        <v>25</v>
      </c>
      <c r="L2495" t="s">
        <v>26</v>
      </c>
      <c r="M2495" t="s">
        <v>27</v>
      </c>
      <c r="N2495" s="1">
        <v>18629</v>
      </c>
      <c r="O2495">
        <v>0</v>
      </c>
      <c r="P2495">
        <v>0</v>
      </c>
      <c r="Q2495" t="s">
        <v>37</v>
      </c>
      <c r="R2495" t="s">
        <v>312</v>
      </c>
      <c r="S2495" t="s">
        <v>2038</v>
      </c>
      <c r="T2495" t="s">
        <v>2039</v>
      </c>
    </row>
    <row r="2496" spans="1:20" x14ac:dyDescent="0.25">
      <c r="A2496" t="s">
        <v>6419</v>
      </c>
      <c r="B2496" t="str">
        <f>"4330"</f>
        <v>4330</v>
      </c>
      <c r="C2496" t="str">
        <f>"274084330"</f>
        <v>274084330</v>
      </c>
      <c r="D2496" t="s">
        <v>6420</v>
      </c>
      <c r="E2496" t="s">
        <v>5468</v>
      </c>
      <c r="F2496" t="s">
        <v>239</v>
      </c>
      <c r="G2496" s="1">
        <v>28310</v>
      </c>
      <c r="H2496" s="1">
        <v>40441</v>
      </c>
      <c r="I2496" t="str">
        <f>"51"</f>
        <v>51</v>
      </c>
      <c r="J2496" t="s">
        <v>471</v>
      </c>
      <c r="K2496" t="s">
        <v>25</v>
      </c>
      <c r="L2496" t="s">
        <v>26</v>
      </c>
      <c r="M2496" t="s">
        <v>27</v>
      </c>
      <c r="N2496" s="1">
        <v>18629</v>
      </c>
      <c r="O2496">
        <v>0</v>
      </c>
      <c r="P2496">
        <v>0</v>
      </c>
      <c r="Q2496" t="s">
        <v>37</v>
      </c>
      <c r="R2496" t="s">
        <v>29</v>
      </c>
      <c r="S2496" t="s">
        <v>1555</v>
      </c>
      <c r="T2496" t="s">
        <v>1556</v>
      </c>
    </row>
    <row r="2497" spans="1:20" x14ac:dyDescent="0.25">
      <c r="A2497" t="s">
        <v>6421</v>
      </c>
      <c r="B2497" t="str">
        <f>"3037"</f>
        <v>3037</v>
      </c>
      <c r="C2497" t="str">
        <f>"272543037"</f>
        <v>272543037</v>
      </c>
      <c r="D2497" t="s">
        <v>6422</v>
      </c>
      <c r="E2497" t="s">
        <v>233</v>
      </c>
      <c r="F2497" t="s">
        <v>28</v>
      </c>
      <c r="G2497" s="1">
        <v>19387</v>
      </c>
      <c r="H2497" s="1">
        <v>40441</v>
      </c>
      <c r="I2497" t="str">
        <f>"12"</f>
        <v>12</v>
      </c>
      <c r="J2497" t="s">
        <v>245</v>
      </c>
      <c r="K2497" t="s">
        <v>175</v>
      </c>
      <c r="L2497" t="s">
        <v>37</v>
      </c>
      <c r="M2497" t="s">
        <v>117</v>
      </c>
      <c r="N2497" s="1">
        <v>41617</v>
      </c>
      <c r="O2497">
        <v>5288.66</v>
      </c>
      <c r="P2497">
        <v>1322.1</v>
      </c>
      <c r="Q2497" t="s">
        <v>28</v>
      </c>
      <c r="R2497" t="s">
        <v>29</v>
      </c>
      <c r="S2497" t="s">
        <v>6423</v>
      </c>
      <c r="T2497" t="s">
        <v>6424</v>
      </c>
    </row>
    <row r="2498" spans="1:20" x14ac:dyDescent="0.25">
      <c r="A2498" t="s">
        <v>6425</v>
      </c>
      <c r="B2498" t="str">
        <f>"8531"</f>
        <v>8531</v>
      </c>
      <c r="C2498" t="str">
        <f>"294568531"</f>
        <v>294568531</v>
      </c>
      <c r="D2498" t="s">
        <v>4827</v>
      </c>
      <c r="E2498" t="s">
        <v>1981</v>
      </c>
      <c r="F2498" t="s">
        <v>93</v>
      </c>
      <c r="G2498" s="1">
        <v>19988</v>
      </c>
      <c r="H2498" s="1">
        <v>40441</v>
      </c>
      <c r="I2498" t="str">
        <f>"51"</f>
        <v>51</v>
      </c>
      <c r="J2498" t="s">
        <v>471</v>
      </c>
      <c r="K2498" t="s">
        <v>25</v>
      </c>
      <c r="L2498" t="s">
        <v>26</v>
      </c>
      <c r="M2498" t="s">
        <v>27</v>
      </c>
      <c r="N2498" s="1">
        <v>18629</v>
      </c>
      <c r="O2498">
        <v>0</v>
      </c>
      <c r="P2498">
        <v>0</v>
      </c>
      <c r="Q2498" t="s">
        <v>37</v>
      </c>
      <c r="R2498" t="s">
        <v>29</v>
      </c>
      <c r="S2498" t="s">
        <v>3671</v>
      </c>
      <c r="T2498" t="s">
        <v>3672</v>
      </c>
    </row>
    <row r="2499" spans="1:20" x14ac:dyDescent="0.25">
      <c r="A2499" t="s">
        <v>6426</v>
      </c>
      <c r="B2499" t="str">
        <f>"2385"</f>
        <v>2385</v>
      </c>
      <c r="C2499" t="str">
        <f>"408962385"</f>
        <v>408962385</v>
      </c>
      <c r="D2499" t="s">
        <v>6427</v>
      </c>
      <c r="E2499" t="s">
        <v>6428</v>
      </c>
      <c r="F2499" t="s">
        <v>219</v>
      </c>
      <c r="G2499" s="1">
        <v>20003</v>
      </c>
      <c r="H2499" s="1">
        <v>40441</v>
      </c>
      <c r="I2499" t="str">
        <f>"33"</f>
        <v>33</v>
      </c>
      <c r="J2499" t="s">
        <v>45</v>
      </c>
      <c r="K2499" t="s">
        <v>25</v>
      </c>
      <c r="L2499" t="s">
        <v>26</v>
      </c>
      <c r="M2499" t="s">
        <v>27</v>
      </c>
      <c r="N2499" s="1">
        <v>18629</v>
      </c>
      <c r="O2499">
        <v>0</v>
      </c>
      <c r="P2499">
        <v>0</v>
      </c>
      <c r="Q2499" t="s">
        <v>37</v>
      </c>
      <c r="R2499" t="s">
        <v>51</v>
      </c>
      <c r="S2499" t="s">
        <v>795</v>
      </c>
      <c r="T2499" t="s">
        <v>796</v>
      </c>
    </row>
    <row r="2500" spans="1:20" x14ac:dyDescent="0.25">
      <c r="A2500" t="s">
        <v>6429</v>
      </c>
      <c r="B2500" t="str">
        <f>"9802"</f>
        <v>9802</v>
      </c>
      <c r="C2500" t="str">
        <f>"287229802"</f>
        <v>287229802</v>
      </c>
      <c r="D2500" t="s">
        <v>1383</v>
      </c>
      <c r="E2500" t="s">
        <v>1976</v>
      </c>
      <c r="F2500" t="s">
        <v>345</v>
      </c>
      <c r="G2500" s="1">
        <v>10019</v>
      </c>
      <c r="H2500" s="1">
        <v>40438</v>
      </c>
      <c r="I2500" t="str">
        <f>"41"</f>
        <v>41</v>
      </c>
      <c r="J2500" t="s">
        <v>24</v>
      </c>
      <c r="K2500" t="s">
        <v>25</v>
      </c>
      <c r="L2500" t="s">
        <v>26</v>
      </c>
      <c r="M2500" t="s">
        <v>27</v>
      </c>
      <c r="N2500" s="1">
        <v>18629</v>
      </c>
      <c r="O2500">
        <v>0</v>
      </c>
      <c r="P2500">
        <v>0</v>
      </c>
      <c r="Q2500" t="s">
        <v>37</v>
      </c>
      <c r="R2500" t="s">
        <v>71</v>
      </c>
      <c r="S2500" s="2" t="s">
        <v>362</v>
      </c>
      <c r="T2500" t="s">
        <v>363</v>
      </c>
    </row>
    <row r="2501" spans="1:20" x14ac:dyDescent="0.25">
      <c r="A2501" t="s">
        <v>6430</v>
      </c>
      <c r="B2501" t="str">
        <f>"6874"</f>
        <v>6874</v>
      </c>
      <c r="C2501" t="str">
        <f>"278446874"</f>
        <v>278446874</v>
      </c>
      <c r="D2501" t="s">
        <v>6431</v>
      </c>
      <c r="E2501" t="s">
        <v>263</v>
      </c>
      <c r="G2501" s="1">
        <v>17765</v>
      </c>
      <c r="H2501" s="1">
        <v>40438</v>
      </c>
      <c r="I2501" t="str">
        <f t="shared" ref="I2501:I2538" si="49">"52"</f>
        <v>52</v>
      </c>
      <c r="J2501" t="s">
        <v>330</v>
      </c>
      <c r="K2501" t="s">
        <v>25</v>
      </c>
      <c r="L2501" t="s">
        <v>26</v>
      </c>
      <c r="M2501" t="s">
        <v>27</v>
      </c>
      <c r="N2501" s="1">
        <v>18629</v>
      </c>
      <c r="O2501">
        <v>0</v>
      </c>
      <c r="P2501">
        <v>0</v>
      </c>
      <c r="Q2501" t="s">
        <v>28</v>
      </c>
      <c r="R2501" t="s">
        <v>346</v>
      </c>
      <c r="S2501" s="2" t="s">
        <v>362</v>
      </c>
      <c r="T2501" t="s">
        <v>363</v>
      </c>
    </row>
    <row r="2502" spans="1:20" x14ac:dyDescent="0.25">
      <c r="A2502" t="s">
        <v>6432</v>
      </c>
      <c r="B2502" t="str">
        <f>"7480"</f>
        <v>7480</v>
      </c>
      <c r="C2502" t="str">
        <f>"294287480"</f>
        <v>294287480</v>
      </c>
      <c r="D2502" t="s">
        <v>6433</v>
      </c>
      <c r="E2502" t="s">
        <v>4553</v>
      </c>
      <c r="F2502" t="s">
        <v>28</v>
      </c>
      <c r="G2502" s="1">
        <v>12245</v>
      </c>
      <c r="H2502" s="1">
        <v>40438</v>
      </c>
      <c r="I2502" t="str">
        <f t="shared" si="49"/>
        <v>52</v>
      </c>
      <c r="J2502" t="s">
        <v>330</v>
      </c>
      <c r="K2502" t="s">
        <v>25</v>
      </c>
      <c r="L2502" t="s">
        <v>26</v>
      </c>
      <c r="M2502" t="s">
        <v>27</v>
      </c>
      <c r="N2502" s="1">
        <v>18629</v>
      </c>
      <c r="O2502">
        <v>0</v>
      </c>
      <c r="P2502">
        <v>0</v>
      </c>
      <c r="Q2502" t="s">
        <v>28</v>
      </c>
      <c r="R2502" t="s">
        <v>51</v>
      </c>
      <c r="S2502" s="2" t="s">
        <v>362</v>
      </c>
      <c r="T2502" t="s">
        <v>363</v>
      </c>
    </row>
    <row r="2503" spans="1:20" x14ac:dyDescent="0.25">
      <c r="A2503" t="s">
        <v>6434</v>
      </c>
      <c r="B2503" t="str">
        <f>"8800"</f>
        <v>8800</v>
      </c>
      <c r="C2503" t="str">
        <f>"273468800"</f>
        <v>273468800</v>
      </c>
      <c r="D2503" t="s">
        <v>6392</v>
      </c>
      <c r="E2503" t="s">
        <v>5135</v>
      </c>
      <c r="G2503" s="1">
        <v>21853</v>
      </c>
      <c r="H2503" s="1">
        <v>40438</v>
      </c>
      <c r="I2503" t="str">
        <f t="shared" si="49"/>
        <v>52</v>
      </c>
      <c r="J2503" t="s">
        <v>330</v>
      </c>
      <c r="K2503" t="s">
        <v>25</v>
      </c>
      <c r="L2503" t="s">
        <v>26</v>
      </c>
      <c r="M2503" t="s">
        <v>27</v>
      </c>
      <c r="N2503" s="1">
        <v>18629</v>
      </c>
      <c r="O2503">
        <v>0</v>
      </c>
      <c r="P2503">
        <v>0</v>
      </c>
      <c r="Q2503" t="s">
        <v>28</v>
      </c>
      <c r="R2503" t="s">
        <v>51</v>
      </c>
      <c r="S2503" s="2" t="s">
        <v>362</v>
      </c>
      <c r="T2503" t="s">
        <v>363</v>
      </c>
    </row>
    <row r="2504" spans="1:20" x14ac:dyDescent="0.25">
      <c r="A2504" t="s">
        <v>6435</v>
      </c>
      <c r="B2504" t="str">
        <f>"8215"</f>
        <v>8215</v>
      </c>
      <c r="C2504" t="str">
        <f>"174448215"</f>
        <v>174448215</v>
      </c>
      <c r="D2504" t="s">
        <v>6436</v>
      </c>
      <c r="E2504" t="s">
        <v>1589</v>
      </c>
      <c r="F2504" t="s">
        <v>6413</v>
      </c>
      <c r="G2504" s="1">
        <v>19725</v>
      </c>
      <c r="H2504" s="1">
        <v>40438</v>
      </c>
      <c r="I2504" t="str">
        <f t="shared" si="49"/>
        <v>52</v>
      </c>
      <c r="J2504" t="s">
        <v>330</v>
      </c>
      <c r="K2504" t="s">
        <v>25</v>
      </c>
      <c r="L2504" t="s">
        <v>26</v>
      </c>
      <c r="M2504" t="s">
        <v>27</v>
      </c>
      <c r="N2504" s="1">
        <v>18629</v>
      </c>
      <c r="O2504">
        <v>0</v>
      </c>
      <c r="P2504">
        <v>0</v>
      </c>
      <c r="Q2504" t="s">
        <v>37</v>
      </c>
      <c r="R2504" t="s">
        <v>51</v>
      </c>
      <c r="S2504" s="2" t="s">
        <v>362</v>
      </c>
      <c r="T2504" t="s">
        <v>363</v>
      </c>
    </row>
    <row r="2505" spans="1:20" x14ac:dyDescent="0.25">
      <c r="A2505" t="s">
        <v>6437</v>
      </c>
      <c r="B2505" t="str">
        <f>"2447"</f>
        <v>2447</v>
      </c>
      <c r="C2505" t="str">
        <f>"272422447"</f>
        <v>272422447</v>
      </c>
      <c r="D2505" t="s">
        <v>6438</v>
      </c>
      <c r="E2505" t="s">
        <v>1081</v>
      </c>
      <c r="F2505" t="s">
        <v>97</v>
      </c>
      <c r="G2505" s="1">
        <v>17305</v>
      </c>
      <c r="H2505" s="1">
        <v>40438</v>
      </c>
      <c r="I2505" t="str">
        <f t="shared" si="49"/>
        <v>52</v>
      </c>
      <c r="J2505" t="s">
        <v>330</v>
      </c>
      <c r="K2505" t="s">
        <v>25</v>
      </c>
      <c r="L2505" t="s">
        <v>26</v>
      </c>
      <c r="M2505" t="s">
        <v>27</v>
      </c>
      <c r="N2505" s="1">
        <v>18629</v>
      </c>
      <c r="O2505">
        <v>0</v>
      </c>
      <c r="P2505">
        <v>0</v>
      </c>
      <c r="Q2505" t="s">
        <v>28</v>
      </c>
      <c r="R2505" t="s">
        <v>71</v>
      </c>
      <c r="S2505" s="2" t="s">
        <v>362</v>
      </c>
      <c r="T2505" t="s">
        <v>363</v>
      </c>
    </row>
    <row r="2506" spans="1:20" x14ac:dyDescent="0.25">
      <c r="A2506" t="s">
        <v>6439</v>
      </c>
      <c r="B2506" t="str">
        <f>"8712"</f>
        <v>8712</v>
      </c>
      <c r="C2506" t="str">
        <f>"290468712"</f>
        <v>290468712</v>
      </c>
      <c r="D2506" t="s">
        <v>6438</v>
      </c>
      <c r="E2506" t="s">
        <v>1353</v>
      </c>
      <c r="G2506" s="1">
        <v>17259</v>
      </c>
      <c r="H2506" s="1">
        <v>40438</v>
      </c>
      <c r="I2506" t="str">
        <f t="shared" si="49"/>
        <v>52</v>
      </c>
      <c r="J2506" t="s">
        <v>330</v>
      </c>
      <c r="K2506" t="s">
        <v>25</v>
      </c>
      <c r="L2506" t="s">
        <v>26</v>
      </c>
      <c r="M2506" t="s">
        <v>27</v>
      </c>
      <c r="N2506" s="1">
        <v>18629</v>
      </c>
      <c r="O2506">
        <v>0</v>
      </c>
      <c r="P2506">
        <v>0</v>
      </c>
      <c r="Q2506" t="s">
        <v>37</v>
      </c>
      <c r="R2506" t="s">
        <v>258</v>
      </c>
      <c r="S2506" s="2" t="s">
        <v>362</v>
      </c>
      <c r="T2506" t="s">
        <v>363</v>
      </c>
    </row>
    <row r="2507" spans="1:20" x14ac:dyDescent="0.25">
      <c r="A2507" t="s">
        <v>6440</v>
      </c>
      <c r="B2507" t="str">
        <f>"5754"</f>
        <v>5754</v>
      </c>
      <c r="C2507" t="str">
        <f>"201305754"</f>
        <v>201305754</v>
      </c>
      <c r="D2507" t="s">
        <v>6441</v>
      </c>
      <c r="E2507" t="s">
        <v>35</v>
      </c>
      <c r="F2507" t="s">
        <v>5245</v>
      </c>
      <c r="G2507" s="1">
        <v>13618</v>
      </c>
      <c r="H2507" s="1">
        <v>40438</v>
      </c>
      <c r="I2507" t="str">
        <f t="shared" si="49"/>
        <v>52</v>
      </c>
      <c r="J2507" t="s">
        <v>330</v>
      </c>
      <c r="K2507" t="s">
        <v>25</v>
      </c>
      <c r="L2507" t="s">
        <v>26</v>
      </c>
      <c r="M2507" t="s">
        <v>27</v>
      </c>
      <c r="N2507" s="1">
        <v>18629</v>
      </c>
      <c r="O2507">
        <v>0</v>
      </c>
      <c r="P2507">
        <v>0</v>
      </c>
      <c r="Q2507" t="s">
        <v>28</v>
      </c>
      <c r="R2507" t="s">
        <v>71</v>
      </c>
      <c r="S2507" s="2" t="s">
        <v>362</v>
      </c>
      <c r="T2507" t="s">
        <v>363</v>
      </c>
    </row>
    <row r="2508" spans="1:20" x14ac:dyDescent="0.25">
      <c r="A2508" t="s">
        <v>6442</v>
      </c>
      <c r="B2508" t="str">
        <f>"6711"</f>
        <v>6711</v>
      </c>
      <c r="C2508" t="str">
        <f>"373426711"</f>
        <v>373426711</v>
      </c>
      <c r="D2508" t="s">
        <v>6443</v>
      </c>
      <c r="E2508" t="s">
        <v>941</v>
      </c>
      <c r="F2508" t="s">
        <v>6444</v>
      </c>
      <c r="G2508" s="1">
        <v>15617</v>
      </c>
      <c r="H2508" s="1">
        <v>40438</v>
      </c>
      <c r="I2508" t="str">
        <f t="shared" si="49"/>
        <v>52</v>
      </c>
      <c r="J2508" t="s">
        <v>330</v>
      </c>
      <c r="K2508" t="s">
        <v>25</v>
      </c>
      <c r="L2508" t="s">
        <v>26</v>
      </c>
      <c r="M2508" t="s">
        <v>27</v>
      </c>
      <c r="N2508" s="1">
        <v>18629</v>
      </c>
      <c r="O2508">
        <v>0</v>
      </c>
      <c r="P2508">
        <v>0</v>
      </c>
      <c r="Q2508" t="s">
        <v>28</v>
      </c>
      <c r="R2508" t="s">
        <v>51</v>
      </c>
      <c r="S2508" s="2" t="s">
        <v>362</v>
      </c>
      <c r="T2508" t="s">
        <v>363</v>
      </c>
    </row>
    <row r="2509" spans="1:20" x14ac:dyDescent="0.25">
      <c r="A2509" t="s">
        <v>6445</v>
      </c>
      <c r="B2509" t="str">
        <f>"3328"</f>
        <v>3328</v>
      </c>
      <c r="C2509" t="str">
        <f>"297523328"</f>
        <v>297523328</v>
      </c>
      <c r="D2509" t="s">
        <v>6446</v>
      </c>
      <c r="E2509" t="s">
        <v>6447</v>
      </c>
      <c r="G2509" s="1">
        <v>19000</v>
      </c>
      <c r="H2509" s="1">
        <v>40438</v>
      </c>
      <c r="I2509" t="str">
        <f t="shared" si="49"/>
        <v>52</v>
      </c>
      <c r="J2509" t="s">
        <v>330</v>
      </c>
      <c r="K2509" t="s">
        <v>25</v>
      </c>
      <c r="L2509" t="s">
        <v>26</v>
      </c>
      <c r="M2509" t="s">
        <v>27</v>
      </c>
      <c r="N2509" s="1">
        <v>18629</v>
      </c>
      <c r="O2509">
        <v>0</v>
      </c>
      <c r="P2509">
        <v>0</v>
      </c>
      <c r="Q2509" t="s">
        <v>37</v>
      </c>
      <c r="R2509" t="s">
        <v>51</v>
      </c>
      <c r="S2509" s="2" t="s">
        <v>362</v>
      </c>
      <c r="T2509" t="s">
        <v>363</v>
      </c>
    </row>
    <row r="2510" spans="1:20" x14ac:dyDescent="0.25">
      <c r="A2510" t="s">
        <v>6448</v>
      </c>
      <c r="B2510" t="str">
        <f>"5662"</f>
        <v>5662</v>
      </c>
      <c r="C2510" t="str">
        <f>"096325662"</f>
        <v>096325662</v>
      </c>
      <c r="D2510" t="s">
        <v>6449</v>
      </c>
      <c r="E2510" t="s">
        <v>6450</v>
      </c>
      <c r="F2510" t="s">
        <v>345</v>
      </c>
      <c r="G2510" s="1">
        <v>15124</v>
      </c>
      <c r="H2510" s="1">
        <v>40438</v>
      </c>
      <c r="I2510" t="str">
        <f t="shared" si="49"/>
        <v>52</v>
      </c>
      <c r="J2510" t="s">
        <v>330</v>
      </c>
      <c r="K2510" t="s">
        <v>25</v>
      </c>
      <c r="L2510" t="s">
        <v>26</v>
      </c>
      <c r="M2510" t="s">
        <v>27</v>
      </c>
      <c r="N2510" s="1">
        <v>18629</v>
      </c>
      <c r="O2510">
        <v>0</v>
      </c>
      <c r="P2510">
        <v>0</v>
      </c>
      <c r="Q2510" t="s">
        <v>28</v>
      </c>
      <c r="R2510" t="s">
        <v>51</v>
      </c>
      <c r="S2510" s="2" t="s">
        <v>362</v>
      </c>
      <c r="T2510" t="s">
        <v>363</v>
      </c>
    </row>
    <row r="2511" spans="1:20" x14ac:dyDescent="0.25">
      <c r="A2511" t="s">
        <v>6451</v>
      </c>
      <c r="B2511" t="str">
        <f>"9706"</f>
        <v>9706</v>
      </c>
      <c r="C2511" t="str">
        <f>"291629706"</f>
        <v>291629706</v>
      </c>
      <c r="D2511" t="s">
        <v>6387</v>
      </c>
      <c r="E2511" t="s">
        <v>1134</v>
      </c>
      <c r="G2511" s="1">
        <v>22949</v>
      </c>
      <c r="H2511" s="1">
        <v>40438</v>
      </c>
      <c r="I2511" t="str">
        <f t="shared" si="49"/>
        <v>52</v>
      </c>
      <c r="J2511" t="s">
        <v>330</v>
      </c>
      <c r="K2511" t="s">
        <v>25</v>
      </c>
      <c r="L2511" t="s">
        <v>26</v>
      </c>
      <c r="M2511" t="s">
        <v>27</v>
      </c>
      <c r="N2511" s="1">
        <v>18629</v>
      </c>
      <c r="O2511">
        <v>0</v>
      </c>
      <c r="P2511">
        <v>0</v>
      </c>
      <c r="Q2511" t="s">
        <v>37</v>
      </c>
      <c r="R2511" t="s">
        <v>51</v>
      </c>
      <c r="S2511" s="2" t="s">
        <v>362</v>
      </c>
      <c r="T2511" t="s">
        <v>363</v>
      </c>
    </row>
    <row r="2512" spans="1:20" x14ac:dyDescent="0.25">
      <c r="A2512" t="s">
        <v>6452</v>
      </c>
      <c r="B2512" t="str">
        <f>"7123"</f>
        <v>7123</v>
      </c>
      <c r="C2512" t="str">
        <f>"274687123"</f>
        <v>274687123</v>
      </c>
      <c r="D2512" t="s">
        <v>751</v>
      </c>
      <c r="E2512" t="s">
        <v>3857</v>
      </c>
      <c r="G2512" s="1">
        <v>23249</v>
      </c>
      <c r="H2512" s="1">
        <v>40438</v>
      </c>
      <c r="I2512" t="str">
        <f t="shared" si="49"/>
        <v>52</v>
      </c>
      <c r="J2512" t="s">
        <v>330</v>
      </c>
      <c r="K2512" t="s">
        <v>25</v>
      </c>
      <c r="L2512" t="s">
        <v>26</v>
      </c>
      <c r="M2512" t="s">
        <v>27</v>
      </c>
      <c r="N2512" s="1">
        <v>18629</v>
      </c>
      <c r="O2512">
        <v>0</v>
      </c>
      <c r="P2512">
        <v>0</v>
      </c>
      <c r="Q2512" t="s">
        <v>37</v>
      </c>
      <c r="R2512" t="s">
        <v>258</v>
      </c>
      <c r="S2512" s="2" t="s">
        <v>362</v>
      </c>
      <c r="T2512" t="s">
        <v>363</v>
      </c>
    </row>
    <row r="2513" spans="1:20" x14ac:dyDescent="0.25">
      <c r="A2513" t="s">
        <v>6453</v>
      </c>
      <c r="B2513" t="str">
        <f>"9031"</f>
        <v>9031</v>
      </c>
      <c r="C2513" t="str">
        <f>"277469031"</f>
        <v>277469031</v>
      </c>
      <c r="D2513" t="s">
        <v>6454</v>
      </c>
      <c r="E2513" t="s">
        <v>3561</v>
      </c>
      <c r="F2513" t="s">
        <v>93</v>
      </c>
      <c r="G2513" s="1">
        <v>17500</v>
      </c>
      <c r="H2513" s="1">
        <v>40438</v>
      </c>
      <c r="I2513" t="str">
        <f t="shared" si="49"/>
        <v>52</v>
      </c>
      <c r="J2513" t="s">
        <v>330</v>
      </c>
      <c r="K2513" t="s">
        <v>25</v>
      </c>
      <c r="L2513" t="s">
        <v>26</v>
      </c>
      <c r="M2513" t="s">
        <v>27</v>
      </c>
      <c r="N2513" s="1">
        <v>18629</v>
      </c>
      <c r="O2513">
        <v>0</v>
      </c>
      <c r="P2513">
        <v>0</v>
      </c>
      <c r="Q2513" t="s">
        <v>37</v>
      </c>
      <c r="R2513" t="s">
        <v>51</v>
      </c>
      <c r="S2513" s="2" t="s">
        <v>362</v>
      </c>
      <c r="T2513" t="s">
        <v>363</v>
      </c>
    </row>
    <row r="2514" spans="1:20" x14ac:dyDescent="0.25">
      <c r="A2514" t="s">
        <v>6455</v>
      </c>
      <c r="B2514" t="str">
        <f>"0888"</f>
        <v>0888</v>
      </c>
      <c r="C2514" t="str">
        <f>"277500888"</f>
        <v>277500888</v>
      </c>
      <c r="D2514" t="s">
        <v>1156</v>
      </c>
      <c r="E2514" t="s">
        <v>6456</v>
      </c>
      <c r="F2514" t="s">
        <v>6457</v>
      </c>
      <c r="G2514" s="1">
        <v>18819</v>
      </c>
      <c r="H2514" s="1">
        <v>40438</v>
      </c>
      <c r="I2514" t="str">
        <f t="shared" si="49"/>
        <v>52</v>
      </c>
      <c r="J2514" t="s">
        <v>330</v>
      </c>
      <c r="K2514" t="s">
        <v>25</v>
      </c>
      <c r="L2514" t="s">
        <v>26</v>
      </c>
      <c r="M2514" t="s">
        <v>27</v>
      </c>
      <c r="N2514" s="1">
        <v>18629</v>
      </c>
      <c r="O2514">
        <v>0</v>
      </c>
      <c r="P2514">
        <v>0</v>
      </c>
      <c r="Q2514" t="s">
        <v>37</v>
      </c>
      <c r="R2514" t="s">
        <v>51</v>
      </c>
      <c r="S2514" s="2" t="s">
        <v>362</v>
      </c>
      <c r="T2514" t="s">
        <v>363</v>
      </c>
    </row>
    <row r="2515" spans="1:20" x14ac:dyDescent="0.25">
      <c r="A2515" t="s">
        <v>6458</v>
      </c>
      <c r="B2515" t="str">
        <f>"2621"</f>
        <v>2621</v>
      </c>
      <c r="C2515" t="str">
        <f>"566802621"</f>
        <v>566802621</v>
      </c>
      <c r="D2515" t="s">
        <v>6459</v>
      </c>
      <c r="E2515" t="s">
        <v>4566</v>
      </c>
      <c r="F2515" t="s">
        <v>69</v>
      </c>
      <c r="G2515" s="1">
        <v>15252</v>
      </c>
      <c r="H2515" s="1">
        <v>40438</v>
      </c>
      <c r="I2515" t="str">
        <f t="shared" si="49"/>
        <v>52</v>
      </c>
      <c r="J2515" t="s">
        <v>330</v>
      </c>
      <c r="K2515" t="s">
        <v>25</v>
      </c>
      <c r="L2515" t="s">
        <v>26</v>
      </c>
      <c r="M2515" t="s">
        <v>27</v>
      </c>
      <c r="N2515" s="1">
        <v>18629</v>
      </c>
      <c r="O2515">
        <v>0</v>
      </c>
      <c r="P2515">
        <v>0</v>
      </c>
      <c r="Q2515" t="s">
        <v>37</v>
      </c>
      <c r="R2515" t="s">
        <v>51</v>
      </c>
      <c r="S2515" s="2" t="s">
        <v>362</v>
      </c>
      <c r="T2515" t="s">
        <v>363</v>
      </c>
    </row>
    <row r="2516" spans="1:20" x14ac:dyDescent="0.25">
      <c r="A2516" t="s">
        <v>6460</v>
      </c>
      <c r="B2516" t="str">
        <f>"3980"</f>
        <v>3980</v>
      </c>
      <c r="C2516" t="str">
        <f>"289343980"</f>
        <v>289343980</v>
      </c>
      <c r="D2516" t="s">
        <v>6461</v>
      </c>
      <c r="E2516" t="s">
        <v>6462</v>
      </c>
      <c r="G2516" s="1">
        <v>14227</v>
      </c>
      <c r="H2516" s="1">
        <v>40438</v>
      </c>
      <c r="I2516" t="str">
        <f t="shared" si="49"/>
        <v>52</v>
      </c>
      <c r="J2516" t="s">
        <v>330</v>
      </c>
      <c r="K2516" t="s">
        <v>25</v>
      </c>
      <c r="L2516" t="s">
        <v>26</v>
      </c>
      <c r="M2516" t="s">
        <v>27</v>
      </c>
      <c r="N2516" s="1">
        <v>18629</v>
      </c>
      <c r="O2516">
        <v>0</v>
      </c>
      <c r="P2516">
        <v>0</v>
      </c>
      <c r="Q2516" t="s">
        <v>28</v>
      </c>
      <c r="R2516" t="s">
        <v>51</v>
      </c>
      <c r="S2516" s="2" t="s">
        <v>362</v>
      </c>
      <c r="T2516" t="s">
        <v>363</v>
      </c>
    </row>
    <row r="2517" spans="1:20" x14ac:dyDescent="0.25">
      <c r="A2517" t="s">
        <v>6463</v>
      </c>
      <c r="B2517" t="str">
        <f>"1875"</f>
        <v>1875</v>
      </c>
      <c r="C2517" t="str">
        <f>"275341875"</f>
        <v>275341875</v>
      </c>
      <c r="D2517" t="s">
        <v>6464</v>
      </c>
      <c r="E2517" t="s">
        <v>756</v>
      </c>
      <c r="G2517" s="1">
        <v>14408</v>
      </c>
      <c r="H2517" s="1">
        <v>40438</v>
      </c>
      <c r="I2517" t="str">
        <f t="shared" si="49"/>
        <v>52</v>
      </c>
      <c r="J2517" t="s">
        <v>330</v>
      </c>
      <c r="K2517" t="s">
        <v>25</v>
      </c>
      <c r="L2517" t="s">
        <v>26</v>
      </c>
      <c r="M2517" t="s">
        <v>27</v>
      </c>
      <c r="N2517" s="1">
        <v>18629</v>
      </c>
      <c r="O2517">
        <v>0</v>
      </c>
      <c r="P2517">
        <v>0</v>
      </c>
      <c r="Q2517" t="s">
        <v>37</v>
      </c>
      <c r="R2517" t="s">
        <v>258</v>
      </c>
      <c r="S2517" s="2" t="s">
        <v>362</v>
      </c>
      <c r="T2517" t="s">
        <v>363</v>
      </c>
    </row>
    <row r="2518" spans="1:20" x14ac:dyDescent="0.25">
      <c r="A2518" t="s">
        <v>6465</v>
      </c>
      <c r="B2518" t="str">
        <f>"2583"</f>
        <v>2583</v>
      </c>
      <c r="C2518" t="str">
        <f>"289322583"</f>
        <v>289322583</v>
      </c>
      <c r="D2518" t="s">
        <v>1535</v>
      </c>
      <c r="E2518" t="s">
        <v>1399</v>
      </c>
      <c r="F2518" t="s">
        <v>165</v>
      </c>
      <c r="G2518" s="1">
        <v>13433</v>
      </c>
      <c r="H2518" s="1">
        <v>40438</v>
      </c>
      <c r="I2518" t="str">
        <f t="shared" si="49"/>
        <v>52</v>
      </c>
      <c r="J2518" t="s">
        <v>330</v>
      </c>
      <c r="K2518" t="s">
        <v>25</v>
      </c>
      <c r="L2518" t="s">
        <v>26</v>
      </c>
      <c r="M2518" t="s">
        <v>27</v>
      </c>
      <c r="N2518" s="1">
        <v>18629</v>
      </c>
      <c r="O2518">
        <v>0</v>
      </c>
      <c r="P2518">
        <v>0</v>
      </c>
      <c r="Q2518" t="s">
        <v>28</v>
      </c>
      <c r="R2518" t="s">
        <v>51</v>
      </c>
      <c r="S2518" s="2" t="s">
        <v>362</v>
      </c>
      <c r="T2518" t="s">
        <v>363</v>
      </c>
    </row>
    <row r="2519" spans="1:20" x14ac:dyDescent="0.25">
      <c r="A2519" t="s">
        <v>6466</v>
      </c>
      <c r="B2519" t="str">
        <f>"5308"</f>
        <v>5308</v>
      </c>
      <c r="C2519" t="str">
        <f>"298525308"</f>
        <v>298525308</v>
      </c>
      <c r="D2519" t="s">
        <v>6467</v>
      </c>
      <c r="E2519" t="s">
        <v>6468</v>
      </c>
      <c r="F2519" t="s">
        <v>28</v>
      </c>
      <c r="G2519" s="1">
        <v>19215</v>
      </c>
      <c r="H2519" s="1">
        <v>40438</v>
      </c>
      <c r="I2519" t="str">
        <f t="shared" si="49"/>
        <v>52</v>
      </c>
      <c r="J2519" t="s">
        <v>330</v>
      </c>
      <c r="K2519" t="s">
        <v>25</v>
      </c>
      <c r="L2519" t="s">
        <v>26</v>
      </c>
      <c r="M2519" t="s">
        <v>27</v>
      </c>
      <c r="N2519" s="1">
        <v>18629</v>
      </c>
      <c r="O2519">
        <v>0</v>
      </c>
      <c r="P2519">
        <v>0</v>
      </c>
      <c r="Q2519" t="s">
        <v>37</v>
      </c>
      <c r="R2519" t="s">
        <v>71</v>
      </c>
      <c r="S2519" s="2" t="s">
        <v>362</v>
      </c>
      <c r="T2519" t="s">
        <v>363</v>
      </c>
    </row>
    <row r="2520" spans="1:20" x14ac:dyDescent="0.25">
      <c r="A2520" t="s">
        <v>6469</v>
      </c>
      <c r="B2520" t="str">
        <f>"7507"</f>
        <v>7507</v>
      </c>
      <c r="C2520" t="str">
        <f>"300427507"</f>
        <v>300427507</v>
      </c>
      <c r="D2520" t="s">
        <v>6470</v>
      </c>
      <c r="E2520" t="s">
        <v>1896</v>
      </c>
      <c r="G2520" s="1">
        <v>16112</v>
      </c>
      <c r="H2520" s="1">
        <v>40438</v>
      </c>
      <c r="I2520" t="str">
        <f t="shared" si="49"/>
        <v>52</v>
      </c>
      <c r="J2520" t="s">
        <v>330</v>
      </c>
      <c r="K2520" t="s">
        <v>25</v>
      </c>
      <c r="L2520" t="s">
        <v>26</v>
      </c>
      <c r="M2520" t="s">
        <v>27</v>
      </c>
      <c r="N2520" s="1">
        <v>18629</v>
      </c>
      <c r="O2520">
        <v>0</v>
      </c>
      <c r="P2520">
        <v>0</v>
      </c>
      <c r="Q2520" t="s">
        <v>37</v>
      </c>
      <c r="R2520" t="s">
        <v>258</v>
      </c>
      <c r="S2520" s="2" t="s">
        <v>362</v>
      </c>
      <c r="T2520" t="s">
        <v>363</v>
      </c>
    </row>
    <row r="2521" spans="1:20" x14ac:dyDescent="0.25">
      <c r="A2521" t="s">
        <v>6471</v>
      </c>
      <c r="B2521" t="str">
        <f>"2004"</f>
        <v>2004</v>
      </c>
      <c r="C2521" t="str">
        <f>"286322004"</f>
        <v>286322004</v>
      </c>
      <c r="D2521" t="s">
        <v>6472</v>
      </c>
      <c r="E2521" t="s">
        <v>430</v>
      </c>
      <c r="F2521" t="s">
        <v>97</v>
      </c>
      <c r="G2521" s="1">
        <v>13005</v>
      </c>
      <c r="H2521" s="1">
        <v>40438</v>
      </c>
      <c r="I2521" t="str">
        <f t="shared" si="49"/>
        <v>52</v>
      </c>
      <c r="J2521" t="s">
        <v>330</v>
      </c>
      <c r="K2521" t="s">
        <v>25</v>
      </c>
      <c r="L2521" t="s">
        <v>26</v>
      </c>
      <c r="M2521" t="s">
        <v>27</v>
      </c>
      <c r="N2521" s="1">
        <v>18629</v>
      </c>
      <c r="O2521">
        <v>0</v>
      </c>
      <c r="P2521">
        <v>0</v>
      </c>
      <c r="Q2521" t="s">
        <v>28</v>
      </c>
      <c r="R2521" t="s">
        <v>71</v>
      </c>
      <c r="S2521" s="2" t="s">
        <v>362</v>
      </c>
      <c r="T2521" t="s">
        <v>363</v>
      </c>
    </row>
    <row r="2522" spans="1:20" x14ac:dyDescent="0.25">
      <c r="A2522" t="s">
        <v>6473</v>
      </c>
      <c r="B2522" t="str">
        <f>"7763"</f>
        <v>7763</v>
      </c>
      <c r="C2522" t="str">
        <f>"286547763"</f>
        <v>286547763</v>
      </c>
      <c r="D2522" t="s">
        <v>6474</v>
      </c>
      <c r="E2522" t="s">
        <v>1808</v>
      </c>
      <c r="F2522" t="s">
        <v>44</v>
      </c>
      <c r="G2522" s="1">
        <v>24309</v>
      </c>
      <c r="H2522" s="1">
        <v>40438</v>
      </c>
      <c r="I2522" t="str">
        <f t="shared" si="49"/>
        <v>52</v>
      </c>
      <c r="J2522" t="s">
        <v>330</v>
      </c>
      <c r="K2522" t="s">
        <v>25</v>
      </c>
      <c r="L2522" t="s">
        <v>26</v>
      </c>
      <c r="M2522" t="s">
        <v>27</v>
      </c>
      <c r="N2522" s="1">
        <v>18629</v>
      </c>
      <c r="O2522">
        <v>0</v>
      </c>
      <c r="P2522">
        <v>0</v>
      </c>
      <c r="Q2522" t="s">
        <v>37</v>
      </c>
      <c r="R2522" t="s">
        <v>51</v>
      </c>
      <c r="S2522" s="2" t="s">
        <v>362</v>
      </c>
      <c r="T2522" t="s">
        <v>363</v>
      </c>
    </row>
    <row r="2523" spans="1:20" x14ac:dyDescent="0.25">
      <c r="A2523" t="s">
        <v>6475</v>
      </c>
      <c r="B2523" t="str">
        <f>"2777"</f>
        <v>2777</v>
      </c>
      <c r="C2523" t="str">
        <f>"282542777"</f>
        <v>282542777</v>
      </c>
      <c r="D2523" t="s">
        <v>6476</v>
      </c>
      <c r="E2523" t="s">
        <v>122</v>
      </c>
      <c r="F2523" t="s">
        <v>97</v>
      </c>
      <c r="G2523" s="1">
        <v>19411</v>
      </c>
      <c r="H2523" s="1">
        <v>40438</v>
      </c>
      <c r="I2523" t="str">
        <f t="shared" si="49"/>
        <v>52</v>
      </c>
      <c r="J2523" t="s">
        <v>330</v>
      </c>
      <c r="K2523" t="s">
        <v>25</v>
      </c>
      <c r="L2523" t="s">
        <v>26</v>
      </c>
      <c r="M2523" t="s">
        <v>27</v>
      </c>
      <c r="N2523" s="1">
        <v>18629</v>
      </c>
      <c r="O2523">
        <v>0</v>
      </c>
      <c r="P2523">
        <v>0</v>
      </c>
      <c r="Q2523" t="s">
        <v>28</v>
      </c>
      <c r="R2523" t="s">
        <v>51</v>
      </c>
      <c r="S2523" s="2" t="s">
        <v>362</v>
      </c>
      <c r="T2523" t="s">
        <v>363</v>
      </c>
    </row>
    <row r="2524" spans="1:20" x14ac:dyDescent="0.25">
      <c r="A2524" t="s">
        <v>6477</v>
      </c>
      <c r="B2524" t="str">
        <f>"8514"</f>
        <v>8514</v>
      </c>
      <c r="C2524" t="str">
        <f>"291628514"</f>
        <v>291628514</v>
      </c>
      <c r="D2524" t="s">
        <v>6478</v>
      </c>
      <c r="E2524" t="s">
        <v>583</v>
      </c>
      <c r="F2524" t="s">
        <v>93</v>
      </c>
      <c r="G2524" s="1">
        <v>21208</v>
      </c>
      <c r="H2524" s="1">
        <v>40438</v>
      </c>
      <c r="I2524" t="str">
        <f t="shared" si="49"/>
        <v>52</v>
      </c>
      <c r="J2524" t="s">
        <v>330</v>
      </c>
      <c r="K2524" t="s">
        <v>25</v>
      </c>
      <c r="L2524" t="s">
        <v>26</v>
      </c>
      <c r="M2524" t="s">
        <v>27</v>
      </c>
      <c r="N2524" s="1">
        <v>18629</v>
      </c>
      <c r="O2524">
        <v>0</v>
      </c>
      <c r="P2524">
        <v>0</v>
      </c>
      <c r="Q2524" t="s">
        <v>37</v>
      </c>
      <c r="R2524" t="s">
        <v>71</v>
      </c>
      <c r="S2524" s="2" t="s">
        <v>362</v>
      </c>
      <c r="T2524" t="s">
        <v>363</v>
      </c>
    </row>
    <row r="2525" spans="1:20" x14ac:dyDescent="0.25">
      <c r="A2525" t="s">
        <v>6479</v>
      </c>
      <c r="B2525" t="str">
        <f>"1991"</f>
        <v>1991</v>
      </c>
      <c r="C2525" t="str">
        <f>"191321991"</f>
        <v>191321991</v>
      </c>
      <c r="D2525" t="s">
        <v>6480</v>
      </c>
      <c r="E2525" t="s">
        <v>6481</v>
      </c>
      <c r="F2525" t="s">
        <v>6482</v>
      </c>
      <c r="G2525" s="1">
        <v>13282</v>
      </c>
      <c r="H2525" s="1">
        <v>40438</v>
      </c>
      <c r="I2525" t="str">
        <f t="shared" si="49"/>
        <v>52</v>
      </c>
      <c r="J2525" t="s">
        <v>330</v>
      </c>
      <c r="K2525" t="s">
        <v>25</v>
      </c>
      <c r="L2525" t="s">
        <v>26</v>
      </c>
      <c r="M2525" t="s">
        <v>27</v>
      </c>
      <c r="N2525" s="1">
        <v>18629</v>
      </c>
      <c r="O2525">
        <v>0</v>
      </c>
      <c r="P2525">
        <v>0</v>
      </c>
      <c r="Q2525" t="s">
        <v>37</v>
      </c>
      <c r="R2525" t="s">
        <v>71</v>
      </c>
      <c r="S2525" s="2" t="s">
        <v>362</v>
      </c>
      <c r="T2525" t="s">
        <v>363</v>
      </c>
    </row>
    <row r="2526" spans="1:20" x14ac:dyDescent="0.25">
      <c r="A2526" t="s">
        <v>6483</v>
      </c>
      <c r="B2526" t="str">
        <f>"1489"</f>
        <v>1489</v>
      </c>
      <c r="C2526" t="str">
        <f>"183401489"</f>
        <v>183401489</v>
      </c>
      <c r="D2526" t="s">
        <v>6484</v>
      </c>
      <c r="E2526" t="s">
        <v>3318</v>
      </c>
      <c r="F2526" t="s">
        <v>28</v>
      </c>
      <c r="G2526" s="1">
        <v>16856</v>
      </c>
      <c r="H2526" s="1">
        <v>40438</v>
      </c>
      <c r="I2526" t="str">
        <f t="shared" si="49"/>
        <v>52</v>
      </c>
      <c r="J2526" t="s">
        <v>330</v>
      </c>
      <c r="K2526" t="s">
        <v>25</v>
      </c>
      <c r="L2526" t="s">
        <v>26</v>
      </c>
      <c r="M2526" t="s">
        <v>27</v>
      </c>
      <c r="N2526" s="1">
        <v>18629</v>
      </c>
      <c r="O2526">
        <v>0</v>
      </c>
      <c r="P2526">
        <v>0</v>
      </c>
      <c r="Q2526" t="s">
        <v>37</v>
      </c>
      <c r="R2526" t="s">
        <v>29</v>
      </c>
      <c r="S2526" s="2" t="s">
        <v>362</v>
      </c>
      <c r="T2526" t="s">
        <v>363</v>
      </c>
    </row>
    <row r="2527" spans="1:20" x14ac:dyDescent="0.25">
      <c r="A2527" t="s">
        <v>6485</v>
      </c>
      <c r="B2527" t="str">
        <f>"3199"</f>
        <v>3199</v>
      </c>
      <c r="C2527" t="str">
        <f>"272423199"</f>
        <v>272423199</v>
      </c>
      <c r="D2527" t="s">
        <v>5724</v>
      </c>
      <c r="E2527" t="s">
        <v>49</v>
      </c>
      <c r="F2527" t="s">
        <v>93</v>
      </c>
      <c r="G2527" s="1">
        <v>16631</v>
      </c>
      <c r="H2527" s="1">
        <v>40438</v>
      </c>
      <c r="I2527" t="str">
        <f t="shared" si="49"/>
        <v>52</v>
      </c>
      <c r="J2527" t="s">
        <v>330</v>
      </c>
      <c r="K2527" t="s">
        <v>25</v>
      </c>
      <c r="L2527" t="s">
        <v>26</v>
      </c>
      <c r="M2527" t="s">
        <v>27</v>
      </c>
      <c r="N2527" s="1">
        <v>18629</v>
      </c>
      <c r="O2527">
        <v>0</v>
      </c>
      <c r="P2527">
        <v>0</v>
      </c>
      <c r="Q2527" t="s">
        <v>37</v>
      </c>
      <c r="R2527" t="s">
        <v>51</v>
      </c>
      <c r="S2527" s="2" t="s">
        <v>362</v>
      </c>
      <c r="T2527" t="s">
        <v>363</v>
      </c>
    </row>
    <row r="2528" spans="1:20" x14ac:dyDescent="0.25">
      <c r="A2528" t="s">
        <v>6486</v>
      </c>
      <c r="B2528" t="str">
        <f>"7215"</f>
        <v>7215</v>
      </c>
      <c r="C2528" t="str">
        <f>"283447215"</f>
        <v>283447215</v>
      </c>
      <c r="D2528" t="s">
        <v>6487</v>
      </c>
      <c r="E2528" t="s">
        <v>1478</v>
      </c>
      <c r="G2528" s="1">
        <v>17557</v>
      </c>
      <c r="H2528" s="1">
        <v>40438</v>
      </c>
      <c r="I2528" t="str">
        <f t="shared" si="49"/>
        <v>52</v>
      </c>
      <c r="J2528" t="s">
        <v>330</v>
      </c>
      <c r="K2528" t="s">
        <v>25</v>
      </c>
      <c r="L2528" t="s">
        <v>26</v>
      </c>
      <c r="M2528" t="s">
        <v>27</v>
      </c>
      <c r="N2528" s="1">
        <v>18629</v>
      </c>
      <c r="O2528">
        <v>0</v>
      </c>
      <c r="P2528">
        <v>0</v>
      </c>
      <c r="Q2528" t="s">
        <v>37</v>
      </c>
      <c r="R2528" t="s">
        <v>51</v>
      </c>
      <c r="S2528" s="2" t="s">
        <v>362</v>
      </c>
      <c r="T2528" t="s">
        <v>363</v>
      </c>
    </row>
    <row r="2529" spans="1:20" x14ac:dyDescent="0.25">
      <c r="A2529" t="s">
        <v>6488</v>
      </c>
      <c r="B2529" t="str">
        <f>"1288"</f>
        <v>1288</v>
      </c>
      <c r="C2529" t="str">
        <f>"282301288"</f>
        <v>282301288</v>
      </c>
      <c r="D2529" t="s">
        <v>6489</v>
      </c>
      <c r="E2529" t="s">
        <v>197</v>
      </c>
      <c r="F2529" t="s">
        <v>6457</v>
      </c>
      <c r="G2529" s="1">
        <v>11378</v>
      </c>
      <c r="H2529" s="1">
        <v>40438</v>
      </c>
      <c r="I2529" t="str">
        <f t="shared" si="49"/>
        <v>52</v>
      </c>
      <c r="J2529" t="s">
        <v>330</v>
      </c>
      <c r="K2529" t="s">
        <v>25</v>
      </c>
      <c r="L2529" t="s">
        <v>26</v>
      </c>
      <c r="M2529" t="s">
        <v>27</v>
      </c>
      <c r="N2529" s="1">
        <v>18629</v>
      </c>
      <c r="O2529">
        <v>0</v>
      </c>
      <c r="P2529">
        <v>0</v>
      </c>
      <c r="Q2529" t="s">
        <v>28</v>
      </c>
      <c r="R2529" t="s">
        <v>51</v>
      </c>
      <c r="S2529" s="2" t="s">
        <v>362</v>
      </c>
      <c r="T2529" t="s">
        <v>363</v>
      </c>
    </row>
    <row r="2530" spans="1:20" x14ac:dyDescent="0.25">
      <c r="A2530" t="s">
        <v>6490</v>
      </c>
      <c r="B2530" t="str">
        <f>"0512"</f>
        <v>0512</v>
      </c>
      <c r="C2530" t="str">
        <f>"284380512"</f>
        <v>284380512</v>
      </c>
      <c r="D2530" t="s">
        <v>6491</v>
      </c>
      <c r="E2530" t="s">
        <v>4961</v>
      </c>
      <c r="G2530" s="1">
        <v>15472</v>
      </c>
      <c r="H2530" s="1">
        <v>40438</v>
      </c>
      <c r="I2530" t="str">
        <f t="shared" si="49"/>
        <v>52</v>
      </c>
      <c r="J2530" t="s">
        <v>330</v>
      </c>
      <c r="K2530" t="s">
        <v>25</v>
      </c>
      <c r="L2530" t="s">
        <v>26</v>
      </c>
      <c r="M2530" t="s">
        <v>27</v>
      </c>
      <c r="N2530" s="1">
        <v>18629</v>
      </c>
      <c r="O2530">
        <v>0</v>
      </c>
      <c r="P2530">
        <v>0</v>
      </c>
      <c r="Q2530" t="s">
        <v>37</v>
      </c>
      <c r="R2530" t="s">
        <v>51</v>
      </c>
      <c r="S2530" s="2" t="s">
        <v>362</v>
      </c>
      <c r="T2530" t="s">
        <v>363</v>
      </c>
    </row>
    <row r="2531" spans="1:20" x14ac:dyDescent="0.25">
      <c r="A2531" t="s">
        <v>6492</v>
      </c>
      <c r="B2531" t="str">
        <f>"7262"</f>
        <v>7262</v>
      </c>
      <c r="C2531" t="str">
        <f>"295187262"</f>
        <v>295187262</v>
      </c>
      <c r="D2531" t="s">
        <v>122</v>
      </c>
      <c r="E2531" t="s">
        <v>6493</v>
      </c>
      <c r="F2531" t="s">
        <v>5245</v>
      </c>
      <c r="G2531" s="1">
        <v>7468</v>
      </c>
      <c r="H2531" s="1">
        <v>40438</v>
      </c>
      <c r="I2531" t="str">
        <f t="shared" si="49"/>
        <v>52</v>
      </c>
      <c r="J2531" t="s">
        <v>330</v>
      </c>
      <c r="K2531" t="s">
        <v>25</v>
      </c>
      <c r="L2531" t="s">
        <v>26</v>
      </c>
      <c r="M2531" t="s">
        <v>27</v>
      </c>
      <c r="N2531" s="1">
        <v>18629</v>
      </c>
      <c r="O2531">
        <v>0</v>
      </c>
      <c r="P2531">
        <v>0</v>
      </c>
      <c r="Q2531" t="s">
        <v>28</v>
      </c>
      <c r="R2531" t="s">
        <v>51</v>
      </c>
      <c r="S2531" s="2" t="s">
        <v>362</v>
      </c>
      <c r="T2531" t="s">
        <v>363</v>
      </c>
    </row>
    <row r="2532" spans="1:20" x14ac:dyDescent="0.25">
      <c r="A2532" t="s">
        <v>6494</v>
      </c>
      <c r="B2532" t="str">
        <f>"9916"</f>
        <v>9916</v>
      </c>
      <c r="C2532" t="str">
        <f>"283329916"</f>
        <v>283329916</v>
      </c>
      <c r="D2532" t="s">
        <v>6495</v>
      </c>
      <c r="E2532" t="s">
        <v>1074</v>
      </c>
      <c r="F2532" t="s">
        <v>69</v>
      </c>
      <c r="G2532" s="1">
        <v>14391</v>
      </c>
      <c r="H2532" s="1">
        <v>40438</v>
      </c>
      <c r="I2532" t="str">
        <f t="shared" si="49"/>
        <v>52</v>
      </c>
      <c r="J2532" t="s">
        <v>330</v>
      </c>
      <c r="K2532" t="s">
        <v>25</v>
      </c>
      <c r="L2532" t="s">
        <v>26</v>
      </c>
      <c r="M2532" t="s">
        <v>27</v>
      </c>
      <c r="N2532" s="1">
        <v>18629</v>
      </c>
      <c r="O2532">
        <v>0</v>
      </c>
      <c r="P2532">
        <v>0</v>
      </c>
      <c r="Q2532" t="s">
        <v>37</v>
      </c>
      <c r="R2532" t="s">
        <v>258</v>
      </c>
      <c r="S2532" s="2" t="s">
        <v>362</v>
      </c>
      <c r="T2532" t="s">
        <v>363</v>
      </c>
    </row>
    <row r="2533" spans="1:20" x14ac:dyDescent="0.25">
      <c r="A2533" t="s">
        <v>6496</v>
      </c>
      <c r="B2533" t="str">
        <f>"4030"</f>
        <v>4030</v>
      </c>
      <c r="C2533" t="str">
        <f>"143424030"</f>
        <v>143424030</v>
      </c>
      <c r="D2533" t="s">
        <v>6497</v>
      </c>
      <c r="E2533" t="s">
        <v>275</v>
      </c>
      <c r="G2533" s="1">
        <v>17897</v>
      </c>
      <c r="H2533" s="1">
        <v>40436</v>
      </c>
      <c r="I2533" t="str">
        <f t="shared" si="49"/>
        <v>52</v>
      </c>
      <c r="J2533" t="s">
        <v>330</v>
      </c>
      <c r="K2533" t="s">
        <v>25</v>
      </c>
      <c r="L2533" t="s">
        <v>26</v>
      </c>
      <c r="M2533" t="s">
        <v>27</v>
      </c>
      <c r="N2533" s="1">
        <v>18629</v>
      </c>
      <c r="O2533">
        <v>0</v>
      </c>
      <c r="P2533">
        <v>0</v>
      </c>
      <c r="Q2533" t="s">
        <v>37</v>
      </c>
      <c r="R2533" t="s">
        <v>51</v>
      </c>
      <c r="S2533" s="2" t="s">
        <v>362</v>
      </c>
      <c r="T2533" t="s">
        <v>363</v>
      </c>
    </row>
    <row r="2534" spans="1:20" x14ac:dyDescent="0.25">
      <c r="A2534" t="s">
        <v>6498</v>
      </c>
      <c r="B2534" t="str">
        <f>"9304"</f>
        <v>9304</v>
      </c>
      <c r="C2534" t="str">
        <f>"270369304"</f>
        <v>270369304</v>
      </c>
      <c r="D2534" t="s">
        <v>6499</v>
      </c>
      <c r="E2534" t="s">
        <v>26</v>
      </c>
      <c r="F2534" t="s">
        <v>179</v>
      </c>
      <c r="G2534" s="1">
        <v>15484</v>
      </c>
      <c r="H2534" s="1">
        <v>40436</v>
      </c>
      <c r="I2534" t="str">
        <f t="shared" si="49"/>
        <v>52</v>
      </c>
      <c r="J2534" t="s">
        <v>330</v>
      </c>
      <c r="K2534" t="s">
        <v>25</v>
      </c>
      <c r="L2534" t="s">
        <v>26</v>
      </c>
      <c r="M2534" t="s">
        <v>27</v>
      </c>
      <c r="N2534" s="1">
        <v>18629</v>
      </c>
      <c r="O2534">
        <v>0</v>
      </c>
      <c r="P2534">
        <v>0</v>
      </c>
      <c r="Q2534" t="s">
        <v>28</v>
      </c>
      <c r="R2534" t="s">
        <v>51</v>
      </c>
      <c r="S2534" s="2" t="s">
        <v>362</v>
      </c>
      <c r="T2534" t="s">
        <v>363</v>
      </c>
    </row>
    <row r="2535" spans="1:20" x14ac:dyDescent="0.25">
      <c r="A2535" t="s">
        <v>6500</v>
      </c>
      <c r="B2535" t="str">
        <f>"0090"</f>
        <v>0090</v>
      </c>
      <c r="C2535" t="str">
        <f>"278500090"</f>
        <v>278500090</v>
      </c>
      <c r="D2535" t="s">
        <v>6501</v>
      </c>
      <c r="E2535" t="s">
        <v>304</v>
      </c>
      <c r="F2535" t="s">
        <v>6502</v>
      </c>
      <c r="G2535" s="1">
        <v>21656</v>
      </c>
      <c r="H2535" s="1">
        <v>40436</v>
      </c>
      <c r="I2535" t="str">
        <f t="shared" si="49"/>
        <v>52</v>
      </c>
      <c r="J2535" t="s">
        <v>330</v>
      </c>
      <c r="K2535" t="s">
        <v>25</v>
      </c>
      <c r="L2535" t="s">
        <v>26</v>
      </c>
      <c r="M2535" t="s">
        <v>27</v>
      </c>
      <c r="N2535" s="1">
        <v>18629</v>
      </c>
      <c r="O2535">
        <v>0</v>
      </c>
      <c r="P2535">
        <v>0</v>
      </c>
      <c r="Q2535" t="s">
        <v>28</v>
      </c>
      <c r="R2535" t="s">
        <v>258</v>
      </c>
      <c r="S2535" s="2" t="s">
        <v>362</v>
      </c>
      <c r="T2535" t="s">
        <v>363</v>
      </c>
    </row>
    <row r="2536" spans="1:20" x14ac:dyDescent="0.25">
      <c r="A2536" t="s">
        <v>6503</v>
      </c>
      <c r="B2536" t="str">
        <f>"7162"</f>
        <v>7162</v>
      </c>
      <c r="C2536" t="str">
        <f>"274787162"</f>
        <v>274787162</v>
      </c>
      <c r="D2536" t="s">
        <v>6504</v>
      </c>
      <c r="E2536" t="s">
        <v>1784</v>
      </c>
      <c r="F2536" t="s">
        <v>93</v>
      </c>
      <c r="G2536" s="1">
        <v>24508</v>
      </c>
      <c r="H2536" s="1">
        <v>40436</v>
      </c>
      <c r="I2536" t="str">
        <f t="shared" si="49"/>
        <v>52</v>
      </c>
      <c r="J2536" t="s">
        <v>330</v>
      </c>
      <c r="K2536" t="s">
        <v>25</v>
      </c>
      <c r="L2536" t="s">
        <v>26</v>
      </c>
      <c r="M2536" t="s">
        <v>27</v>
      </c>
      <c r="N2536" s="1">
        <v>18629</v>
      </c>
      <c r="O2536">
        <v>0</v>
      </c>
      <c r="P2536">
        <v>0</v>
      </c>
      <c r="Q2536" t="s">
        <v>37</v>
      </c>
      <c r="R2536" t="s">
        <v>71</v>
      </c>
      <c r="S2536" s="2" t="s">
        <v>362</v>
      </c>
      <c r="T2536" t="s">
        <v>363</v>
      </c>
    </row>
    <row r="2537" spans="1:20" x14ac:dyDescent="0.25">
      <c r="A2537" t="s">
        <v>6505</v>
      </c>
      <c r="B2537" t="str">
        <f>"5332"</f>
        <v>5332</v>
      </c>
      <c r="C2537" t="str">
        <f>"276445332"</f>
        <v>276445332</v>
      </c>
      <c r="D2537" t="s">
        <v>6506</v>
      </c>
      <c r="E2537" t="s">
        <v>2950</v>
      </c>
      <c r="G2537" s="1">
        <v>17426</v>
      </c>
      <c r="H2537" s="1">
        <v>40436</v>
      </c>
      <c r="I2537" t="str">
        <f t="shared" si="49"/>
        <v>52</v>
      </c>
      <c r="J2537" t="s">
        <v>330</v>
      </c>
      <c r="K2537" t="s">
        <v>25</v>
      </c>
      <c r="L2537" t="s">
        <v>26</v>
      </c>
      <c r="M2537" t="s">
        <v>27</v>
      </c>
      <c r="N2537" s="1">
        <v>18629</v>
      </c>
      <c r="O2537">
        <v>0</v>
      </c>
      <c r="P2537">
        <v>0</v>
      </c>
      <c r="Q2537" t="s">
        <v>37</v>
      </c>
      <c r="R2537" t="s">
        <v>51</v>
      </c>
      <c r="S2537" s="2" t="s">
        <v>362</v>
      </c>
      <c r="T2537" t="s">
        <v>363</v>
      </c>
    </row>
    <row r="2538" spans="1:20" x14ac:dyDescent="0.25">
      <c r="A2538" t="s">
        <v>6507</v>
      </c>
      <c r="B2538" t="str">
        <f>"3889"</f>
        <v>3889</v>
      </c>
      <c r="C2538" t="str">
        <f>"272463889"</f>
        <v>272463889</v>
      </c>
      <c r="D2538" t="s">
        <v>1049</v>
      </c>
      <c r="E2538" t="s">
        <v>1726</v>
      </c>
      <c r="F2538" t="s">
        <v>93</v>
      </c>
      <c r="G2538" s="1">
        <v>17515</v>
      </c>
      <c r="H2538" s="1">
        <v>40436</v>
      </c>
      <c r="I2538" t="str">
        <f t="shared" si="49"/>
        <v>52</v>
      </c>
      <c r="J2538" t="s">
        <v>330</v>
      </c>
      <c r="K2538" t="s">
        <v>25</v>
      </c>
      <c r="L2538" t="s">
        <v>26</v>
      </c>
      <c r="M2538" t="s">
        <v>27</v>
      </c>
      <c r="N2538" s="1">
        <v>18629</v>
      </c>
      <c r="O2538">
        <v>0</v>
      </c>
      <c r="P2538">
        <v>0</v>
      </c>
      <c r="Q2538" t="s">
        <v>37</v>
      </c>
      <c r="R2538" t="s">
        <v>51</v>
      </c>
      <c r="S2538" s="2" t="s">
        <v>362</v>
      </c>
      <c r="T2538" t="s">
        <v>363</v>
      </c>
    </row>
    <row r="2539" spans="1:20" x14ac:dyDescent="0.25">
      <c r="A2539" t="s">
        <v>6508</v>
      </c>
      <c r="B2539" t="str">
        <f>"5295"</f>
        <v>5295</v>
      </c>
      <c r="C2539" t="str">
        <f>"299805295"</f>
        <v>299805295</v>
      </c>
      <c r="D2539" t="s">
        <v>6509</v>
      </c>
      <c r="E2539" t="s">
        <v>6510</v>
      </c>
      <c r="G2539" s="1">
        <v>25365</v>
      </c>
      <c r="H2539" s="1">
        <v>40434</v>
      </c>
      <c r="I2539" t="str">
        <f>"30"</f>
        <v>30</v>
      </c>
      <c r="J2539" t="s">
        <v>50</v>
      </c>
      <c r="K2539" t="s">
        <v>25</v>
      </c>
      <c r="L2539" t="s">
        <v>26</v>
      </c>
      <c r="M2539" t="s">
        <v>27</v>
      </c>
      <c r="N2539" s="1">
        <v>18629</v>
      </c>
      <c r="O2539">
        <v>0</v>
      </c>
      <c r="P2539">
        <v>0</v>
      </c>
      <c r="Q2539" t="s">
        <v>28</v>
      </c>
      <c r="R2539" t="s">
        <v>51</v>
      </c>
      <c r="S2539" s="2" t="s">
        <v>198</v>
      </c>
      <c r="T2539" t="s">
        <v>199</v>
      </c>
    </row>
    <row r="2540" spans="1:20" x14ac:dyDescent="0.25">
      <c r="A2540" t="s">
        <v>6511</v>
      </c>
      <c r="B2540" t="str">
        <f>"4600"</f>
        <v>4600</v>
      </c>
      <c r="C2540" t="str">
        <f>"288444600"</f>
        <v>288444600</v>
      </c>
      <c r="D2540" t="s">
        <v>6512</v>
      </c>
      <c r="E2540" t="s">
        <v>675</v>
      </c>
      <c r="F2540" t="s">
        <v>93</v>
      </c>
      <c r="G2540" s="1">
        <v>18216</v>
      </c>
      <c r="H2540" s="1">
        <v>40434</v>
      </c>
      <c r="I2540" t="str">
        <f>"03"</f>
        <v>03</v>
      </c>
      <c r="J2540" t="s">
        <v>70</v>
      </c>
      <c r="K2540" t="s">
        <v>98</v>
      </c>
      <c r="L2540" t="s">
        <v>37</v>
      </c>
      <c r="M2540" t="s">
        <v>117</v>
      </c>
      <c r="N2540" s="1">
        <v>41617</v>
      </c>
      <c r="O2540">
        <v>4951.96</v>
      </c>
      <c r="P2540">
        <v>1237.8599999999999</v>
      </c>
      <c r="Q2540" t="s">
        <v>37</v>
      </c>
      <c r="R2540" t="s">
        <v>29</v>
      </c>
      <c r="S2540" t="s">
        <v>138</v>
      </c>
      <c r="T2540" t="s">
        <v>139</v>
      </c>
    </row>
    <row r="2541" spans="1:20" x14ac:dyDescent="0.25">
      <c r="A2541" t="s">
        <v>6513</v>
      </c>
      <c r="B2541" t="str">
        <f>"1547"</f>
        <v>1547</v>
      </c>
      <c r="C2541" t="str">
        <f>"274701547"</f>
        <v>274701547</v>
      </c>
      <c r="D2541" t="s">
        <v>2684</v>
      </c>
      <c r="E2541" t="s">
        <v>544</v>
      </c>
      <c r="F2541" t="s">
        <v>231</v>
      </c>
      <c r="G2541" s="1">
        <v>26749</v>
      </c>
      <c r="H2541" s="1">
        <v>40434</v>
      </c>
      <c r="I2541" t="str">
        <f>"41"</f>
        <v>41</v>
      </c>
      <c r="J2541" t="s">
        <v>24</v>
      </c>
      <c r="K2541" t="s">
        <v>25</v>
      </c>
      <c r="L2541" t="s">
        <v>26</v>
      </c>
      <c r="M2541" t="s">
        <v>27</v>
      </c>
      <c r="N2541" s="1">
        <v>18629</v>
      </c>
      <c r="O2541">
        <v>0</v>
      </c>
      <c r="P2541">
        <v>0</v>
      </c>
      <c r="Q2541" t="s">
        <v>37</v>
      </c>
      <c r="R2541" t="s">
        <v>71</v>
      </c>
      <c r="S2541" t="s">
        <v>4743</v>
      </c>
      <c r="T2541" t="s">
        <v>4744</v>
      </c>
    </row>
    <row r="2542" spans="1:20" x14ac:dyDescent="0.25">
      <c r="A2542" t="s">
        <v>6514</v>
      </c>
      <c r="B2542" t="str">
        <f>"3717"</f>
        <v>3717</v>
      </c>
      <c r="C2542" t="str">
        <f>"270683717"</f>
        <v>270683717</v>
      </c>
      <c r="D2542" t="s">
        <v>6515</v>
      </c>
      <c r="E2542" t="s">
        <v>178</v>
      </c>
      <c r="F2542" t="s">
        <v>264</v>
      </c>
      <c r="G2542" s="1">
        <v>24474</v>
      </c>
      <c r="H2542" s="1">
        <v>40434</v>
      </c>
      <c r="I2542" t="str">
        <f>"51"</f>
        <v>51</v>
      </c>
      <c r="J2542" t="s">
        <v>471</v>
      </c>
      <c r="K2542" t="s">
        <v>25</v>
      </c>
      <c r="L2542" t="s">
        <v>26</v>
      </c>
      <c r="M2542" t="s">
        <v>27</v>
      </c>
      <c r="N2542" s="1">
        <v>18629</v>
      </c>
      <c r="O2542">
        <v>0</v>
      </c>
      <c r="P2542">
        <v>0</v>
      </c>
      <c r="Q2542" t="s">
        <v>28</v>
      </c>
      <c r="R2542" t="s">
        <v>51</v>
      </c>
      <c r="S2542" s="2" t="s">
        <v>2202</v>
      </c>
      <c r="T2542" t="s">
        <v>2203</v>
      </c>
    </row>
    <row r="2543" spans="1:20" x14ac:dyDescent="0.25">
      <c r="A2543" t="s">
        <v>6516</v>
      </c>
      <c r="B2543" t="str">
        <f>"2696"</f>
        <v>2696</v>
      </c>
      <c r="C2543" t="str">
        <f>"301702696"</f>
        <v>301702696</v>
      </c>
      <c r="D2543" t="s">
        <v>1045</v>
      </c>
      <c r="E2543" t="s">
        <v>6517</v>
      </c>
      <c r="F2543" t="s">
        <v>264</v>
      </c>
      <c r="G2543" s="1">
        <v>26420</v>
      </c>
      <c r="H2543" s="1">
        <v>40434</v>
      </c>
      <c r="I2543" t="str">
        <f>"12"</f>
        <v>12</v>
      </c>
      <c r="J2543" t="s">
        <v>245</v>
      </c>
      <c r="K2543" t="s">
        <v>175</v>
      </c>
      <c r="L2543" t="s">
        <v>37</v>
      </c>
      <c r="M2543" t="s">
        <v>99</v>
      </c>
      <c r="N2543" s="1">
        <v>41617</v>
      </c>
      <c r="O2543">
        <v>16411.72</v>
      </c>
      <c r="P2543">
        <v>4102.8</v>
      </c>
      <c r="Q2543" t="s">
        <v>37</v>
      </c>
      <c r="R2543" t="s">
        <v>51</v>
      </c>
      <c r="S2543" s="2" t="s">
        <v>1922</v>
      </c>
      <c r="T2543" t="s">
        <v>1923</v>
      </c>
    </row>
    <row r="2544" spans="1:20" x14ac:dyDescent="0.25">
      <c r="A2544" t="s">
        <v>6518</v>
      </c>
      <c r="B2544" t="str">
        <f>"4781"</f>
        <v>4781</v>
      </c>
      <c r="C2544" t="str">
        <f>"294484781"</f>
        <v>294484781</v>
      </c>
      <c r="D2544" t="s">
        <v>860</v>
      </c>
      <c r="E2544" t="s">
        <v>609</v>
      </c>
      <c r="F2544" t="s">
        <v>28</v>
      </c>
      <c r="G2544" s="1">
        <v>11659</v>
      </c>
      <c r="H2544" s="1">
        <v>40434</v>
      </c>
      <c r="I2544" t="str">
        <f>"51"</f>
        <v>51</v>
      </c>
      <c r="J2544" t="s">
        <v>471</v>
      </c>
      <c r="K2544" t="s">
        <v>25</v>
      </c>
      <c r="L2544" t="s">
        <v>26</v>
      </c>
      <c r="M2544" t="s">
        <v>27</v>
      </c>
      <c r="N2544" s="1">
        <v>18629</v>
      </c>
      <c r="O2544">
        <v>0</v>
      </c>
      <c r="P2544">
        <v>0</v>
      </c>
      <c r="Q2544" t="s">
        <v>28</v>
      </c>
      <c r="R2544" t="s">
        <v>51</v>
      </c>
      <c r="S2544" s="2" t="s">
        <v>2202</v>
      </c>
      <c r="T2544" t="s">
        <v>2203</v>
      </c>
    </row>
    <row r="2545" spans="1:20" x14ac:dyDescent="0.25">
      <c r="A2545" t="s">
        <v>6519</v>
      </c>
      <c r="B2545" t="str">
        <f>"6982"</f>
        <v>6982</v>
      </c>
      <c r="C2545" t="str">
        <f>"274486982"</f>
        <v>274486982</v>
      </c>
      <c r="D2545" t="s">
        <v>114</v>
      </c>
      <c r="E2545" t="s">
        <v>3318</v>
      </c>
      <c r="F2545" t="s">
        <v>28</v>
      </c>
      <c r="G2545" s="1">
        <v>18020</v>
      </c>
      <c r="H2545" s="1">
        <v>40434</v>
      </c>
      <c r="I2545" t="str">
        <f>"51"</f>
        <v>51</v>
      </c>
      <c r="J2545" t="s">
        <v>471</v>
      </c>
      <c r="K2545" t="s">
        <v>25</v>
      </c>
      <c r="L2545" t="s">
        <v>26</v>
      </c>
      <c r="M2545" t="s">
        <v>27</v>
      </c>
      <c r="N2545" s="1">
        <v>18629</v>
      </c>
      <c r="O2545">
        <v>0</v>
      </c>
      <c r="P2545">
        <v>0</v>
      </c>
      <c r="Q2545" t="s">
        <v>37</v>
      </c>
      <c r="R2545" t="s">
        <v>51</v>
      </c>
      <c r="S2545" s="2" t="s">
        <v>1568</v>
      </c>
      <c r="T2545" t="s">
        <v>1569</v>
      </c>
    </row>
    <row r="2546" spans="1:20" x14ac:dyDescent="0.25">
      <c r="A2546" t="s">
        <v>6520</v>
      </c>
      <c r="B2546" t="str">
        <f>"5681"</f>
        <v>5681</v>
      </c>
      <c r="C2546" t="str">
        <f>"294545681"</f>
        <v>294545681</v>
      </c>
      <c r="D2546" t="s">
        <v>6521</v>
      </c>
      <c r="E2546" t="s">
        <v>1363</v>
      </c>
      <c r="F2546" t="s">
        <v>28</v>
      </c>
      <c r="G2546" s="1">
        <v>24731</v>
      </c>
      <c r="H2546" s="1">
        <v>40432</v>
      </c>
      <c r="I2546" t="str">
        <f>"52"</f>
        <v>52</v>
      </c>
      <c r="J2546" t="s">
        <v>330</v>
      </c>
      <c r="K2546" t="s">
        <v>25</v>
      </c>
      <c r="L2546" t="s">
        <v>26</v>
      </c>
      <c r="M2546" t="s">
        <v>27</v>
      </c>
      <c r="N2546" s="1">
        <v>18629</v>
      </c>
      <c r="O2546">
        <v>0</v>
      </c>
      <c r="P2546">
        <v>0</v>
      </c>
      <c r="Q2546" t="s">
        <v>37</v>
      </c>
      <c r="R2546" t="s">
        <v>71</v>
      </c>
      <c r="S2546" t="s">
        <v>4000</v>
      </c>
      <c r="T2546" t="s">
        <v>4001</v>
      </c>
    </row>
    <row r="2547" spans="1:20" x14ac:dyDescent="0.25">
      <c r="A2547" t="s">
        <v>6522</v>
      </c>
      <c r="B2547" t="str">
        <f>"0886"</f>
        <v>0886</v>
      </c>
      <c r="C2547" t="str">
        <f>"461740886"</f>
        <v>461740886</v>
      </c>
      <c r="D2547" t="s">
        <v>832</v>
      </c>
      <c r="E2547" t="s">
        <v>1157</v>
      </c>
      <c r="F2547" t="s">
        <v>44</v>
      </c>
      <c r="G2547" s="1">
        <v>16511</v>
      </c>
      <c r="H2547" s="1">
        <v>40431</v>
      </c>
      <c r="I2547" t="str">
        <f>"51"</f>
        <v>51</v>
      </c>
      <c r="J2547" t="s">
        <v>471</v>
      </c>
      <c r="K2547" t="s">
        <v>25</v>
      </c>
      <c r="L2547" t="s">
        <v>26</v>
      </c>
      <c r="M2547" t="s">
        <v>27</v>
      </c>
      <c r="N2547" s="1">
        <v>18629</v>
      </c>
      <c r="O2547">
        <v>0</v>
      </c>
      <c r="P2547">
        <v>0</v>
      </c>
      <c r="Q2547" t="s">
        <v>37</v>
      </c>
      <c r="R2547" t="s">
        <v>51</v>
      </c>
      <c r="S2547" s="2" t="s">
        <v>3730</v>
      </c>
      <c r="T2547" t="s">
        <v>3731</v>
      </c>
    </row>
    <row r="2548" spans="1:20" x14ac:dyDescent="0.25">
      <c r="A2548" t="s">
        <v>6523</v>
      </c>
      <c r="B2548" t="str">
        <f>"9594"</f>
        <v>9594</v>
      </c>
      <c r="C2548" t="str">
        <f>"290469594"</f>
        <v>290469594</v>
      </c>
      <c r="D2548" t="s">
        <v>2392</v>
      </c>
      <c r="E2548" t="s">
        <v>2152</v>
      </c>
      <c r="F2548" t="s">
        <v>3372</v>
      </c>
      <c r="G2548" s="1">
        <v>17602</v>
      </c>
      <c r="H2548" s="1">
        <v>40431</v>
      </c>
      <c r="I2548" t="str">
        <f>"51"</f>
        <v>51</v>
      </c>
      <c r="J2548" t="s">
        <v>471</v>
      </c>
      <c r="K2548" t="s">
        <v>25</v>
      </c>
      <c r="L2548" t="s">
        <v>26</v>
      </c>
      <c r="M2548" t="s">
        <v>27</v>
      </c>
      <c r="N2548" s="1">
        <v>18629</v>
      </c>
      <c r="O2548">
        <v>0</v>
      </c>
      <c r="P2548">
        <v>0</v>
      </c>
      <c r="Q2548" t="s">
        <v>37</v>
      </c>
      <c r="R2548" t="s">
        <v>29</v>
      </c>
      <c r="S2548" t="s">
        <v>1555</v>
      </c>
      <c r="T2548" t="s">
        <v>1556</v>
      </c>
    </row>
    <row r="2549" spans="1:20" x14ac:dyDescent="0.25">
      <c r="A2549" t="s">
        <v>6524</v>
      </c>
      <c r="B2549" t="str">
        <f>"4472"</f>
        <v>4472</v>
      </c>
      <c r="C2549" t="str">
        <f>"296484472"</f>
        <v>296484472</v>
      </c>
      <c r="D2549" t="s">
        <v>6525</v>
      </c>
      <c r="E2549" t="s">
        <v>33</v>
      </c>
      <c r="F2549" t="s">
        <v>44</v>
      </c>
      <c r="G2549" s="1">
        <v>17691</v>
      </c>
      <c r="H2549" s="1">
        <v>40430</v>
      </c>
      <c r="I2549" t="str">
        <f>"33"</f>
        <v>33</v>
      </c>
      <c r="J2549" t="s">
        <v>45</v>
      </c>
      <c r="K2549" t="s">
        <v>25</v>
      </c>
      <c r="L2549" t="s">
        <v>26</v>
      </c>
      <c r="M2549" t="s">
        <v>27</v>
      </c>
      <c r="N2549" s="1">
        <v>18629</v>
      </c>
      <c r="O2549">
        <v>0</v>
      </c>
      <c r="P2549">
        <v>0</v>
      </c>
      <c r="Q2549" t="s">
        <v>28</v>
      </c>
      <c r="R2549" t="s">
        <v>71</v>
      </c>
      <c r="S2549" t="s">
        <v>955</v>
      </c>
      <c r="T2549" t="s">
        <v>956</v>
      </c>
    </row>
    <row r="2550" spans="1:20" x14ac:dyDescent="0.25">
      <c r="A2550" t="s">
        <v>6526</v>
      </c>
      <c r="B2550" t="str">
        <f>"9255"</f>
        <v>9255</v>
      </c>
      <c r="C2550" t="str">
        <f>"371669255"</f>
        <v>371669255</v>
      </c>
      <c r="D2550" t="s">
        <v>6527</v>
      </c>
      <c r="E2550" t="s">
        <v>106</v>
      </c>
      <c r="F2550" t="s">
        <v>28</v>
      </c>
      <c r="G2550" s="1">
        <v>20731</v>
      </c>
      <c r="H2550" s="1">
        <v>40428</v>
      </c>
      <c r="I2550" t="str">
        <f>"12"</f>
        <v>12</v>
      </c>
      <c r="J2550" t="s">
        <v>245</v>
      </c>
      <c r="K2550" t="s">
        <v>98</v>
      </c>
      <c r="L2550" t="s">
        <v>37</v>
      </c>
      <c r="M2550" t="s">
        <v>117</v>
      </c>
      <c r="N2550" s="1">
        <v>41617</v>
      </c>
      <c r="O2550">
        <v>4951.96</v>
      </c>
      <c r="P2550">
        <v>1237.8599999999999</v>
      </c>
      <c r="Q2550" t="s">
        <v>28</v>
      </c>
      <c r="R2550" t="s">
        <v>71</v>
      </c>
      <c r="S2550" t="s">
        <v>3191</v>
      </c>
      <c r="T2550" t="s">
        <v>3192</v>
      </c>
    </row>
    <row r="2551" spans="1:20" x14ac:dyDescent="0.25">
      <c r="A2551" t="s">
        <v>6528</v>
      </c>
      <c r="B2551" t="str">
        <f>"3182"</f>
        <v>3182</v>
      </c>
      <c r="C2551" t="str">
        <f>"456373182"</f>
        <v>456373182</v>
      </c>
      <c r="D2551" t="s">
        <v>6529</v>
      </c>
      <c r="E2551" t="s">
        <v>6530</v>
      </c>
      <c r="F2551" t="s">
        <v>609</v>
      </c>
      <c r="G2551" s="1">
        <v>22635</v>
      </c>
      <c r="H2551" s="1">
        <v>40428</v>
      </c>
      <c r="I2551" t="str">
        <f>"51"</f>
        <v>51</v>
      </c>
      <c r="J2551" t="s">
        <v>471</v>
      </c>
      <c r="K2551" t="s">
        <v>25</v>
      </c>
      <c r="L2551" t="s">
        <v>26</v>
      </c>
      <c r="M2551" t="s">
        <v>27</v>
      </c>
      <c r="N2551" s="1">
        <v>18629</v>
      </c>
      <c r="O2551">
        <v>0</v>
      </c>
      <c r="P2551">
        <v>0</v>
      </c>
      <c r="Q2551" t="s">
        <v>28</v>
      </c>
      <c r="R2551" t="s">
        <v>51</v>
      </c>
      <c r="S2551" s="2" t="s">
        <v>64</v>
      </c>
      <c r="T2551" t="s">
        <v>65</v>
      </c>
    </row>
    <row r="2552" spans="1:20" x14ac:dyDescent="0.25">
      <c r="A2552" t="s">
        <v>6531</v>
      </c>
      <c r="B2552" t="str">
        <f>"0127"</f>
        <v>0127</v>
      </c>
      <c r="C2552" t="str">
        <f>"280720127"</f>
        <v>280720127</v>
      </c>
      <c r="D2552" t="s">
        <v>658</v>
      </c>
      <c r="E2552" t="s">
        <v>3372</v>
      </c>
      <c r="F2552" t="s">
        <v>526</v>
      </c>
      <c r="G2552" s="1">
        <v>26847</v>
      </c>
      <c r="H2552" s="1">
        <v>40428</v>
      </c>
      <c r="I2552" t="str">
        <f>"15"</f>
        <v>15</v>
      </c>
      <c r="J2552" t="s">
        <v>36</v>
      </c>
      <c r="K2552" t="s">
        <v>98</v>
      </c>
      <c r="L2552" t="s">
        <v>37</v>
      </c>
      <c r="M2552" t="s">
        <v>99</v>
      </c>
      <c r="N2552" s="1">
        <v>41617</v>
      </c>
      <c r="O2552">
        <v>14801.8</v>
      </c>
      <c r="P2552">
        <v>3700.32</v>
      </c>
      <c r="Q2552" t="s">
        <v>37</v>
      </c>
      <c r="R2552" t="s">
        <v>258</v>
      </c>
      <c r="S2552" t="s">
        <v>605</v>
      </c>
      <c r="T2552" t="s">
        <v>606</v>
      </c>
    </row>
    <row r="2553" spans="1:20" x14ac:dyDescent="0.25">
      <c r="A2553" t="s">
        <v>6532</v>
      </c>
      <c r="B2553" t="str">
        <f>"5459"</f>
        <v>5459</v>
      </c>
      <c r="C2553" t="str">
        <f>"299725459"</f>
        <v>299725459</v>
      </c>
      <c r="D2553" t="s">
        <v>1483</v>
      </c>
      <c r="E2553" t="s">
        <v>813</v>
      </c>
      <c r="F2553" t="s">
        <v>28</v>
      </c>
      <c r="G2553" s="1">
        <v>23482</v>
      </c>
      <c r="H2553" s="1">
        <v>40427</v>
      </c>
      <c r="I2553" t="str">
        <f>"08"</f>
        <v>08</v>
      </c>
      <c r="J2553" t="s">
        <v>265</v>
      </c>
      <c r="K2553" t="s">
        <v>98</v>
      </c>
      <c r="L2553" t="s">
        <v>37</v>
      </c>
      <c r="M2553" t="s">
        <v>99</v>
      </c>
      <c r="N2553" s="1">
        <v>41617</v>
      </c>
      <c r="O2553">
        <v>14801.8</v>
      </c>
      <c r="P2553">
        <v>3700.32</v>
      </c>
      <c r="Q2553" t="s">
        <v>37</v>
      </c>
      <c r="R2553" t="s">
        <v>29</v>
      </c>
      <c r="S2553" t="s">
        <v>982</v>
      </c>
      <c r="T2553" t="s">
        <v>983</v>
      </c>
    </row>
    <row r="2554" spans="1:20" x14ac:dyDescent="0.25">
      <c r="A2554" t="s">
        <v>6533</v>
      </c>
      <c r="B2554" t="str">
        <f>"2329"</f>
        <v>2329</v>
      </c>
      <c r="C2554" t="str">
        <f>"277042329"</f>
        <v>277042329</v>
      </c>
      <c r="D2554" t="s">
        <v>6534</v>
      </c>
      <c r="E2554" t="s">
        <v>6535</v>
      </c>
      <c r="G2554" s="1">
        <v>32034</v>
      </c>
      <c r="H2554" s="1">
        <v>40424</v>
      </c>
      <c r="I2554" t="str">
        <f>"15"</f>
        <v>15</v>
      </c>
      <c r="J2554" t="s">
        <v>36</v>
      </c>
      <c r="K2554" t="s">
        <v>98</v>
      </c>
      <c r="L2554" t="s">
        <v>37</v>
      </c>
      <c r="M2554" t="s">
        <v>117</v>
      </c>
      <c r="N2554" s="1">
        <v>41617</v>
      </c>
      <c r="O2554">
        <v>4951.96</v>
      </c>
      <c r="P2554">
        <v>1237.8599999999999</v>
      </c>
      <c r="Q2554" t="s">
        <v>37</v>
      </c>
      <c r="R2554" t="s">
        <v>29</v>
      </c>
      <c r="S2554" t="s">
        <v>419</v>
      </c>
      <c r="T2554" t="s">
        <v>420</v>
      </c>
    </row>
    <row r="2555" spans="1:20" x14ac:dyDescent="0.25">
      <c r="A2555" t="s">
        <v>6536</v>
      </c>
      <c r="B2555" t="str">
        <f>"6778"</f>
        <v>6778</v>
      </c>
      <c r="C2555" t="str">
        <f>"500306778"</f>
        <v>500306778</v>
      </c>
      <c r="D2555" t="s">
        <v>6537</v>
      </c>
      <c r="E2555" t="s">
        <v>304</v>
      </c>
      <c r="F2555" t="s">
        <v>93</v>
      </c>
      <c r="G2555" s="1">
        <v>11528</v>
      </c>
      <c r="H2555" s="1">
        <v>40421</v>
      </c>
      <c r="I2555" t="str">
        <f>"52"</f>
        <v>52</v>
      </c>
      <c r="J2555" t="s">
        <v>330</v>
      </c>
      <c r="K2555" t="s">
        <v>25</v>
      </c>
      <c r="L2555" t="s">
        <v>26</v>
      </c>
      <c r="M2555" t="s">
        <v>27</v>
      </c>
      <c r="N2555" s="1">
        <v>18629</v>
      </c>
      <c r="O2555">
        <v>0</v>
      </c>
      <c r="P2555">
        <v>0</v>
      </c>
      <c r="Q2555" t="s">
        <v>28</v>
      </c>
      <c r="R2555" t="s">
        <v>51</v>
      </c>
      <c r="S2555" s="2" t="s">
        <v>362</v>
      </c>
      <c r="T2555" t="s">
        <v>363</v>
      </c>
    </row>
    <row r="2556" spans="1:20" x14ac:dyDescent="0.25">
      <c r="A2556" t="s">
        <v>6538</v>
      </c>
      <c r="B2556" t="str">
        <f>"3741"</f>
        <v>3741</v>
      </c>
      <c r="C2556" t="str">
        <f>"367023741"</f>
        <v>367023741</v>
      </c>
      <c r="D2556" t="s">
        <v>6539</v>
      </c>
      <c r="E2556" t="s">
        <v>6540</v>
      </c>
      <c r="F2556" t="s">
        <v>414</v>
      </c>
      <c r="G2556" s="1">
        <v>24751</v>
      </c>
      <c r="H2556" s="1">
        <v>40420</v>
      </c>
      <c r="I2556" t="str">
        <f t="shared" ref="I2556:I2566" si="50">"51"</f>
        <v>51</v>
      </c>
      <c r="J2556" t="s">
        <v>471</v>
      </c>
      <c r="K2556" t="s">
        <v>25</v>
      </c>
      <c r="L2556" t="s">
        <v>26</v>
      </c>
      <c r="M2556" t="s">
        <v>27</v>
      </c>
      <c r="N2556" s="1">
        <v>18629</v>
      </c>
      <c r="O2556">
        <v>0</v>
      </c>
      <c r="P2556">
        <v>0</v>
      </c>
      <c r="Q2556" t="s">
        <v>28</v>
      </c>
      <c r="R2556" t="s">
        <v>71</v>
      </c>
      <c r="S2556" s="2" t="s">
        <v>774</v>
      </c>
      <c r="T2556" t="s">
        <v>775</v>
      </c>
    </row>
    <row r="2557" spans="1:20" x14ac:dyDescent="0.25">
      <c r="A2557" t="s">
        <v>6541</v>
      </c>
      <c r="B2557" t="str">
        <f>"6453"</f>
        <v>6453</v>
      </c>
      <c r="C2557" t="str">
        <f>"570966453"</f>
        <v>570966453</v>
      </c>
      <c r="D2557" t="s">
        <v>1810</v>
      </c>
      <c r="E2557" t="s">
        <v>6542</v>
      </c>
      <c r="G2557" s="1">
        <v>20692</v>
      </c>
      <c r="H2557" s="1">
        <v>40420</v>
      </c>
      <c r="I2557" t="str">
        <f t="shared" si="50"/>
        <v>51</v>
      </c>
      <c r="J2557" t="s">
        <v>471</v>
      </c>
      <c r="K2557" t="s">
        <v>25</v>
      </c>
      <c r="L2557" t="s">
        <v>26</v>
      </c>
      <c r="M2557" t="s">
        <v>27</v>
      </c>
      <c r="N2557" s="1">
        <v>18629</v>
      </c>
      <c r="O2557">
        <v>0</v>
      </c>
      <c r="P2557">
        <v>0</v>
      </c>
      <c r="Q2557" t="s">
        <v>37</v>
      </c>
      <c r="R2557" t="s">
        <v>29</v>
      </c>
      <c r="S2557" s="2" t="s">
        <v>3136</v>
      </c>
      <c r="T2557" t="s">
        <v>3137</v>
      </c>
    </row>
    <row r="2558" spans="1:20" x14ac:dyDescent="0.25">
      <c r="A2558" t="s">
        <v>6543</v>
      </c>
      <c r="B2558" t="str">
        <f>"7847"</f>
        <v>7847</v>
      </c>
      <c r="C2558" t="str">
        <f>"584557847"</f>
        <v>584557847</v>
      </c>
      <c r="D2558" t="s">
        <v>6544</v>
      </c>
      <c r="E2558" t="s">
        <v>6545</v>
      </c>
      <c r="F2558" t="s">
        <v>28</v>
      </c>
      <c r="G2558" s="1">
        <v>26633</v>
      </c>
      <c r="H2558" s="1">
        <v>40420</v>
      </c>
      <c r="I2558" t="str">
        <f t="shared" si="50"/>
        <v>51</v>
      </c>
      <c r="J2558" t="s">
        <v>471</v>
      </c>
      <c r="K2558" t="s">
        <v>25</v>
      </c>
      <c r="L2558" t="s">
        <v>26</v>
      </c>
      <c r="M2558" t="s">
        <v>27</v>
      </c>
      <c r="N2558" s="1">
        <v>18629</v>
      </c>
      <c r="O2558">
        <v>0</v>
      </c>
      <c r="P2558">
        <v>0</v>
      </c>
      <c r="Q2558" t="s">
        <v>37</v>
      </c>
      <c r="R2558" t="s">
        <v>29</v>
      </c>
      <c r="S2558" t="s">
        <v>147</v>
      </c>
      <c r="T2558" t="s">
        <v>148</v>
      </c>
    </row>
    <row r="2559" spans="1:20" x14ac:dyDescent="0.25">
      <c r="A2559" t="s">
        <v>6546</v>
      </c>
      <c r="B2559" t="str">
        <f>"4868"</f>
        <v>4868</v>
      </c>
      <c r="C2559" t="str">
        <f>"287024868"</f>
        <v>287024868</v>
      </c>
      <c r="D2559" t="s">
        <v>6547</v>
      </c>
      <c r="E2559" t="s">
        <v>6548</v>
      </c>
      <c r="F2559" t="s">
        <v>26</v>
      </c>
      <c r="G2559" s="1">
        <v>25496</v>
      </c>
      <c r="H2559" s="1">
        <v>40420</v>
      </c>
      <c r="I2559" t="str">
        <f t="shared" si="50"/>
        <v>51</v>
      </c>
      <c r="J2559" t="s">
        <v>471</v>
      </c>
      <c r="K2559" t="s">
        <v>25</v>
      </c>
      <c r="L2559" t="s">
        <v>26</v>
      </c>
      <c r="M2559" t="s">
        <v>27</v>
      </c>
      <c r="N2559" s="1">
        <v>18629</v>
      </c>
      <c r="O2559">
        <v>0</v>
      </c>
      <c r="P2559">
        <v>0</v>
      </c>
      <c r="Q2559" t="s">
        <v>37</v>
      </c>
      <c r="R2559" t="s">
        <v>29</v>
      </c>
      <c r="S2559" t="s">
        <v>5657</v>
      </c>
      <c r="T2559" t="s">
        <v>5658</v>
      </c>
    </row>
    <row r="2560" spans="1:20" x14ac:dyDescent="0.25">
      <c r="A2560" t="s">
        <v>6549</v>
      </c>
      <c r="B2560" t="str">
        <f>"1698"</f>
        <v>1698</v>
      </c>
      <c r="C2560" t="str">
        <f>"301601698"</f>
        <v>301601698</v>
      </c>
      <c r="D2560" t="s">
        <v>3539</v>
      </c>
      <c r="E2560" t="s">
        <v>5252</v>
      </c>
      <c r="F2560" t="s">
        <v>282</v>
      </c>
      <c r="G2560" s="1">
        <v>26256</v>
      </c>
      <c r="H2560" s="1">
        <v>40420</v>
      </c>
      <c r="I2560" t="str">
        <f t="shared" si="50"/>
        <v>51</v>
      </c>
      <c r="J2560" t="s">
        <v>471</v>
      </c>
      <c r="K2560" t="s">
        <v>25</v>
      </c>
      <c r="L2560" t="s">
        <v>26</v>
      </c>
      <c r="M2560" t="s">
        <v>27</v>
      </c>
      <c r="N2560" s="1">
        <v>18629</v>
      </c>
      <c r="O2560">
        <v>0</v>
      </c>
      <c r="P2560">
        <v>0</v>
      </c>
      <c r="Q2560" t="s">
        <v>37</v>
      </c>
      <c r="R2560" t="s">
        <v>71</v>
      </c>
      <c r="S2560" t="s">
        <v>157</v>
      </c>
      <c r="T2560" t="s">
        <v>158</v>
      </c>
    </row>
    <row r="2561" spans="1:20" x14ac:dyDescent="0.25">
      <c r="A2561" t="s">
        <v>6550</v>
      </c>
      <c r="B2561" t="str">
        <f>"5193"</f>
        <v>5193</v>
      </c>
      <c r="C2561" t="str">
        <f>"269705193"</f>
        <v>269705193</v>
      </c>
      <c r="D2561" t="s">
        <v>6551</v>
      </c>
      <c r="E2561" t="s">
        <v>2500</v>
      </c>
      <c r="F2561" t="s">
        <v>231</v>
      </c>
      <c r="G2561" s="1">
        <v>26082</v>
      </c>
      <c r="H2561" s="1">
        <v>40420</v>
      </c>
      <c r="I2561" t="str">
        <f t="shared" si="50"/>
        <v>51</v>
      </c>
      <c r="J2561" t="s">
        <v>471</v>
      </c>
      <c r="K2561" t="s">
        <v>25</v>
      </c>
      <c r="L2561" t="s">
        <v>26</v>
      </c>
      <c r="M2561" t="s">
        <v>27</v>
      </c>
      <c r="N2561" s="1">
        <v>18629</v>
      </c>
      <c r="O2561">
        <v>0</v>
      </c>
      <c r="P2561">
        <v>0</v>
      </c>
      <c r="Q2561" t="s">
        <v>37</v>
      </c>
      <c r="R2561" t="s">
        <v>29</v>
      </c>
      <c r="S2561" t="s">
        <v>138</v>
      </c>
      <c r="T2561" t="s">
        <v>139</v>
      </c>
    </row>
    <row r="2562" spans="1:20" x14ac:dyDescent="0.25">
      <c r="A2562" t="s">
        <v>6552</v>
      </c>
      <c r="B2562" t="str">
        <f>"4759"</f>
        <v>4759</v>
      </c>
      <c r="C2562" t="str">
        <f>"285724759"</f>
        <v>285724759</v>
      </c>
      <c r="D2562" t="s">
        <v>6553</v>
      </c>
      <c r="E2562" t="s">
        <v>109</v>
      </c>
      <c r="F2562" t="s">
        <v>358</v>
      </c>
      <c r="G2562" s="1">
        <v>22781</v>
      </c>
      <c r="H2562" s="1">
        <v>40420</v>
      </c>
      <c r="I2562" t="str">
        <f t="shared" si="50"/>
        <v>51</v>
      </c>
      <c r="J2562" t="s">
        <v>471</v>
      </c>
      <c r="K2562" t="s">
        <v>25</v>
      </c>
      <c r="L2562" t="s">
        <v>26</v>
      </c>
      <c r="M2562" t="s">
        <v>27</v>
      </c>
      <c r="N2562" s="1">
        <v>18629</v>
      </c>
      <c r="O2562">
        <v>0</v>
      </c>
      <c r="P2562">
        <v>0</v>
      </c>
      <c r="Q2562" t="s">
        <v>37</v>
      </c>
      <c r="R2562" t="s">
        <v>29</v>
      </c>
      <c r="S2562" t="s">
        <v>4635</v>
      </c>
      <c r="T2562" t="s">
        <v>4636</v>
      </c>
    </row>
    <row r="2563" spans="1:20" x14ac:dyDescent="0.25">
      <c r="A2563" t="s">
        <v>6554</v>
      </c>
      <c r="B2563" t="str">
        <f>"0446"</f>
        <v>0446</v>
      </c>
      <c r="C2563" t="str">
        <f>"282820446"</f>
        <v>282820446</v>
      </c>
      <c r="D2563" t="s">
        <v>745</v>
      </c>
      <c r="E2563" t="s">
        <v>874</v>
      </c>
      <c r="F2563" t="s">
        <v>358</v>
      </c>
      <c r="G2563" s="1">
        <v>30729</v>
      </c>
      <c r="H2563" s="1">
        <v>40420</v>
      </c>
      <c r="I2563" t="str">
        <f t="shared" si="50"/>
        <v>51</v>
      </c>
      <c r="J2563" t="s">
        <v>471</v>
      </c>
      <c r="K2563" t="s">
        <v>25</v>
      </c>
      <c r="L2563" t="s">
        <v>26</v>
      </c>
      <c r="M2563" t="s">
        <v>27</v>
      </c>
      <c r="N2563" s="1">
        <v>18629</v>
      </c>
      <c r="O2563">
        <v>0</v>
      </c>
      <c r="P2563">
        <v>0</v>
      </c>
      <c r="Q2563" t="s">
        <v>37</v>
      </c>
      <c r="R2563" t="s">
        <v>71</v>
      </c>
      <c r="S2563" t="s">
        <v>5022</v>
      </c>
      <c r="T2563" t="s">
        <v>5023</v>
      </c>
    </row>
    <row r="2564" spans="1:20" x14ac:dyDescent="0.25">
      <c r="A2564" t="s">
        <v>6555</v>
      </c>
      <c r="B2564" t="str">
        <f>"6455"</f>
        <v>6455</v>
      </c>
      <c r="C2564" t="str">
        <f>"278846455"</f>
        <v>278846455</v>
      </c>
      <c r="D2564" t="s">
        <v>6556</v>
      </c>
      <c r="E2564" t="s">
        <v>2042</v>
      </c>
      <c r="F2564" t="s">
        <v>28</v>
      </c>
      <c r="G2564" s="1">
        <v>29790</v>
      </c>
      <c r="H2564" s="1">
        <v>40420</v>
      </c>
      <c r="I2564" t="str">
        <f t="shared" si="50"/>
        <v>51</v>
      </c>
      <c r="J2564" t="s">
        <v>471</v>
      </c>
      <c r="K2564" t="s">
        <v>25</v>
      </c>
      <c r="L2564" t="s">
        <v>26</v>
      </c>
      <c r="M2564" t="s">
        <v>27</v>
      </c>
      <c r="N2564" s="1">
        <v>18629</v>
      </c>
      <c r="O2564">
        <v>0</v>
      </c>
      <c r="P2564">
        <v>0</v>
      </c>
      <c r="Q2564" t="s">
        <v>37</v>
      </c>
      <c r="R2564" t="s">
        <v>29</v>
      </c>
      <c r="S2564" s="2" t="s">
        <v>839</v>
      </c>
      <c r="T2564" t="s">
        <v>840</v>
      </c>
    </row>
    <row r="2565" spans="1:20" x14ac:dyDescent="0.25">
      <c r="A2565" t="s">
        <v>6557</v>
      </c>
      <c r="B2565" t="str">
        <f>"2241"</f>
        <v>2241</v>
      </c>
      <c r="C2565" t="str">
        <f>"287782241"</f>
        <v>287782241</v>
      </c>
      <c r="D2565" t="s">
        <v>6061</v>
      </c>
      <c r="E2565" t="s">
        <v>351</v>
      </c>
      <c r="F2565" t="s">
        <v>26</v>
      </c>
      <c r="G2565" s="1">
        <v>29886</v>
      </c>
      <c r="H2565" s="1">
        <v>40420</v>
      </c>
      <c r="I2565" t="str">
        <f t="shared" si="50"/>
        <v>51</v>
      </c>
      <c r="J2565" t="s">
        <v>471</v>
      </c>
      <c r="K2565" t="s">
        <v>25</v>
      </c>
      <c r="L2565" t="s">
        <v>26</v>
      </c>
      <c r="M2565" t="s">
        <v>27</v>
      </c>
      <c r="N2565" s="1">
        <v>18629</v>
      </c>
      <c r="O2565">
        <v>0</v>
      </c>
      <c r="P2565">
        <v>0</v>
      </c>
      <c r="Q2565" t="s">
        <v>28</v>
      </c>
      <c r="R2565" t="s">
        <v>51</v>
      </c>
      <c r="S2565" s="2" t="s">
        <v>4118</v>
      </c>
      <c r="T2565" t="s">
        <v>4119</v>
      </c>
    </row>
    <row r="2566" spans="1:20" x14ac:dyDescent="0.25">
      <c r="A2566" t="s">
        <v>6558</v>
      </c>
      <c r="B2566" t="str">
        <f>"2147"</f>
        <v>2147</v>
      </c>
      <c r="C2566" t="str">
        <f>"269562147"</f>
        <v>269562147</v>
      </c>
      <c r="D2566" t="s">
        <v>751</v>
      </c>
      <c r="E2566" t="s">
        <v>2390</v>
      </c>
      <c r="F2566" t="s">
        <v>93</v>
      </c>
      <c r="G2566" s="1">
        <v>19926</v>
      </c>
      <c r="H2566" s="1">
        <v>40420</v>
      </c>
      <c r="I2566" t="str">
        <f t="shared" si="50"/>
        <v>51</v>
      </c>
      <c r="J2566" t="s">
        <v>471</v>
      </c>
      <c r="K2566" t="s">
        <v>25</v>
      </c>
      <c r="L2566" t="s">
        <v>26</v>
      </c>
      <c r="M2566" t="s">
        <v>27</v>
      </c>
      <c r="N2566" s="1">
        <v>18629</v>
      </c>
      <c r="O2566">
        <v>0</v>
      </c>
      <c r="P2566">
        <v>0</v>
      </c>
      <c r="Q2566" t="s">
        <v>37</v>
      </c>
      <c r="R2566" t="s">
        <v>29</v>
      </c>
      <c r="S2566" t="s">
        <v>3719</v>
      </c>
      <c r="T2566" t="s">
        <v>3720</v>
      </c>
    </row>
    <row r="2567" spans="1:20" x14ac:dyDescent="0.25">
      <c r="A2567" t="s">
        <v>6559</v>
      </c>
      <c r="B2567" t="str">
        <f>"1457"</f>
        <v>1457</v>
      </c>
      <c r="C2567" t="str">
        <f>"276861457"</f>
        <v>276861457</v>
      </c>
      <c r="D2567" t="s">
        <v>1323</v>
      </c>
      <c r="E2567" t="s">
        <v>6560</v>
      </c>
      <c r="F2567" t="s">
        <v>358</v>
      </c>
      <c r="G2567" s="1">
        <v>26072</v>
      </c>
      <c r="H2567" s="1">
        <v>40420</v>
      </c>
      <c r="I2567" t="str">
        <f>"41"</f>
        <v>41</v>
      </c>
      <c r="J2567" t="s">
        <v>24</v>
      </c>
      <c r="K2567" t="s">
        <v>25</v>
      </c>
      <c r="L2567" t="s">
        <v>26</v>
      </c>
      <c r="M2567" t="s">
        <v>27</v>
      </c>
      <c r="N2567" s="1">
        <v>18629</v>
      </c>
      <c r="O2567">
        <v>0</v>
      </c>
      <c r="P2567">
        <v>0</v>
      </c>
      <c r="Q2567" t="s">
        <v>37</v>
      </c>
      <c r="R2567" t="s">
        <v>71</v>
      </c>
      <c r="S2567" t="s">
        <v>4743</v>
      </c>
      <c r="T2567" t="s">
        <v>4744</v>
      </c>
    </row>
    <row r="2568" spans="1:20" x14ac:dyDescent="0.25">
      <c r="A2568" t="s">
        <v>6561</v>
      </c>
      <c r="B2568" t="str">
        <f>"2352"</f>
        <v>2352</v>
      </c>
      <c r="C2568" t="str">
        <f>"287582352"</f>
        <v>287582352</v>
      </c>
      <c r="D2568" t="s">
        <v>6562</v>
      </c>
      <c r="E2568" t="s">
        <v>944</v>
      </c>
      <c r="F2568" t="s">
        <v>556</v>
      </c>
      <c r="G2568" s="1">
        <v>21039</v>
      </c>
      <c r="H2568" s="1">
        <v>40420</v>
      </c>
      <c r="I2568" t="str">
        <f t="shared" ref="I2568:I2574" si="51">"51"</f>
        <v>51</v>
      </c>
      <c r="J2568" t="s">
        <v>471</v>
      </c>
      <c r="K2568" t="s">
        <v>25</v>
      </c>
      <c r="L2568" t="s">
        <v>26</v>
      </c>
      <c r="M2568" t="s">
        <v>27</v>
      </c>
      <c r="N2568" s="1">
        <v>18629</v>
      </c>
      <c r="O2568">
        <v>0</v>
      </c>
      <c r="P2568">
        <v>0</v>
      </c>
      <c r="Q2568" t="s">
        <v>28</v>
      </c>
      <c r="R2568" t="s">
        <v>71</v>
      </c>
      <c r="S2568" t="s">
        <v>770</v>
      </c>
      <c r="T2568" t="s">
        <v>771</v>
      </c>
    </row>
    <row r="2569" spans="1:20" x14ac:dyDescent="0.25">
      <c r="A2569" t="s">
        <v>6563</v>
      </c>
      <c r="B2569" t="str">
        <f>"5682"</f>
        <v>5682</v>
      </c>
      <c r="C2569" t="str">
        <f>"389865682"</f>
        <v>389865682</v>
      </c>
      <c r="D2569" t="s">
        <v>6564</v>
      </c>
      <c r="E2569" t="s">
        <v>6565</v>
      </c>
      <c r="F2569" t="s">
        <v>256</v>
      </c>
      <c r="G2569" s="1">
        <v>23557</v>
      </c>
      <c r="H2569" s="1">
        <v>40420</v>
      </c>
      <c r="I2569" t="str">
        <f t="shared" si="51"/>
        <v>51</v>
      </c>
      <c r="J2569" t="s">
        <v>471</v>
      </c>
      <c r="K2569" t="s">
        <v>25</v>
      </c>
      <c r="L2569" t="s">
        <v>26</v>
      </c>
      <c r="M2569" t="s">
        <v>27</v>
      </c>
      <c r="N2569" s="1">
        <v>18629</v>
      </c>
      <c r="O2569">
        <v>0</v>
      </c>
      <c r="P2569">
        <v>0</v>
      </c>
      <c r="Q2569" t="s">
        <v>37</v>
      </c>
      <c r="R2569" t="s">
        <v>51</v>
      </c>
      <c r="S2569" s="2" t="s">
        <v>3778</v>
      </c>
      <c r="T2569" t="s">
        <v>3779</v>
      </c>
    </row>
    <row r="2570" spans="1:20" x14ac:dyDescent="0.25">
      <c r="A2570" t="s">
        <v>6566</v>
      </c>
      <c r="B2570" t="str">
        <f>"2700"</f>
        <v>2700</v>
      </c>
      <c r="C2570" t="str">
        <f>"487862700"</f>
        <v>487862700</v>
      </c>
      <c r="D2570" t="s">
        <v>6567</v>
      </c>
      <c r="E2570" t="s">
        <v>6568</v>
      </c>
      <c r="F2570" t="s">
        <v>97</v>
      </c>
      <c r="G2570" s="1">
        <v>26881</v>
      </c>
      <c r="H2570" s="1">
        <v>40420</v>
      </c>
      <c r="I2570" t="str">
        <f t="shared" si="51"/>
        <v>51</v>
      </c>
      <c r="J2570" t="s">
        <v>471</v>
      </c>
      <c r="K2570" t="s">
        <v>25</v>
      </c>
      <c r="L2570" t="s">
        <v>26</v>
      </c>
      <c r="M2570" t="s">
        <v>27</v>
      </c>
      <c r="N2570" s="1">
        <v>18629</v>
      </c>
      <c r="O2570">
        <v>0</v>
      </c>
      <c r="P2570">
        <v>0</v>
      </c>
      <c r="Q2570" t="s">
        <v>37</v>
      </c>
      <c r="R2570" t="s">
        <v>71</v>
      </c>
      <c r="S2570" t="s">
        <v>2406</v>
      </c>
      <c r="T2570" t="s">
        <v>2407</v>
      </c>
    </row>
    <row r="2571" spans="1:20" x14ac:dyDescent="0.25">
      <c r="A2571" t="s">
        <v>6569</v>
      </c>
      <c r="B2571" t="str">
        <f>"5410"</f>
        <v>5410</v>
      </c>
      <c r="C2571" t="str">
        <f>"271885410"</f>
        <v>271885410</v>
      </c>
      <c r="D2571" t="s">
        <v>6570</v>
      </c>
      <c r="E2571" t="s">
        <v>48</v>
      </c>
      <c r="F2571" t="s">
        <v>28</v>
      </c>
      <c r="G2571" s="1">
        <v>27405</v>
      </c>
      <c r="H2571" s="1">
        <v>40420</v>
      </c>
      <c r="I2571" t="str">
        <f t="shared" si="51"/>
        <v>51</v>
      </c>
      <c r="J2571" t="s">
        <v>471</v>
      </c>
      <c r="K2571" t="s">
        <v>25</v>
      </c>
      <c r="L2571" t="s">
        <v>26</v>
      </c>
      <c r="M2571" t="s">
        <v>27</v>
      </c>
      <c r="N2571" s="1">
        <v>18629</v>
      </c>
      <c r="O2571">
        <v>0</v>
      </c>
      <c r="P2571">
        <v>0</v>
      </c>
      <c r="Q2571" t="s">
        <v>37</v>
      </c>
      <c r="R2571" t="s">
        <v>71</v>
      </c>
      <c r="S2571" t="s">
        <v>4792</v>
      </c>
      <c r="T2571" t="s">
        <v>4793</v>
      </c>
    </row>
    <row r="2572" spans="1:20" x14ac:dyDescent="0.25">
      <c r="A2572" t="s">
        <v>6571</v>
      </c>
      <c r="B2572" t="str">
        <f>"0758"</f>
        <v>0758</v>
      </c>
      <c r="C2572" t="str">
        <f>"269700758"</f>
        <v>269700758</v>
      </c>
      <c r="D2572" t="s">
        <v>6572</v>
      </c>
      <c r="E2572" t="s">
        <v>6021</v>
      </c>
      <c r="F2572" t="s">
        <v>44</v>
      </c>
      <c r="G2572" s="1">
        <v>23307</v>
      </c>
      <c r="H2572" s="1">
        <v>40420</v>
      </c>
      <c r="I2572" t="str">
        <f t="shared" si="51"/>
        <v>51</v>
      </c>
      <c r="J2572" t="s">
        <v>471</v>
      </c>
      <c r="K2572" t="s">
        <v>25</v>
      </c>
      <c r="L2572" t="s">
        <v>26</v>
      </c>
      <c r="M2572" t="s">
        <v>27</v>
      </c>
      <c r="N2572" s="1">
        <v>18629</v>
      </c>
      <c r="O2572">
        <v>0</v>
      </c>
      <c r="P2572">
        <v>0</v>
      </c>
      <c r="Q2572" t="s">
        <v>28</v>
      </c>
      <c r="R2572" t="s">
        <v>29</v>
      </c>
      <c r="S2572" t="s">
        <v>589</v>
      </c>
      <c r="T2572" t="s">
        <v>590</v>
      </c>
    </row>
    <row r="2573" spans="1:20" x14ac:dyDescent="0.25">
      <c r="A2573" t="s">
        <v>6573</v>
      </c>
      <c r="B2573" t="str">
        <f>"4189"</f>
        <v>4189</v>
      </c>
      <c r="C2573" t="str">
        <f>"297764189"</f>
        <v>297764189</v>
      </c>
      <c r="D2573" t="s">
        <v>6574</v>
      </c>
      <c r="E2573" t="s">
        <v>649</v>
      </c>
      <c r="G2573" s="1">
        <v>24491</v>
      </c>
      <c r="H2573" s="1">
        <v>40420</v>
      </c>
      <c r="I2573" t="str">
        <f t="shared" si="51"/>
        <v>51</v>
      </c>
      <c r="J2573" t="s">
        <v>471</v>
      </c>
      <c r="K2573" t="s">
        <v>25</v>
      </c>
      <c r="L2573" t="s">
        <v>26</v>
      </c>
      <c r="M2573" t="s">
        <v>27</v>
      </c>
      <c r="N2573" s="1">
        <v>18629</v>
      </c>
      <c r="O2573">
        <v>0</v>
      </c>
      <c r="P2573">
        <v>0</v>
      </c>
      <c r="Q2573" t="s">
        <v>28</v>
      </c>
      <c r="R2573" t="s">
        <v>51</v>
      </c>
      <c r="S2573" s="2" t="s">
        <v>6575</v>
      </c>
      <c r="T2573" t="s">
        <v>6576</v>
      </c>
    </row>
    <row r="2574" spans="1:20" x14ac:dyDescent="0.25">
      <c r="A2574" t="s">
        <v>6577</v>
      </c>
      <c r="B2574" t="str">
        <f>"0914"</f>
        <v>0914</v>
      </c>
      <c r="C2574" t="str">
        <f>"277780914"</f>
        <v>277780914</v>
      </c>
      <c r="D2574" t="s">
        <v>6578</v>
      </c>
      <c r="E2574" t="s">
        <v>933</v>
      </c>
      <c r="G2574" s="1">
        <v>23318</v>
      </c>
      <c r="H2574" s="1">
        <v>40420</v>
      </c>
      <c r="I2574" t="str">
        <f t="shared" si="51"/>
        <v>51</v>
      </c>
      <c r="J2574" t="s">
        <v>471</v>
      </c>
      <c r="K2574" t="s">
        <v>25</v>
      </c>
      <c r="L2574" t="s">
        <v>26</v>
      </c>
      <c r="M2574" t="s">
        <v>27</v>
      </c>
      <c r="N2574" s="1">
        <v>18629</v>
      </c>
      <c r="O2574">
        <v>0</v>
      </c>
      <c r="P2574">
        <v>0</v>
      </c>
      <c r="Q2574" t="s">
        <v>28</v>
      </c>
      <c r="R2574" t="s">
        <v>71</v>
      </c>
      <c r="S2574" t="s">
        <v>157</v>
      </c>
      <c r="T2574" t="s">
        <v>158</v>
      </c>
    </row>
    <row r="2575" spans="1:20" x14ac:dyDescent="0.25">
      <c r="A2575" t="s">
        <v>6579</v>
      </c>
      <c r="B2575" t="str">
        <f>"9801"</f>
        <v>9801</v>
      </c>
      <c r="C2575" t="str">
        <f>"286589801"</f>
        <v>286589801</v>
      </c>
      <c r="D2575" t="s">
        <v>6580</v>
      </c>
      <c r="E2575" t="s">
        <v>322</v>
      </c>
      <c r="F2575" t="s">
        <v>28</v>
      </c>
      <c r="G2575" s="1">
        <v>26151</v>
      </c>
      <c r="H2575" s="1">
        <v>40420</v>
      </c>
      <c r="I2575" t="str">
        <f>"33"</f>
        <v>33</v>
      </c>
      <c r="J2575" t="s">
        <v>45</v>
      </c>
      <c r="K2575" t="s">
        <v>25</v>
      </c>
      <c r="L2575" t="s">
        <v>26</v>
      </c>
      <c r="M2575" t="s">
        <v>27</v>
      </c>
      <c r="N2575" s="1">
        <v>18629</v>
      </c>
      <c r="O2575">
        <v>0</v>
      </c>
      <c r="P2575">
        <v>0</v>
      </c>
      <c r="Q2575" t="s">
        <v>37</v>
      </c>
      <c r="R2575" t="s">
        <v>51</v>
      </c>
      <c r="S2575" s="2" t="s">
        <v>1568</v>
      </c>
      <c r="T2575" t="s">
        <v>1569</v>
      </c>
    </row>
    <row r="2576" spans="1:20" x14ac:dyDescent="0.25">
      <c r="A2576" t="s">
        <v>6581</v>
      </c>
      <c r="B2576" t="str">
        <f>"1426"</f>
        <v>1426</v>
      </c>
      <c r="C2576" t="str">
        <f>"170461426"</f>
        <v>170461426</v>
      </c>
      <c r="D2576" t="s">
        <v>6582</v>
      </c>
      <c r="E2576" t="s">
        <v>381</v>
      </c>
      <c r="G2576" s="1">
        <v>20235</v>
      </c>
      <c r="H2576" s="1">
        <v>40420</v>
      </c>
      <c r="I2576" t="str">
        <f>"51"</f>
        <v>51</v>
      </c>
      <c r="J2576" t="s">
        <v>471</v>
      </c>
      <c r="K2576" t="s">
        <v>25</v>
      </c>
      <c r="L2576" t="s">
        <v>26</v>
      </c>
      <c r="M2576" t="s">
        <v>27</v>
      </c>
      <c r="N2576" s="1">
        <v>18629</v>
      </c>
      <c r="O2576">
        <v>0</v>
      </c>
      <c r="P2576">
        <v>0</v>
      </c>
      <c r="Q2576" t="s">
        <v>37</v>
      </c>
      <c r="R2576" t="s">
        <v>29</v>
      </c>
      <c r="S2576" t="s">
        <v>801</v>
      </c>
      <c r="T2576" t="s">
        <v>802</v>
      </c>
    </row>
    <row r="2577" spans="1:20" x14ac:dyDescent="0.25">
      <c r="A2577" t="s">
        <v>6583</v>
      </c>
      <c r="B2577" t="str">
        <f>"4371"</f>
        <v>4371</v>
      </c>
      <c r="C2577" t="str">
        <f>"282844371"</f>
        <v>282844371</v>
      </c>
      <c r="D2577" t="s">
        <v>6584</v>
      </c>
      <c r="E2577" t="s">
        <v>6585</v>
      </c>
      <c r="F2577" t="s">
        <v>2075</v>
      </c>
      <c r="G2577" s="1">
        <v>29981</v>
      </c>
      <c r="H2577" s="1">
        <v>40420</v>
      </c>
      <c r="I2577" t="str">
        <f>"51"</f>
        <v>51</v>
      </c>
      <c r="J2577" t="s">
        <v>471</v>
      </c>
      <c r="K2577" t="s">
        <v>25</v>
      </c>
      <c r="L2577" t="s">
        <v>26</v>
      </c>
      <c r="M2577" t="s">
        <v>27</v>
      </c>
      <c r="N2577" s="1">
        <v>18629</v>
      </c>
      <c r="O2577">
        <v>0</v>
      </c>
      <c r="P2577">
        <v>0</v>
      </c>
      <c r="Q2577" t="s">
        <v>37</v>
      </c>
      <c r="R2577" t="s">
        <v>51</v>
      </c>
      <c r="S2577" s="2" t="s">
        <v>1568</v>
      </c>
      <c r="T2577" t="s">
        <v>1569</v>
      </c>
    </row>
    <row r="2578" spans="1:20" x14ac:dyDescent="0.25">
      <c r="A2578" t="s">
        <v>6586</v>
      </c>
      <c r="B2578" t="str">
        <f>"4579"</f>
        <v>4579</v>
      </c>
      <c r="C2578" t="str">
        <f>"293704579"</f>
        <v>293704579</v>
      </c>
      <c r="D2578" t="s">
        <v>6587</v>
      </c>
      <c r="E2578" t="s">
        <v>304</v>
      </c>
      <c r="F2578" t="s">
        <v>3412</v>
      </c>
      <c r="G2578" s="1">
        <v>27948</v>
      </c>
      <c r="H2578" s="1">
        <v>40420</v>
      </c>
      <c r="I2578" t="str">
        <f>"51"</f>
        <v>51</v>
      </c>
      <c r="J2578" t="s">
        <v>471</v>
      </c>
      <c r="K2578" t="s">
        <v>25</v>
      </c>
      <c r="L2578" t="s">
        <v>26</v>
      </c>
      <c r="M2578" t="s">
        <v>27</v>
      </c>
      <c r="N2578" s="1">
        <v>18629</v>
      </c>
      <c r="O2578">
        <v>0</v>
      </c>
      <c r="P2578">
        <v>0</v>
      </c>
      <c r="Q2578" t="s">
        <v>28</v>
      </c>
      <c r="R2578" t="s">
        <v>71</v>
      </c>
      <c r="S2578" t="s">
        <v>871</v>
      </c>
      <c r="T2578" t="s">
        <v>872</v>
      </c>
    </row>
    <row r="2579" spans="1:20" x14ac:dyDescent="0.25">
      <c r="A2579" t="s">
        <v>6588</v>
      </c>
      <c r="B2579" t="str">
        <f>"7135"</f>
        <v>7135</v>
      </c>
      <c r="C2579" t="str">
        <f>"272387135"</f>
        <v>272387135</v>
      </c>
      <c r="D2579" t="s">
        <v>6589</v>
      </c>
      <c r="E2579" t="s">
        <v>2290</v>
      </c>
      <c r="F2579" t="s">
        <v>219</v>
      </c>
      <c r="G2579" s="1">
        <v>15201</v>
      </c>
      <c r="H2579" s="1">
        <v>40420</v>
      </c>
      <c r="I2579" t="str">
        <f>"51"</f>
        <v>51</v>
      </c>
      <c r="J2579" t="s">
        <v>471</v>
      </c>
      <c r="K2579" t="s">
        <v>25</v>
      </c>
      <c r="L2579" t="s">
        <v>26</v>
      </c>
      <c r="M2579" t="s">
        <v>27</v>
      </c>
      <c r="N2579" s="1">
        <v>18629</v>
      </c>
      <c r="O2579">
        <v>0</v>
      </c>
      <c r="P2579">
        <v>0</v>
      </c>
      <c r="Q2579" t="s">
        <v>28</v>
      </c>
      <c r="R2579" t="s">
        <v>71</v>
      </c>
      <c r="S2579" t="s">
        <v>790</v>
      </c>
      <c r="T2579" t="s">
        <v>791</v>
      </c>
    </row>
    <row r="2580" spans="1:20" x14ac:dyDescent="0.25">
      <c r="A2580" t="s">
        <v>6590</v>
      </c>
      <c r="B2580" t="str">
        <f>"2183"</f>
        <v>2183</v>
      </c>
      <c r="C2580" t="str">
        <f>"285802183"</f>
        <v>285802183</v>
      </c>
      <c r="D2580" t="s">
        <v>6591</v>
      </c>
      <c r="E2580" t="s">
        <v>639</v>
      </c>
      <c r="F2580" t="s">
        <v>69</v>
      </c>
      <c r="G2580" s="1">
        <v>28636</v>
      </c>
      <c r="H2580" s="1">
        <v>40420</v>
      </c>
      <c r="I2580" t="str">
        <f>"51"</f>
        <v>51</v>
      </c>
      <c r="J2580" t="s">
        <v>471</v>
      </c>
      <c r="K2580" t="s">
        <v>25</v>
      </c>
      <c r="L2580" t="s">
        <v>26</v>
      </c>
      <c r="M2580" t="s">
        <v>27</v>
      </c>
      <c r="N2580" s="1">
        <v>18629</v>
      </c>
      <c r="O2580">
        <v>0</v>
      </c>
      <c r="P2580">
        <v>0</v>
      </c>
      <c r="Q2580" t="s">
        <v>37</v>
      </c>
      <c r="R2580" t="s">
        <v>51</v>
      </c>
      <c r="S2580" s="2" t="s">
        <v>1656</v>
      </c>
      <c r="T2580" t="s">
        <v>1657</v>
      </c>
    </row>
    <row r="2581" spans="1:20" x14ac:dyDescent="0.25">
      <c r="A2581" t="s">
        <v>6592</v>
      </c>
      <c r="B2581" t="str">
        <f>"4642"</f>
        <v>4642</v>
      </c>
      <c r="C2581" t="str">
        <f>"288864642"</f>
        <v>288864642</v>
      </c>
      <c r="D2581" t="s">
        <v>6593</v>
      </c>
      <c r="E2581" t="s">
        <v>499</v>
      </c>
      <c r="F2581" t="s">
        <v>6594</v>
      </c>
      <c r="G2581" s="1">
        <v>28252</v>
      </c>
      <c r="H2581" s="1">
        <v>40420</v>
      </c>
      <c r="I2581" t="str">
        <f>"41"</f>
        <v>41</v>
      </c>
      <c r="J2581" t="s">
        <v>24</v>
      </c>
      <c r="K2581" t="s">
        <v>25</v>
      </c>
      <c r="L2581" t="s">
        <v>26</v>
      </c>
      <c r="M2581" t="s">
        <v>27</v>
      </c>
      <c r="N2581" s="1">
        <v>18629</v>
      </c>
      <c r="O2581">
        <v>0</v>
      </c>
      <c r="P2581">
        <v>0</v>
      </c>
      <c r="Q2581" t="s">
        <v>28</v>
      </c>
      <c r="R2581" t="s">
        <v>71</v>
      </c>
      <c r="S2581" t="s">
        <v>3003</v>
      </c>
      <c r="T2581" t="s">
        <v>3004</v>
      </c>
    </row>
    <row r="2582" spans="1:20" x14ac:dyDescent="0.25">
      <c r="A2582" t="s">
        <v>6595</v>
      </c>
      <c r="B2582" t="str">
        <f>"3920"</f>
        <v>3920</v>
      </c>
      <c r="C2582" t="str">
        <f>"301703920"</f>
        <v>301703920</v>
      </c>
      <c r="D2582" t="s">
        <v>2440</v>
      </c>
      <c r="E2582" t="s">
        <v>6596</v>
      </c>
      <c r="F2582" t="s">
        <v>69</v>
      </c>
      <c r="G2582" s="1">
        <v>25958</v>
      </c>
      <c r="H2582" s="1">
        <v>40420</v>
      </c>
      <c r="I2582" t="str">
        <f>"51"</f>
        <v>51</v>
      </c>
      <c r="J2582" t="s">
        <v>471</v>
      </c>
      <c r="K2582" t="s">
        <v>25</v>
      </c>
      <c r="L2582" t="s">
        <v>26</v>
      </c>
      <c r="M2582" t="s">
        <v>27</v>
      </c>
      <c r="N2582" s="1">
        <v>18629</v>
      </c>
      <c r="O2582">
        <v>0</v>
      </c>
      <c r="P2582">
        <v>0</v>
      </c>
      <c r="Q2582" t="s">
        <v>37</v>
      </c>
      <c r="R2582" t="s">
        <v>29</v>
      </c>
      <c r="S2582" t="s">
        <v>138</v>
      </c>
      <c r="T2582" t="s">
        <v>139</v>
      </c>
    </row>
    <row r="2583" spans="1:20" x14ac:dyDescent="0.25">
      <c r="A2583" t="s">
        <v>6597</v>
      </c>
      <c r="B2583" t="str">
        <f>"3247"</f>
        <v>3247</v>
      </c>
      <c r="C2583" t="str">
        <f>"233863247"</f>
        <v>233863247</v>
      </c>
      <c r="D2583" t="s">
        <v>1279</v>
      </c>
      <c r="E2583" t="s">
        <v>6598</v>
      </c>
      <c r="F2583" t="s">
        <v>1970</v>
      </c>
      <c r="G2583" s="1">
        <v>24036</v>
      </c>
      <c r="H2583" s="1">
        <v>40420</v>
      </c>
      <c r="I2583" t="str">
        <f>"51"</f>
        <v>51</v>
      </c>
      <c r="J2583" t="s">
        <v>471</v>
      </c>
      <c r="K2583" t="s">
        <v>25</v>
      </c>
      <c r="L2583" t="s">
        <v>26</v>
      </c>
      <c r="M2583" t="s">
        <v>27</v>
      </c>
      <c r="N2583" s="1">
        <v>18629</v>
      </c>
      <c r="O2583">
        <v>0</v>
      </c>
      <c r="P2583">
        <v>0</v>
      </c>
      <c r="Q2583" t="s">
        <v>37</v>
      </c>
      <c r="R2583" t="s">
        <v>29</v>
      </c>
      <c r="S2583" t="s">
        <v>1494</v>
      </c>
      <c r="T2583" t="s">
        <v>1495</v>
      </c>
    </row>
    <row r="2584" spans="1:20" x14ac:dyDescent="0.25">
      <c r="A2584" t="s">
        <v>6599</v>
      </c>
      <c r="B2584" t="str">
        <f>"0394"</f>
        <v>0394</v>
      </c>
      <c r="C2584" t="str">
        <f>"274580394"</f>
        <v>274580394</v>
      </c>
      <c r="D2584" t="s">
        <v>6600</v>
      </c>
      <c r="E2584" t="s">
        <v>1248</v>
      </c>
      <c r="F2584" t="s">
        <v>28</v>
      </c>
      <c r="G2584" s="1">
        <v>20124</v>
      </c>
      <c r="H2584" s="1">
        <v>40420</v>
      </c>
      <c r="I2584" t="str">
        <f>"51"</f>
        <v>51</v>
      </c>
      <c r="J2584" t="s">
        <v>471</v>
      </c>
      <c r="K2584" t="s">
        <v>25</v>
      </c>
      <c r="L2584" t="s">
        <v>26</v>
      </c>
      <c r="M2584" t="s">
        <v>27</v>
      </c>
      <c r="N2584" s="1">
        <v>18629</v>
      </c>
      <c r="O2584">
        <v>0</v>
      </c>
      <c r="P2584">
        <v>0</v>
      </c>
      <c r="Q2584" t="s">
        <v>37</v>
      </c>
      <c r="R2584" t="s">
        <v>29</v>
      </c>
      <c r="S2584" t="s">
        <v>138</v>
      </c>
      <c r="T2584" t="s">
        <v>139</v>
      </c>
    </row>
    <row r="2585" spans="1:20" x14ac:dyDescent="0.25">
      <c r="A2585" t="s">
        <v>6601</v>
      </c>
      <c r="B2585" t="str">
        <f>"1201"</f>
        <v>1201</v>
      </c>
      <c r="C2585" t="str">
        <f>"281761201"</f>
        <v>281761201</v>
      </c>
      <c r="D2585" t="s">
        <v>6602</v>
      </c>
      <c r="E2585" t="s">
        <v>470</v>
      </c>
      <c r="G2585" s="1">
        <v>19937</v>
      </c>
      <c r="H2585" s="1">
        <v>40420</v>
      </c>
      <c r="I2585" t="str">
        <f>"52"</f>
        <v>52</v>
      </c>
      <c r="J2585" t="s">
        <v>330</v>
      </c>
      <c r="K2585" t="s">
        <v>25</v>
      </c>
      <c r="L2585" t="s">
        <v>26</v>
      </c>
      <c r="M2585" t="s">
        <v>27</v>
      </c>
      <c r="N2585" s="1">
        <v>18629</v>
      </c>
      <c r="O2585">
        <v>0</v>
      </c>
      <c r="P2585">
        <v>0</v>
      </c>
      <c r="Q2585" t="s">
        <v>28</v>
      </c>
      <c r="R2585" t="s">
        <v>29</v>
      </c>
      <c r="S2585" t="s">
        <v>1761</v>
      </c>
      <c r="T2585" t="s">
        <v>1762</v>
      </c>
    </row>
    <row r="2586" spans="1:20" x14ac:dyDescent="0.25">
      <c r="A2586" t="s">
        <v>6603</v>
      </c>
      <c r="B2586" t="str">
        <f>"8723"</f>
        <v>8723</v>
      </c>
      <c r="C2586" t="str">
        <f>"297568723"</f>
        <v>297568723</v>
      </c>
      <c r="D2586" t="s">
        <v>6604</v>
      </c>
      <c r="E2586" t="s">
        <v>6605</v>
      </c>
      <c r="G2586" s="1">
        <v>20454</v>
      </c>
      <c r="H2586" s="1">
        <v>40420</v>
      </c>
      <c r="I2586" t="str">
        <f>"51"</f>
        <v>51</v>
      </c>
      <c r="J2586" t="s">
        <v>471</v>
      </c>
      <c r="K2586" t="s">
        <v>25</v>
      </c>
      <c r="L2586" t="s">
        <v>26</v>
      </c>
      <c r="M2586" t="s">
        <v>27</v>
      </c>
      <c r="N2586" s="1">
        <v>18629</v>
      </c>
      <c r="O2586">
        <v>0</v>
      </c>
      <c r="P2586">
        <v>0</v>
      </c>
      <c r="Q2586" t="s">
        <v>37</v>
      </c>
      <c r="R2586" t="s">
        <v>29</v>
      </c>
      <c r="S2586" t="s">
        <v>1160</v>
      </c>
      <c r="T2586" t="s">
        <v>1161</v>
      </c>
    </row>
    <row r="2587" spans="1:20" x14ac:dyDescent="0.25">
      <c r="A2587" t="s">
        <v>6606</v>
      </c>
      <c r="B2587" t="str">
        <f>"4908"</f>
        <v>4908</v>
      </c>
      <c r="C2587" t="str">
        <f>"300724908"</f>
        <v>300724908</v>
      </c>
      <c r="D2587" t="s">
        <v>6607</v>
      </c>
      <c r="E2587" t="s">
        <v>6608</v>
      </c>
      <c r="G2587" s="1">
        <v>28570</v>
      </c>
      <c r="H2587" s="1">
        <v>40420</v>
      </c>
      <c r="I2587" t="str">
        <f>"51"</f>
        <v>51</v>
      </c>
      <c r="J2587" t="s">
        <v>471</v>
      </c>
      <c r="K2587" t="s">
        <v>25</v>
      </c>
      <c r="L2587" t="s">
        <v>26</v>
      </c>
      <c r="M2587" t="s">
        <v>27</v>
      </c>
      <c r="N2587" s="1">
        <v>18629</v>
      </c>
      <c r="O2587">
        <v>0</v>
      </c>
      <c r="P2587">
        <v>0</v>
      </c>
      <c r="Q2587" t="s">
        <v>37</v>
      </c>
      <c r="R2587" t="s">
        <v>71</v>
      </c>
      <c r="S2587" t="s">
        <v>1547</v>
      </c>
      <c r="T2587" t="s">
        <v>1548</v>
      </c>
    </row>
    <row r="2588" spans="1:20" x14ac:dyDescent="0.25">
      <c r="A2588" t="s">
        <v>6609</v>
      </c>
      <c r="B2588" t="str">
        <f>"4872"</f>
        <v>4872</v>
      </c>
      <c r="C2588" t="str">
        <f>"269684872"</f>
        <v>269684872</v>
      </c>
      <c r="D2588" t="s">
        <v>4641</v>
      </c>
      <c r="E2588" t="s">
        <v>667</v>
      </c>
      <c r="F2588" t="s">
        <v>93</v>
      </c>
      <c r="G2588" s="1">
        <v>25539</v>
      </c>
      <c r="H2588" s="1">
        <v>40420</v>
      </c>
      <c r="I2588" t="str">
        <f>"50"</f>
        <v>50</v>
      </c>
      <c r="J2588" t="s">
        <v>208</v>
      </c>
      <c r="K2588" t="s">
        <v>25</v>
      </c>
      <c r="L2588" t="s">
        <v>26</v>
      </c>
      <c r="M2588" t="s">
        <v>27</v>
      </c>
      <c r="N2588" s="1">
        <v>18629</v>
      </c>
      <c r="O2588">
        <v>0</v>
      </c>
      <c r="P2588">
        <v>0</v>
      </c>
      <c r="Q2588" t="s">
        <v>28</v>
      </c>
      <c r="R2588" t="s">
        <v>29</v>
      </c>
      <c r="S2588" t="s">
        <v>3671</v>
      </c>
      <c r="T2588" t="s">
        <v>3672</v>
      </c>
    </row>
    <row r="2589" spans="1:20" x14ac:dyDescent="0.25">
      <c r="A2589" t="s">
        <v>6610</v>
      </c>
      <c r="B2589" t="str">
        <f>"8133"</f>
        <v>8133</v>
      </c>
      <c r="C2589" t="str">
        <f>"270728133"</f>
        <v>270728133</v>
      </c>
      <c r="D2589" t="s">
        <v>6611</v>
      </c>
      <c r="E2589" t="s">
        <v>2060</v>
      </c>
      <c r="F2589" t="s">
        <v>69</v>
      </c>
      <c r="G2589" s="1">
        <v>27785</v>
      </c>
      <c r="H2589" s="1">
        <v>40420</v>
      </c>
      <c r="I2589" t="str">
        <f>"41"</f>
        <v>41</v>
      </c>
      <c r="J2589" t="s">
        <v>24</v>
      </c>
      <c r="K2589" t="s">
        <v>25</v>
      </c>
      <c r="L2589" t="s">
        <v>26</v>
      </c>
      <c r="M2589" t="s">
        <v>27</v>
      </c>
      <c r="N2589" s="1">
        <v>18629</v>
      </c>
      <c r="O2589">
        <v>0</v>
      </c>
      <c r="P2589">
        <v>0</v>
      </c>
      <c r="Q2589" t="s">
        <v>28</v>
      </c>
      <c r="R2589" t="s">
        <v>71</v>
      </c>
      <c r="S2589" t="s">
        <v>4743</v>
      </c>
      <c r="T2589" t="s">
        <v>4744</v>
      </c>
    </row>
    <row r="2590" spans="1:20" x14ac:dyDescent="0.25">
      <c r="A2590" t="s">
        <v>6612</v>
      </c>
      <c r="B2590" t="str">
        <f>"3093"</f>
        <v>3093</v>
      </c>
      <c r="C2590" t="str">
        <f>"225703093"</f>
        <v>225703093</v>
      </c>
      <c r="D2590" t="s">
        <v>6613</v>
      </c>
      <c r="E2590" t="s">
        <v>322</v>
      </c>
      <c r="F2590" t="s">
        <v>44</v>
      </c>
      <c r="G2590" s="1">
        <v>17763</v>
      </c>
      <c r="H2590" s="1">
        <v>40420</v>
      </c>
      <c r="I2590" t="str">
        <f t="shared" ref="I2590:I2595" si="52">"51"</f>
        <v>51</v>
      </c>
      <c r="J2590" t="s">
        <v>471</v>
      </c>
      <c r="K2590" t="s">
        <v>25</v>
      </c>
      <c r="L2590" t="s">
        <v>26</v>
      </c>
      <c r="M2590" t="s">
        <v>27</v>
      </c>
      <c r="N2590" s="1">
        <v>18629</v>
      </c>
      <c r="O2590">
        <v>0</v>
      </c>
      <c r="P2590">
        <v>0</v>
      </c>
      <c r="Q2590" t="s">
        <v>37</v>
      </c>
      <c r="R2590" t="s">
        <v>29</v>
      </c>
      <c r="S2590" t="s">
        <v>6614</v>
      </c>
      <c r="T2590" t="s">
        <v>6615</v>
      </c>
    </row>
    <row r="2591" spans="1:20" x14ac:dyDescent="0.25">
      <c r="A2591" t="s">
        <v>6616</v>
      </c>
      <c r="B2591" t="str">
        <f>"7977"</f>
        <v>7977</v>
      </c>
      <c r="C2591" t="str">
        <f>"367487977"</f>
        <v>367487977</v>
      </c>
      <c r="D2591" t="s">
        <v>6617</v>
      </c>
      <c r="E2591" t="s">
        <v>6618</v>
      </c>
      <c r="F2591" t="s">
        <v>26</v>
      </c>
      <c r="G2591" s="1">
        <v>19560</v>
      </c>
      <c r="H2591" s="1">
        <v>40420</v>
      </c>
      <c r="I2591" t="str">
        <f t="shared" si="52"/>
        <v>51</v>
      </c>
      <c r="J2591" t="s">
        <v>471</v>
      </c>
      <c r="K2591" t="s">
        <v>25</v>
      </c>
      <c r="L2591" t="s">
        <v>26</v>
      </c>
      <c r="M2591" t="s">
        <v>27</v>
      </c>
      <c r="N2591" s="1">
        <v>18629</v>
      </c>
      <c r="O2591">
        <v>0</v>
      </c>
      <c r="P2591">
        <v>0</v>
      </c>
      <c r="Q2591" t="s">
        <v>28</v>
      </c>
      <c r="R2591" t="s">
        <v>51</v>
      </c>
      <c r="S2591" s="2" t="s">
        <v>5804</v>
      </c>
      <c r="T2591" t="s">
        <v>5805</v>
      </c>
    </row>
    <row r="2592" spans="1:20" x14ac:dyDescent="0.25">
      <c r="A2592" t="s">
        <v>6619</v>
      </c>
      <c r="B2592" t="str">
        <f>"0436"</f>
        <v>0436</v>
      </c>
      <c r="C2592" t="str">
        <f>"278780436"</f>
        <v>278780436</v>
      </c>
      <c r="D2592" t="s">
        <v>6620</v>
      </c>
      <c r="E2592" t="s">
        <v>2126</v>
      </c>
      <c r="F2592" t="s">
        <v>256</v>
      </c>
      <c r="G2592" s="1">
        <v>29739</v>
      </c>
      <c r="H2592" s="1">
        <v>40420</v>
      </c>
      <c r="I2592" t="str">
        <f t="shared" si="52"/>
        <v>51</v>
      </c>
      <c r="J2592" t="s">
        <v>471</v>
      </c>
      <c r="K2592" t="s">
        <v>25</v>
      </c>
      <c r="L2592" t="s">
        <v>26</v>
      </c>
      <c r="M2592" t="s">
        <v>27</v>
      </c>
      <c r="N2592" s="1">
        <v>18629</v>
      </c>
      <c r="O2592">
        <v>0</v>
      </c>
      <c r="P2592">
        <v>0</v>
      </c>
      <c r="Q2592" t="s">
        <v>37</v>
      </c>
      <c r="R2592" t="s">
        <v>29</v>
      </c>
      <c r="S2592" t="s">
        <v>5366</v>
      </c>
      <c r="T2592" t="s">
        <v>5367</v>
      </c>
    </row>
    <row r="2593" spans="1:20" x14ac:dyDescent="0.25">
      <c r="A2593" t="s">
        <v>6621</v>
      </c>
      <c r="B2593" t="str">
        <f>"3180"</f>
        <v>3180</v>
      </c>
      <c r="C2593" t="str">
        <f>"269563180"</f>
        <v>269563180</v>
      </c>
      <c r="D2593" t="s">
        <v>3800</v>
      </c>
      <c r="E2593" t="s">
        <v>1363</v>
      </c>
      <c r="G2593" s="1">
        <v>20164</v>
      </c>
      <c r="H2593" s="1">
        <v>40420</v>
      </c>
      <c r="I2593" t="str">
        <f t="shared" si="52"/>
        <v>51</v>
      </c>
      <c r="J2593" t="s">
        <v>471</v>
      </c>
      <c r="K2593" t="s">
        <v>25</v>
      </c>
      <c r="L2593" t="s">
        <v>26</v>
      </c>
      <c r="M2593" t="s">
        <v>27</v>
      </c>
      <c r="N2593" s="1">
        <v>18629</v>
      </c>
      <c r="O2593">
        <v>0</v>
      </c>
      <c r="P2593">
        <v>0</v>
      </c>
      <c r="Q2593" t="s">
        <v>37</v>
      </c>
      <c r="R2593" t="s">
        <v>29</v>
      </c>
      <c r="S2593" t="s">
        <v>138</v>
      </c>
      <c r="T2593" t="s">
        <v>139</v>
      </c>
    </row>
    <row r="2594" spans="1:20" x14ac:dyDescent="0.25">
      <c r="A2594" t="s">
        <v>6622</v>
      </c>
      <c r="B2594" t="str">
        <f>"5485"</f>
        <v>5485</v>
      </c>
      <c r="C2594" t="str">
        <f>"605375485"</f>
        <v>605375485</v>
      </c>
      <c r="D2594" t="s">
        <v>470</v>
      </c>
      <c r="E2594" t="s">
        <v>6623</v>
      </c>
      <c r="G2594" s="1">
        <v>30727</v>
      </c>
      <c r="H2594" s="1">
        <v>40420</v>
      </c>
      <c r="I2594" t="str">
        <f t="shared" si="52"/>
        <v>51</v>
      </c>
      <c r="J2594" t="s">
        <v>471</v>
      </c>
      <c r="K2594" t="s">
        <v>25</v>
      </c>
      <c r="L2594" t="s">
        <v>26</v>
      </c>
      <c r="M2594" t="s">
        <v>27</v>
      </c>
      <c r="N2594" s="1">
        <v>18629</v>
      </c>
      <c r="O2594">
        <v>0</v>
      </c>
      <c r="P2594">
        <v>0</v>
      </c>
      <c r="Q2594" t="s">
        <v>37</v>
      </c>
      <c r="R2594" t="s">
        <v>71</v>
      </c>
      <c r="S2594" t="s">
        <v>1547</v>
      </c>
      <c r="T2594" t="s">
        <v>1548</v>
      </c>
    </row>
    <row r="2595" spans="1:20" x14ac:dyDescent="0.25">
      <c r="A2595" t="s">
        <v>6624</v>
      </c>
      <c r="B2595" t="str">
        <f>"6022"</f>
        <v>6022</v>
      </c>
      <c r="C2595" t="str">
        <f>"290886022"</f>
        <v>290886022</v>
      </c>
      <c r="D2595" t="s">
        <v>6625</v>
      </c>
      <c r="E2595" t="s">
        <v>6626</v>
      </c>
      <c r="F2595" t="s">
        <v>28</v>
      </c>
      <c r="G2595" s="1">
        <v>30450</v>
      </c>
      <c r="H2595" s="1">
        <v>40420</v>
      </c>
      <c r="I2595" t="str">
        <f t="shared" si="52"/>
        <v>51</v>
      </c>
      <c r="J2595" t="s">
        <v>471</v>
      </c>
      <c r="K2595" t="s">
        <v>25</v>
      </c>
      <c r="L2595" t="s">
        <v>26</v>
      </c>
      <c r="M2595" t="s">
        <v>27</v>
      </c>
      <c r="N2595" s="1">
        <v>18629</v>
      </c>
      <c r="O2595">
        <v>0</v>
      </c>
      <c r="P2595">
        <v>0</v>
      </c>
      <c r="Q2595" t="s">
        <v>37</v>
      </c>
      <c r="R2595" t="s">
        <v>71</v>
      </c>
      <c r="S2595" t="s">
        <v>157</v>
      </c>
      <c r="T2595" t="s">
        <v>158</v>
      </c>
    </row>
    <row r="2596" spans="1:20" x14ac:dyDescent="0.25">
      <c r="A2596" t="s">
        <v>6627</v>
      </c>
      <c r="B2596" t="str">
        <f>"7952"</f>
        <v>7952</v>
      </c>
      <c r="C2596" t="str">
        <f>"277427952"</f>
        <v>277427952</v>
      </c>
      <c r="D2596" t="s">
        <v>6628</v>
      </c>
      <c r="E2596" t="s">
        <v>2537</v>
      </c>
      <c r="F2596" t="s">
        <v>93</v>
      </c>
      <c r="G2596" s="1">
        <v>19517</v>
      </c>
      <c r="H2596" s="1">
        <v>40420</v>
      </c>
      <c r="I2596" t="str">
        <f>"50"</f>
        <v>50</v>
      </c>
      <c r="J2596" t="s">
        <v>208</v>
      </c>
      <c r="K2596" t="s">
        <v>25</v>
      </c>
      <c r="L2596" t="s">
        <v>26</v>
      </c>
      <c r="M2596" t="s">
        <v>27</v>
      </c>
      <c r="N2596" s="1">
        <v>18629</v>
      </c>
      <c r="O2596">
        <v>0</v>
      </c>
      <c r="P2596">
        <v>0</v>
      </c>
      <c r="Q2596" t="s">
        <v>37</v>
      </c>
      <c r="R2596" t="s">
        <v>71</v>
      </c>
      <c r="S2596" t="s">
        <v>1474</v>
      </c>
      <c r="T2596" t="s">
        <v>1475</v>
      </c>
    </row>
    <row r="2597" spans="1:20" x14ac:dyDescent="0.25">
      <c r="A2597" t="s">
        <v>6629</v>
      </c>
      <c r="B2597" t="str">
        <f>"3573"</f>
        <v>3573</v>
      </c>
      <c r="C2597" t="str">
        <f>"445823573"</f>
        <v>445823573</v>
      </c>
      <c r="D2597" t="s">
        <v>3529</v>
      </c>
      <c r="E2597" t="s">
        <v>2476</v>
      </c>
      <c r="G2597" s="1">
        <v>24854</v>
      </c>
      <c r="H2597" s="1">
        <v>40420</v>
      </c>
      <c r="I2597" t="str">
        <f t="shared" ref="I2597:I2612" si="53">"51"</f>
        <v>51</v>
      </c>
      <c r="J2597" t="s">
        <v>471</v>
      </c>
      <c r="K2597" t="s">
        <v>25</v>
      </c>
      <c r="L2597" t="s">
        <v>26</v>
      </c>
      <c r="M2597" t="s">
        <v>27</v>
      </c>
      <c r="N2597" s="1">
        <v>18629</v>
      </c>
      <c r="O2597">
        <v>0</v>
      </c>
      <c r="P2597">
        <v>0</v>
      </c>
      <c r="Q2597" t="s">
        <v>37</v>
      </c>
      <c r="R2597" t="s">
        <v>71</v>
      </c>
      <c r="S2597" t="s">
        <v>2406</v>
      </c>
      <c r="T2597" t="s">
        <v>2407</v>
      </c>
    </row>
    <row r="2598" spans="1:20" x14ac:dyDescent="0.25">
      <c r="A2598" t="s">
        <v>6630</v>
      </c>
      <c r="B2598" t="str">
        <f>"6102"</f>
        <v>6102</v>
      </c>
      <c r="C2598" t="str">
        <f>"296726102"</f>
        <v>296726102</v>
      </c>
      <c r="D2598" t="s">
        <v>6631</v>
      </c>
      <c r="E2598" t="s">
        <v>959</v>
      </c>
      <c r="G2598" s="1">
        <v>28021</v>
      </c>
      <c r="H2598" s="1">
        <v>40420</v>
      </c>
      <c r="I2598" t="str">
        <f t="shared" si="53"/>
        <v>51</v>
      </c>
      <c r="J2598" t="s">
        <v>471</v>
      </c>
      <c r="K2598" t="s">
        <v>25</v>
      </c>
      <c r="L2598" t="s">
        <v>26</v>
      </c>
      <c r="M2598" t="s">
        <v>27</v>
      </c>
      <c r="N2598" s="1">
        <v>18629</v>
      </c>
      <c r="O2598">
        <v>0</v>
      </c>
      <c r="P2598">
        <v>0</v>
      </c>
      <c r="Q2598" t="s">
        <v>28</v>
      </c>
      <c r="R2598" t="s">
        <v>51</v>
      </c>
      <c r="S2598" s="2" t="s">
        <v>2524</v>
      </c>
      <c r="T2598" t="s">
        <v>2525</v>
      </c>
    </row>
    <row r="2599" spans="1:20" x14ac:dyDescent="0.25">
      <c r="A2599" t="s">
        <v>6632</v>
      </c>
      <c r="B2599" t="str">
        <f>"6883"</f>
        <v>6883</v>
      </c>
      <c r="C2599" t="str">
        <f>"298726883"</f>
        <v>298726883</v>
      </c>
      <c r="D2599" t="s">
        <v>6633</v>
      </c>
      <c r="E2599" t="s">
        <v>969</v>
      </c>
      <c r="F2599" t="s">
        <v>93</v>
      </c>
      <c r="G2599" s="1">
        <v>27458</v>
      </c>
      <c r="H2599" s="1">
        <v>40420</v>
      </c>
      <c r="I2599" t="str">
        <f t="shared" si="53"/>
        <v>51</v>
      </c>
      <c r="J2599" t="s">
        <v>471</v>
      </c>
      <c r="K2599" t="s">
        <v>25</v>
      </c>
      <c r="L2599" t="s">
        <v>26</v>
      </c>
      <c r="M2599" t="s">
        <v>27</v>
      </c>
      <c r="N2599" s="1">
        <v>18629</v>
      </c>
      <c r="O2599">
        <v>0</v>
      </c>
      <c r="P2599">
        <v>0</v>
      </c>
      <c r="Q2599" t="s">
        <v>37</v>
      </c>
      <c r="R2599" t="s">
        <v>71</v>
      </c>
      <c r="S2599" t="s">
        <v>2190</v>
      </c>
      <c r="T2599" t="s">
        <v>2191</v>
      </c>
    </row>
    <row r="2600" spans="1:20" x14ac:dyDescent="0.25">
      <c r="A2600" t="s">
        <v>6634</v>
      </c>
      <c r="B2600" t="str">
        <f>"6613"</f>
        <v>6613</v>
      </c>
      <c r="C2600" t="str">
        <f>"276826613"</f>
        <v>276826613</v>
      </c>
      <c r="D2600" t="s">
        <v>6635</v>
      </c>
      <c r="E2600" t="s">
        <v>1248</v>
      </c>
      <c r="F2600" t="s">
        <v>165</v>
      </c>
      <c r="G2600" s="1">
        <v>30656</v>
      </c>
      <c r="H2600" s="1">
        <v>40420</v>
      </c>
      <c r="I2600" t="str">
        <f t="shared" si="53"/>
        <v>51</v>
      </c>
      <c r="J2600" t="s">
        <v>471</v>
      </c>
      <c r="K2600" t="s">
        <v>25</v>
      </c>
      <c r="L2600" t="s">
        <v>26</v>
      </c>
      <c r="M2600" t="s">
        <v>27</v>
      </c>
      <c r="N2600" s="1">
        <v>18629</v>
      </c>
      <c r="O2600">
        <v>0</v>
      </c>
      <c r="P2600">
        <v>0</v>
      </c>
      <c r="Q2600" t="s">
        <v>37</v>
      </c>
      <c r="R2600" t="s">
        <v>51</v>
      </c>
      <c r="S2600" s="2" t="s">
        <v>1568</v>
      </c>
      <c r="T2600" t="s">
        <v>1569</v>
      </c>
    </row>
    <row r="2601" spans="1:20" x14ac:dyDescent="0.25">
      <c r="A2601" t="s">
        <v>6636</v>
      </c>
      <c r="B2601" t="str">
        <f>"3596"</f>
        <v>3596</v>
      </c>
      <c r="C2601" t="str">
        <f>"278503596"</f>
        <v>278503596</v>
      </c>
      <c r="D2601" t="s">
        <v>928</v>
      </c>
      <c r="E2601" t="s">
        <v>6637</v>
      </c>
      <c r="G2601" s="1">
        <v>20470</v>
      </c>
      <c r="H2601" s="1">
        <v>40420</v>
      </c>
      <c r="I2601" t="str">
        <f t="shared" si="53"/>
        <v>51</v>
      </c>
      <c r="J2601" t="s">
        <v>471</v>
      </c>
      <c r="K2601" t="s">
        <v>25</v>
      </c>
      <c r="L2601" t="s">
        <v>26</v>
      </c>
      <c r="M2601" t="s">
        <v>27</v>
      </c>
      <c r="N2601" s="1">
        <v>18629</v>
      </c>
      <c r="O2601">
        <v>0</v>
      </c>
      <c r="P2601">
        <v>0</v>
      </c>
      <c r="Q2601" t="s">
        <v>37</v>
      </c>
      <c r="R2601" t="s">
        <v>71</v>
      </c>
      <c r="S2601" t="s">
        <v>4234</v>
      </c>
      <c r="T2601" t="s">
        <v>4235</v>
      </c>
    </row>
    <row r="2602" spans="1:20" x14ac:dyDescent="0.25">
      <c r="A2602" t="s">
        <v>6638</v>
      </c>
      <c r="B2602" t="str">
        <f>"1237"</f>
        <v>1237</v>
      </c>
      <c r="C2602" t="str">
        <f>"274861237"</f>
        <v>274861237</v>
      </c>
      <c r="D2602" t="s">
        <v>6639</v>
      </c>
      <c r="E2602" t="s">
        <v>445</v>
      </c>
      <c r="F2602" t="s">
        <v>93</v>
      </c>
      <c r="G2602" s="1">
        <v>31598</v>
      </c>
      <c r="H2602" s="1">
        <v>40420</v>
      </c>
      <c r="I2602" t="str">
        <f t="shared" si="53"/>
        <v>51</v>
      </c>
      <c r="J2602" t="s">
        <v>471</v>
      </c>
      <c r="K2602" t="s">
        <v>25</v>
      </c>
      <c r="L2602" t="s">
        <v>26</v>
      </c>
      <c r="M2602" t="s">
        <v>27</v>
      </c>
      <c r="N2602" s="1">
        <v>18629</v>
      </c>
      <c r="O2602">
        <v>0</v>
      </c>
      <c r="P2602">
        <v>0</v>
      </c>
      <c r="Q2602" t="s">
        <v>28</v>
      </c>
      <c r="R2602" t="s">
        <v>51</v>
      </c>
      <c r="S2602" s="2" t="s">
        <v>1148</v>
      </c>
      <c r="T2602" t="s">
        <v>1149</v>
      </c>
    </row>
    <row r="2603" spans="1:20" x14ac:dyDescent="0.25">
      <c r="A2603" t="s">
        <v>6640</v>
      </c>
      <c r="B2603" t="str">
        <f>"8347"</f>
        <v>8347</v>
      </c>
      <c r="C2603" t="str">
        <f>"274768347"</f>
        <v>274768347</v>
      </c>
      <c r="D2603" t="s">
        <v>6641</v>
      </c>
      <c r="E2603" t="s">
        <v>106</v>
      </c>
      <c r="F2603" t="s">
        <v>276</v>
      </c>
      <c r="G2603" s="1">
        <v>17653</v>
      </c>
      <c r="H2603" s="1">
        <v>40420</v>
      </c>
      <c r="I2603" t="str">
        <f t="shared" si="53"/>
        <v>51</v>
      </c>
      <c r="J2603" t="s">
        <v>471</v>
      </c>
      <c r="K2603" t="s">
        <v>25</v>
      </c>
      <c r="L2603" t="s">
        <v>26</v>
      </c>
      <c r="M2603" t="s">
        <v>27</v>
      </c>
      <c r="N2603" s="1">
        <v>18629</v>
      </c>
      <c r="O2603">
        <v>0</v>
      </c>
      <c r="P2603">
        <v>0</v>
      </c>
      <c r="Q2603" t="s">
        <v>28</v>
      </c>
      <c r="R2603" t="s">
        <v>51</v>
      </c>
      <c r="S2603" s="2" t="s">
        <v>4118</v>
      </c>
      <c r="T2603" t="s">
        <v>4119</v>
      </c>
    </row>
    <row r="2604" spans="1:20" x14ac:dyDescent="0.25">
      <c r="A2604" t="s">
        <v>6642</v>
      </c>
      <c r="B2604" t="str">
        <f>"0858"</f>
        <v>0858</v>
      </c>
      <c r="C2604" t="str">
        <f>"365960858"</f>
        <v>365960858</v>
      </c>
      <c r="D2604" t="s">
        <v>6643</v>
      </c>
      <c r="E2604" t="s">
        <v>6644</v>
      </c>
      <c r="F2604" t="s">
        <v>190</v>
      </c>
      <c r="G2604" s="1">
        <v>30371</v>
      </c>
      <c r="H2604" s="1">
        <v>40420</v>
      </c>
      <c r="I2604" t="str">
        <f t="shared" si="53"/>
        <v>51</v>
      </c>
      <c r="J2604" t="s">
        <v>471</v>
      </c>
      <c r="K2604" t="s">
        <v>25</v>
      </c>
      <c r="L2604" t="s">
        <v>26</v>
      </c>
      <c r="M2604" t="s">
        <v>27</v>
      </c>
      <c r="N2604" s="1">
        <v>18629</v>
      </c>
      <c r="O2604">
        <v>0</v>
      </c>
      <c r="P2604">
        <v>0</v>
      </c>
      <c r="Q2604" t="s">
        <v>37</v>
      </c>
      <c r="R2604" t="s">
        <v>71</v>
      </c>
      <c r="S2604" t="s">
        <v>5125</v>
      </c>
      <c r="T2604" t="s">
        <v>5126</v>
      </c>
    </row>
    <row r="2605" spans="1:20" x14ac:dyDescent="0.25">
      <c r="A2605" t="s">
        <v>6645</v>
      </c>
      <c r="B2605" t="str">
        <f>"6453"</f>
        <v>6453</v>
      </c>
      <c r="C2605" t="str">
        <f>"272586453"</f>
        <v>272586453</v>
      </c>
      <c r="D2605" t="s">
        <v>6646</v>
      </c>
      <c r="E2605" t="s">
        <v>944</v>
      </c>
      <c r="F2605" t="s">
        <v>93</v>
      </c>
      <c r="G2605" s="1">
        <v>20573</v>
      </c>
      <c r="H2605" s="1">
        <v>40420</v>
      </c>
      <c r="I2605" t="str">
        <f t="shared" si="53"/>
        <v>51</v>
      </c>
      <c r="J2605" t="s">
        <v>471</v>
      </c>
      <c r="K2605" t="s">
        <v>25</v>
      </c>
      <c r="L2605" t="s">
        <v>26</v>
      </c>
      <c r="M2605" t="s">
        <v>27</v>
      </c>
      <c r="N2605" s="1">
        <v>18629</v>
      </c>
      <c r="O2605">
        <v>0</v>
      </c>
      <c r="P2605">
        <v>0</v>
      </c>
      <c r="Q2605" t="s">
        <v>28</v>
      </c>
      <c r="R2605" t="s">
        <v>71</v>
      </c>
      <c r="S2605" t="s">
        <v>6647</v>
      </c>
      <c r="T2605" t="s">
        <v>6648</v>
      </c>
    </row>
    <row r="2606" spans="1:20" x14ac:dyDescent="0.25">
      <c r="A2606" t="s">
        <v>6649</v>
      </c>
      <c r="B2606" t="str">
        <f>"0716"</f>
        <v>0716</v>
      </c>
      <c r="C2606" t="str">
        <f>"294600716"</f>
        <v>294600716</v>
      </c>
      <c r="D2606" t="s">
        <v>6650</v>
      </c>
      <c r="E2606" t="s">
        <v>255</v>
      </c>
      <c r="F2606" t="s">
        <v>1666</v>
      </c>
      <c r="G2606" s="1">
        <v>27150</v>
      </c>
      <c r="H2606" s="1">
        <v>40420</v>
      </c>
      <c r="I2606" t="str">
        <f t="shared" si="53"/>
        <v>51</v>
      </c>
      <c r="J2606" t="s">
        <v>471</v>
      </c>
      <c r="K2606" t="s">
        <v>25</v>
      </c>
      <c r="L2606" t="s">
        <v>26</v>
      </c>
      <c r="M2606" t="s">
        <v>27</v>
      </c>
      <c r="N2606" s="1">
        <v>18629</v>
      </c>
      <c r="O2606">
        <v>0</v>
      </c>
      <c r="P2606">
        <v>0</v>
      </c>
      <c r="Q2606" t="s">
        <v>37</v>
      </c>
      <c r="R2606" t="s">
        <v>29</v>
      </c>
      <c r="S2606" t="s">
        <v>818</v>
      </c>
      <c r="T2606" t="s">
        <v>819</v>
      </c>
    </row>
    <row r="2607" spans="1:20" x14ac:dyDescent="0.25">
      <c r="A2607" t="s">
        <v>6651</v>
      </c>
      <c r="B2607" t="str">
        <f>"1972"</f>
        <v>1972</v>
      </c>
      <c r="C2607" t="str">
        <f>"138481972"</f>
        <v>138481972</v>
      </c>
      <c r="D2607" t="s">
        <v>6652</v>
      </c>
      <c r="E2607" t="s">
        <v>33</v>
      </c>
      <c r="F2607" t="s">
        <v>463</v>
      </c>
      <c r="G2607" s="1">
        <v>19634</v>
      </c>
      <c r="H2607" s="1">
        <v>40420</v>
      </c>
      <c r="I2607" t="str">
        <f t="shared" si="53"/>
        <v>51</v>
      </c>
      <c r="J2607" t="s">
        <v>471</v>
      </c>
      <c r="K2607" t="s">
        <v>25</v>
      </c>
      <c r="L2607" t="s">
        <v>26</v>
      </c>
      <c r="M2607" t="s">
        <v>27</v>
      </c>
      <c r="N2607" s="1">
        <v>18629</v>
      </c>
      <c r="O2607">
        <v>0</v>
      </c>
      <c r="P2607">
        <v>0</v>
      </c>
      <c r="Q2607" t="s">
        <v>28</v>
      </c>
      <c r="R2607" t="s">
        <v>51</v>
      </c>
      <c r="S2607" s="2" t="s">
        <v>2318</v>
      </c>
      <c r="T2607" t="s">
        <v>2319</v>
      </c>
    </row>
    <row r="2608" spans="1:20" x14ac:dyDescent="0.25">
      <c r="A2608" t="s">
        <v>6653</v>
      </c>
      <c r="B2608" t="str">
        <f>"2870"</f>
        <v>2870</v>
      </c>
      <c r="C2608" t="str">
        <f>"262112870"</f>
        <v>262112870</v>
      </c>
      <c r="D2608" t="s">
        <v>6654</v>
      </c>
      <c r="E2608" t="s">
        <v>724</v>
      </c>
      <c r="F2608" t="s">
        <v>264</v>
      </c>
      <c r="G2608" s="1">
        <v>19709</v>
      </c>
      <c r="H2608" s="1">
        <v>40420</v>
      </c>
      <c r="I2608" t="str">
        <f t="shared" si="53"/>
        <v>51</v>
      </c>
      <c r="J2608" t="s">
        <v>471</v>
      </c>
      <c r="K2608" t="s">
        <v>25</v>
      </c>
      <c r="L2608" t="s">
        <v>26</v>
      </c>
      <c r="M2608" t="s">
        <v>27</v>
      </c>
      <c r="N2608" s="1">
        <v>18629</v>
      </c>
      <c r="O2608">
        <v>0</v>
      </c>
      <c r="P2608">
        <v>0</v>
      </c>
      <c r="Q2608" t="s">
        <v>28</v>
      </c>
      <c r="R2608" t="s">
        <v>71</v>
      </c>
      <c r="S2608" t="s">
        <v>1474</v>
      </c>
      <c r="T2608" t="s">
        <v>1475</v>
      </c>
    </row>
    <row r="2609" spans="1:20" x14ac:dyDescent="0.25">
      <c r="A2609" t="s">
        <v>6655</v>
      </c>
      <c r="B2609" t="str">
        <f>"5030"</f>
        <v>5030</v>
      </c>
      <c r="C2609" t="str">
        <f>"287885030"</f>
        <v>287885030</v>
      </c>
      <c r="D2609" t="s">
        <v>6656</v>
      </c>
      <c r="E2609" t="s">
        <v>6657</v>
      </c>
      <c r="F2609" t="s">
        <v>93</v>
      </c>
      <c r="G2609" s="1">
        <v>30195</v>
      </c>
      <c r="H2609" s="1">
        <v>40420</v>
      </c>
      <c r="I2609" t="str">
        <f t="shared" si="53"/>
        <v>51</v>
      </c>
      <c r="J2609" t="s">
        <v>471</v>
      </c>
      <c r="K2609" t="s">
        <v>25</v>
      </c>
      <c r="L2609" t="s">
        <v>26</v>
      </c>
      <c r="M2609" t="s">
        <v>27</v>
      </c>
      <c r="N2609" s="1">
        <v>18629</v>
      </c>
      <c r="O2609">
        <v>0</v>
      </c>
      <c r="P2609">
        <v>0</v>
      </c>
      <c r="Q2609" t="s">
        <v>37</v>
      </c>
      <c r="R2609" t="s">
        <v>71</v>
      </c>
      <c r="S2609" t="s">
        <v>1517</v>
      </c>
      <c r="T2609" t="s">
        <v>1518</v>
      </c>
    </row>
    <row r="2610" spans="1:20" x14ac:dyDescent="0.25">
      <c r="A2610" t="s">
        <v>6658</v>
      </c>
      <c r="B2610" t="str">
        <f>"8677"</f>
        <v>8677</v>
      </c>
      <c r="C2610" t="str">
        <f>"287768677"</f>
        <v>287768677</v>
      </c>
      <c r="D2610" t="s">
        <v>6659</v>
      </c>
      <c r="E2610" t="s">
        <v>430</v>
      </c>
      <c r="F2610" t="s">
        <v>282</v>
      </c>
      <c r="G2610" s="1">
        <v>29403</v>
      </c>
      <c r="H2610" s="1">
        <v>40420</v>
      </c>
      <c r="I2610" t="str">
        <f t="shared" si="53"/>
        <v>51</v>
      </c>
      <c r="J2610" t="s">
        <v>471</v>
      </c>
      <c r="K2610" t="s">
        <v>25</v>
      </c>
      <c r="L2610" t="s">
        <v>26</v>
      </c>
      <c r="M2610" t="s">
        <v>27</v>
      </c>
      <c r="N2610" s="1">
        <v>18629</v>
      </c>
      <c r="O2610">
        <v>0</v>
      </c>
      <c r="P2610">
        <v>0</v>
      </c>
      <c r="Q2610" t="s">
        <v>28</v>
      </c>
      <c r="R2610" t="s">
        <v>29</v>
      </c>
      <c r="S2610" t="s">
        <v>1160</v>
      </c>
      <c r="T2610" t="s">
        <v>1161</v>
      </c>
    </row>
    <row r="2611" spans="1:20" x14ac:dyDescent="0.25">
      <c r="A2611" t="s">
        <v>6660</v>
      </c>
      <c r="B2611" t="str">
        <f>"6456"</f>
        <v>6456</v>
      </c>
      <c r="C2611" t="str">
        <f>"270646456"</f>
        <v>270646456</v>
      </c>
      <c r="D2611" t="s">
        <v>6661</v>
      </c>
      <c r="E2611" t="s">
        <v>1695</v>
      </c>
      <c r="G2611" s="1">
        <v>22982</v>
      </c>
      <c r="H2611" s="1">
        <v>40420</v>
      </c>
      <c r="I2611" t="str">
        <f t="shared" si="53"/>
        <v>51</v>
      </c>
      <c r="J2611" t="s">
        <v>471</v>
      </c>
      <c r="K2611" t="s">
        <v>25</v>
      </c>
      <c r="L2611" t="s">
        <v>26</v>
      </c>
      <c r="M2611" t="s">
        <v>27</v>
      </c>
      <c r="N2611" s="1">
        <v>18629</v>
      </c>
      <c r="O2611">
        <v>0</v>
      </c>
      <c r="P2611">
        <v>0</v>
      </c>
      <c r="Q2611" t="s">
        <v>37</v>
      </c>
      <c r="R2611" t="s">
        <v>29</v>
      </c>
      <c r="S2611" t="s">
        <v>5340</v>
      </c>
      <c r="T2611" t="s">
        <v>5341</v>
      </c>
    </row>
    <row r="2612" spans="1:20" x14ac:dyDescent="0.25">
      <c r="A2612" t="s">
        <v>6662</v>
      </c>
      <c r="B2612" t="str">
        <f>"2774"</f>
        <v>2774</v>
      </c>
      <c r="C2612" t="str">
        <f>"288462774"</f>
        <v>288462774</v>
      </c>
      <c r="D2612" t="s">
        <v>6663</v>
      </c>
      <c r="E2612" t="s">
        <v>899</v>
      </c>
      <c r="G2612" s="1">
        <v>21016</v>
      </c>
      <c r="H2612" s="1">
        <v>40420</v>
      </c>
      <c r="I2612" t="str">
        <f t="shared" si="53"/>
        <v>51</v>
      </c>
      <c r="J2612" t="s">
        <v>471</v>
      </c>
      <c r="K2612" t="s">
        <v>25</v>
      </c>
      <c r="L2612" t="s">
        <v>26</v>
      </c>
      <c r="M2612" t="s">
        <v>27</v>
      </c>
      <c r="N2612" s="1">
        <v>18629</v>
      </c>
      <c r="O2612">
        <v>0</v>
      </c>
      <c r="P2612">
        <v>0</v>
      </c>
      <c r="Q2612" t="s">
        <v>37</v>
      </c>
      <c r="R2612" t="s">
        <v>71</v>
      </c>
      <c r="S2612" t="s">
        <v>871</v>
      </c>
      <c r="T2612" t="s">
        <v>872</v>
      </c>
    </row>
    <row r="2613" spans="1:20" x14ac:dyDescent="0.25">
      <c r="A2613" t="s">
        <v>6664</v>
      </c>
      <c r="B2613" t="str">
        <f>"8143"</f>
        <v>8143</v>
      </c>
      <c r="C2613" t="str">
        <f>"283688143"</f>
        <v>283688143</v>
      </c>
      <c r="D2613" t="s">
        <v>6665</v>
      </c>
      <c r="E2613" t="s">
        <v>2339</v>
      </c>
      <c r="F2613" t="s">
        <v>44</v>
      </c>
      <c r="G2613" s="1">
        <v>27442</v>
      </c>
      <c r="H2613" s="1">
        <v>40420</v>
      </c>
      <c r="I2613" t="str">
        <f>"08"</f>
        <v>08</v>
      </c>
      <c r="J2613" t="s">
        <v>265</v>
      </c>
      <c r="K2613" t="s">
        <v>98</v>
      </c>
      <c r="L2613" t="s">
        <v>37</v>
      </c>
      <c r="M2613" t="s">
        <v>117</v>
      </c>
      <c r="N2613" s="1">
        <v>41617</v>
      </c>
      <c r="O2613">
        <v>4951.96</v>
      </c>
      <c r="P2613">
        <v>1237.8599999999999</v>
      </c>
      <c r="Q2613" t="s">
        <v>37</v>
      </c>
      <c r="R2613" t="s">
        <v>51</v>
      </c>
      <c r="S2613" t="s">
        <v>993</v>
      </c>
      <c r="T2613" t="s">
        <v>994</v>
      </c>
    </row>
    <row r="2614" spans="1:20" x14ac:dyDescent="0.25">
      <c r="A2614" t="s">
        <v>6666</v>
      </c>
      <c r="B2614" t="str">
        <f>"0463"</f>
        <v>0463</v>
      </c>
      <c r="C2614" t="str">
        <f>"287460463"</f>
        <v>287460463</v>
      </c>
      <c r="D2614" t="s">
        <v>6667</v>
      </c>
      <c r="E2614" t="s">
        <v>184</v>
      </c>
      <c r="G2614" s="1">
        <v>17506</v>
      </c>
      <c r="H2614" s="1">
        <v>40420</v>
      </c>
      <c r="I2614" t="str">
        <f t="shared" ref="I2614:I2623" si="54">"51"</f>
        <v>51</v>
      </c>
      <c r="J2614" t="s">
        <v>471</v>
      </c>
      <c r="K2614" t="s">
        <v>25</v>
      </c>
      <c r="L2614" t="s">
        <v>26</v>
      </c>
      <c r="M2614" t="s">
        <v>27</v>
      </c>
      <c r="N2614" s="1">
        <v>18629</v>
      </c>
      <c r="O2614">
        <v>0</v>
      </c>
      <c r="P2614">
        <v>0</v>
      </c>
      <c r="Q2614" t="s">
        <v>37</v>
      </c>
      <c r="R2614" t="s">
        <v>71</v>
      </c>
      <c r="S2614" t="s">
        <v>157</v>
      </c>
      <c r="T2614" t="s">
        <v>158</v>
      </c>
    </row>
    <row r="2615" spans="1:20" x14ac:dyDescent="0.25">
      <c r="A2615" t="s">
        <v>6668</v>
      </c>
      <c r="B2615" t="str">
        <f>"9449"</f>
        <v>9449</v>
      </c>
      <c r="C2615" t="str">
        <f>"283629449"</f>
        <v>283629449</v>
      </c>
      <c r="D2615" t="s">
        <v>6669</v>
      </c>
      <c r="E2615" t="s">
        <v>6670</v>
      </c>
      <c r="G2615" s="1">
        <v>20682</v>
      </c>
      <c r="H2615" s="1">
        <v>40420</v>
      </c>
      <c r="I2615" t="str">
        <f t="shared" si="54"/>
        <v>51</v>
      </c>
      <c r="J2615" t="s">
        <v>471</v>
      </c>
      <c r="K2615" t="s">
        <v>25</v>
      </c>
      <c r="L2615" t="s">
        <v>26</v>
      </c>
      <c r="M2615" t="s">
        <v>27</v>
      </c>
      <c r="N2615" s="1">
        <v>18629</v>
      </c>
      <c r="O2615">
        <v>0</v>
      </c>
      <c r="P2615">
        <v>0</v>
      </c>
      <c r="Q2615" t="s">
        <v>37</v>
      </c>
      <c r="R2615" t="s">
        <v>51</v>
      </c>
      <c r="S2615" s="2" t="s">
        <v>1656</v>
      </c>
      <c r="T2615" t="s">
        <v>1657</v>
      </c>
    </row>
    <row r="2616" spans="1:20" x14ac:dyDescent="0.25">
      <c r="A2616" t="s">
        <v>6671</v>
      </c>
      <c r="B2616" t="str">
        <f>"5019"</f>
        <v>5019</v>
      </c>
      <c r="C2616" t="str">
        <f>"286425019"</f>
        <v>286425019</v>
      </c>
      <c r="D2616" t="s">
        <v>6672</v>
      </c>
      <c r="E2616" t="s">
        <v>2450</v>
      </c>
      <c r="F2616" t="s">
        <v>282</v>
      </c>
      <c r="G2616" s="1">
        <v>19295</v>
      </c>
      <c r="H2616" s="1">
        <v>40420</v>
      </c>
      <c r="I2616" t="str">
        <f t="shared" si="54"/>
        <v>51</v>
      </c>
      <c r="J2616" t="s">
        <v>471</v>
      </c>
      <c r="K2616" t="s">
        <v>25</v>
      </c>
      <c r="L2616" t="s">
        <v>26</v>
      </c>
      <c r="M2616" t="s">
        <v>27</v>
      </c>
      <c r="N2616" s="1">
        <v>18629</v>
      </c>
      <c r="O2616">
        <v>0</v>
      </c>
      <c r="P2616">
        <v>0</v>
      </c>
      <c r="Q2616" t="s">
        <v>37</v>
      </c>
      <c r="R2616" t="s">
        <v>29</v>
      </c>
      <c r="S2616" t="s">
        <v>1160</v>
      </c>
      <c r="T2616" t="s">
        <v>1161</v>
      </c>
    </row>
    <row r="2617" spans="1:20" x14ac:dyDescent="0.25">
      <c r="A2617" t="s">
        <v>6673</v>
      </c>
      <c r="B2617" t="str">
        <f>"1942"</f>
        <v>1942</v>
      </c>
      <c r="C2617" t="str">
        <f>"296621942"</f>
        <v>296621942</v>
      </c>
      <c r="D2617" t="s">
        <v>866</v>
      </c>
      <c r="E2617" t="s">
        <v>1353</v>
      </c>
      <c r="G2617" s="1">
        <v>21568</v>
      </c>
      <c r="H2617" s="1">
        <v>40420</v>
      </c>
      <c r="I2617" t="str">
        <f t="shared" si="54"/>
        <v>51</v>
      </c>
      <c r="J2617" t="s">
        <v>471</v>
      </c>
      <c r="K2617" t="s">
        <v>25</v>
      </c>
      <c r="L2617" t="s">
        <v>26</v>
      </c>
      <c r="M2617" t="s">
        <v>27</v>
      </c>
      <c r="N2617" s="1">
        <v>18629</v>
      </c>
      <c r="O2617">
        <v>0</v>
      </c>
      <c r="P2617">
        <v>0</v>
      </c>
      <c r="Q2617" t="s">
        <v>37</v>
      </c>
      <c r="R2617" t="s">
        <v>29</v>
      </c>
      <c r="S2617" t="s">
        <v>1160</v>
      </c>
      <c r="T2617" t="s">
        <v>1161</v>
      </c>
    </row>
    <row r="2618" spans="1:20" x14ac:dyDescent="0.25">
      <c r="A2618" t="s">
        <v>6674</v>
      </c>
      <c r="B2618" t="str">
        <f>"4007"</f>
        <v>4007</v>
      </c>
      <c r="C2618" t="str">
        <f>"302484007"</f>
        <v>302484007</v>
      </c>
      <c r="D2618" t="s">
        <v>5076</v>
      </c>
      <c r="E2618" t="s">
        <v>2364</v>
      </c>
      <c r="F2618" t="s">
        <v>93</v>
      </c>
      <c r="G2618" s="1">
        <v>18748</v>
      </c>
      <c r="H2618" s="1">
        <v>40420</v>
      </c>
      <c r="I2618" t="str">
        <f t="shared" si="54"/>
        <v>51</v>
      </c>
      <c r="J2618" t="s">
        <v>471</v>
      </c>
      <c r="K2618" t="s">
        <v>25</v>
      </c>
      <c r="L2618" t="s">
        <v>26</v>
      </c>
      <c r="M2618" t="s">
        <v>27</v>
      </c>
      <c r="N2618" s="1">
        <v>18629</v>
      </c>
      <c r="O2618">
        <v>0</v>
      </c>
      <c r="P2618">
        <v>0</v>
      </c>
      <c r="Q2618" t="s">
        <v>37</v>
      </c>
      <c r="R2618" t="s">
        <v>29</v>
      </c>
      <c r="S2618" t="s">
        <v>1160</v>
      </c>
      <c r="T2618" t="s">
        <v>1161</v>
      </c>
    </row>
    <row r="2619" spans="1:20" x14ac:dyDescent="0.25">
      <c r="A2619" t="s">
        <v>6675</v>
      </c>
      <c r="B2619" t="str">
        <f>"5070"</f>
        <v>5070</v>
      </c>
      <c r="C2619" t="str">
        <f>"466715070"</f>
        <v>466715070</v>
      </c>
      <c r="D2619" t="s">
        <v>6676</v>
      </c>
      <c r="E2619" t="s">
        <v>1691</v>
      </c>
      <c r="G2619" s="1">
        <v>26341</v>
      </c>
      <c r="H2619" s="1">
        <v>40420</v>
      </c>
      <c r="I2619" t="str">
        <f t="shared" si="54"/>
        <v>51</v>
      </c>
      <c r="J2619" t="s">
        <v>471</v>
      </c>
      <c r="K2619" t="s">
        <v>25</v>
      </c>
      <c r="L2619" t="s">
        <v>26</v>
      </c>
      <c r="M2619" t="s">
        <v>27</v>
      </c>
      <c r="N2619" s="1">
        <v>18629</v>
      </c>
      <c r="O2619">
        <v>0</v>
      </c>
      <c r="P2619">
        <v>0</v>
      </c>
      <c r="Q2619" t="s">
        <v>37</v>
      </c>
      <c r="R2619" t="s">
        <v>71</v>
      </c>
      <c r="S2619" t="s">
        <v>72</v>
      </c>
      <c r="T2619" t="s">
        <v>73</v>
      </c>
    </row>
    <row r="2620" spans="1:20" x14ac:dyDescent="0.25">
      <c r="A2620" t="s">
        <v>6677</v>
      </c>
      <c r="B2620" t="str">
        <f>"5236"</f>
        <v>5236</v>
      </c>
      <c r="C2620" t="str">
        <f>"280785236"</f>
        <v>280785236</v>
      </c>
      <c r="D2620" t="s">
        <v>5540</v>
      </c>
      <c r="E2620" t="s">
        <v>6678</v>
      </c>
      <c r="F2620" t="s">
        <v>97</v>
      </c>
      <c r="G2620" s="1">
        <v>29419</v>
      </c>
      <c r="H2620" s="1">
        <v>40420</v>
      </c>
      <c r="I2620" t="str">
        <f t="shared" si="54"/>
        <v>51</v>
      </c>
      <c r="J2620" t="s">
        <v>471</v>
      </c>
      <c r="K2620" t="s">
        <v>25</v>
      </c>
      <c r="L2620" t="s">
        <v>26</v>
      </c>
      <c r="M2620" t="s">
        <v>27</v>
      </c>
      <c r="N2620" s="1">
        <v>18629</v>
      </c>
      <c r="O2620">
        <v>0</v>
      </c>
      <c r="P2620">
        <v>0</v>
      </c>
      <c r="Q2620" t="s">
        <v>37</v>
      </c>
      <c r="R2620" t="s">
        <v>71</v>
      </c>
      <c r="S2620" t="s">
        <v>871</v>
      </c>
      <c r="T2620" t="s">
        <v>872</v>
      </c>
    </row>
    <row r="2621" spans="1:20" x14ac:dyDescent="0.25">
      <c r="A2621" t="s">
        <v>6679</v>
      </c>
      <c r="B2621" t="str">
        <f>"8199"</f>
        <v>8199</v>
      </c>
      <c r="C2621" t="str">
        <f>"350768199"</f>
        <v>350768199</v>
      </c>
      <c r="D2621" t="s">
        <v>6680</v>
      </c>
      <c r="E2621" t="s">
        <v>1530</v>
      </c>
      <c r="G2621" s="1">
        <v>30097</v>
      </c>
      <c r="H2621" s="1">
        <v>40420</v>
      </c>
      <c r="I2621" t="str">
        <f t="shared" si="54"/>
        <v>51</v>
      </c>
      <c r="J2621" t="s">
        <v>471</v>
      </c>
      <c r="K2621" t="s">
        <v>25</v>
      </c>
      <c r="L2621" t="s">
        <v>26</v>
      </c>
      <c r="M2621" t="s">
        <v>27</v>
      </c>
      <c r="N2621" s="1">
        <v>18629</v>
      </c>
      <c r="O2621">
        <v>0</v>
      </c>
      <c r="P2621">
        <v>0</v>
      </c>
      <c r="Q2621" t="s">
        <v>37</v>
      </c>
      <c r="R2621" t="s">
        <v>71</v>
      </c>
      <c r="S2621" t="s">
        <v>1474</v>
      </c>
      <c r="T2621" t="s">
        <v>1475</v>
      </c>
    </row>
    <row r="2622" spans="1:20" x14ac:dyDescent="0.25">
      <c r="A2622" t="s">
        <v>6681</v>
      </c>
      <c r="B2622" t="str">
        <f>"9757"</f>
        <v>9757</v>
      </c>
      <c r="C2622" t="str">
        <f>"286869757"</f>
        <v>286869757</v>
      </c>
      <c r="D2622" t="s">
        <v>6682</v>
      </c>
      <c r="E2622" t="s">
        <v>448</v>
      </c>
      <c r="F2622" t="s">
        <v>634</v>
      </c>
      <c r="G2622" s="1">
        <v>26441</v>
      </c>
      <c r="H2622" s="1">
        <v>40420</v>
      </c>
      <c r="I2622" t="str">
        <f t="shared" si="54"/>
        <v>51</v>
      </c>
      <c r="J2622" t="s">
        <v>471</v>
      </c>
      <c r="K2622" t="s">
        <v>25</v>
      </c>
      <c r="L2622" t="s">
        <v>26</v>
      </c>
      <c r="M2622" t="s">
        <v>27</v>
      </c>
      <c r="N2622" s="1">
        <v>18629</v>
      </c>
      <c r="O2622">
        <v>0</v>
      </c>
      <c r="P2622">
        <v>0</v>
      </c>
      <c r="Q2622" t="s">
        <v>37</v>
      </c>
      <c r="R2622" t="s">
        <v>29</v>
      </c>
      <c r="S2622" t="s">
        <v>1422</v>
      </c>
      <c r="T2622" t="s">
        <v>1423</v>
      </c>
    </row>
    <row r="2623" spans="1:20" x14ac:dyDescent="0.25">
      <c r="A2623" t="s">
        <v>6683</v>
      </c>
      <c r="B2623" t="str">
        <f>"1352"</f>
        <v>1352</v>
      </c>
      <c r="C2623" t="str">
        <f>"285841352"</f>
        <v>285841352</v>
      </c>
      <c r="D2623" t="s">
        <v>310</v>
      </c>
      <c r="E2623" t="s">
        <v>6684</v>
      </c>
      <c r="G2623" s="1">
        <v>30770</v>
      </c>
      <c r="H2623" s="1">
        <v>40420</v>
      </c>
      <c r="I2623" t="str">
        <f t="shared" si="54"/>
        <v>51</v>
      </c>
      <c r="J2623" t="s">
        <v>471</v>
      </c>
      <c r="K2623" t="s">
        <v>25</v>
      </c>
      <c r="L2623" t="s">
        <v>26</v>
      </c>
      <c r="M2623" t="s">
        <v>27</v>
      </c>
      <c r="N2623" s="1">
        <v>18629</v>
      </c>
      <c r="O2623">
        <v>0</v>
      </c>
      <c r="P2623">
        <v>0</v>
      </c>
      <c r="Q2623" t="s">
        <v>28</v>
      </c>
      <c r="R2623" t="s">
        <v>29</v>
      </c>
      <c r="S2623" t="s">
        <v>1204</v>
      </c>
      <c r="T2623" t="s">
        <v>1205</v>
      </c>
    </row>
    <row r="2624" spans="1:20" x14ac:dyDescent="0.25">
      <c r="A2624" t="s">
        <v>6685</v>
      </c>
      <c r="B2624" t="str">
        <f>"6412"</f>
        <v>6412</v>
      </c>
      <c r="C2624" t="str">
        <f>"300846412"</f>
        <v>300846412</v>
      </c>
      <c r="D2624" t="s">
        <v>6686</v>
      </c>
      <c r="E2624" t="s">
        <v>6687</v>
      </c>
      <c r="G2624" s="1">
        <v>30205</v>
      </c>
      <c r="H2624" s="1">
        <v>40420</v>
      </c>
      <c r="I2624" t="str">
        <f>"33"</f>
        <v>33</v>
      </c>
      <c r="J2624" t="s">
        <v>45</v>
      </c>
      <c r="K2624" t="s">
        <v>25</v>
      </c>
      <c r="L2624" t="s">
        <v>26</v>
      </c>
      <c r="M2624" t="s">
        <v>27</v>
      </c>
      <c r="N2624" s="1">
        <v>18629</v>
      </c>
      <c r="O2624">
        <v>0</v>
      </c>
      <c r="P2624">
        <v>0</v>
      </c>
      <c r="Q2624" t="s">
        <v>37</v>
      </c>
      <c r="R2624" t="s">
        <v>71</v>
      </c>
      <c r="S2624" t="s">
        <v>157</v>
      </c>
      <c r="T2624" t="s">
        <v>158</v>
      </c>
    </row>
    <row r="2625" spans="1:20" x14ac:dyDescent="0.25">
      <c r="A2625" t="s">
        <v>6688</v>
      </c>
      <c r="B2625" t="str">
        <f>"7681"</f>
        <v>7681</v>
      </c>
      <c r="C2625" t="str">
        <f>"291667681"</f>
        <v>291667681</v>
      </c>
      <c r="D2625" t="s">
        <v>6689</v>
      </c>
      <c r="E2625" t="s">
        <v>323</v>
      </c>
      <c r="G2625" s="1">
        <v>26661</v>
      </c>
      <c r="H2625" s="1">
        <v>40420</v>
      </c>
      <c r="I2625" t="str">
        <f>"51"</f>
        <v>51</v>
      </c>
      <c r="J2625" t="s">
        <v>471</v>
      </c>
      <c r="K2625" t="s">
        <v>25</v>
      </c>
      <c r="L2625" t="s">
        <v>26</v>
      </c>
      <c r="M2625" t="s">
        <v>27</v>
      </c>
      <c r="N2625" s="1">
        <v>18629</v>
      </c>
      <c r="O2625">
        <v>0</v>
      </c>
      <c r="P2625">
        <v>0</v>
      </c>
      <c r="Q2625" t="s">
        <v>37</v>
      </c>
      <c r="R2625" t="s">
        <v>71</v>
      </c>
      <c r="S2625" t="s">
        <v>157</v>
      </c>
      <c r="T2625" t="s">
        <v>158</v>
      </c>
    </row>
    <row r="2626" spans="1:20" x14ac:dyDescent="0.25">
      <c r="A2626" t="s">
        <v>6690</v>
      </c>
      <c r="B2626" t="str">
        <f>"8975"</f>
        <v>8975</v>
      </c>
      <c r="C2626" t="str">
        <f>"284608975"</f>
        <v>284608975</v>
      </c>
      <c r="D2626" t="s">
        <v>5929</v>
      </c>
      <c r="E2626" t="s">
        <v>2159</v>
      </c>
      <c r="F2626" t="s">
        <v>93</v>
      </c>
      <c r="G2626" s="1">
        <v>22124</v>
      </c>
      <c r="H2626" s="1">
        <v>40418</v>
      </c>
      <c r="I2626" t="str">
        <f>"05"</f>
        <v>05</v>
      </c>
      <c r="J2626" t="s">
        <v>58</v>
      </c>
      <c r="K2626" t="s">
        <v>175</v>
      </c>
      <c r="L2626" t="s">
        <v>37</v>
      </c>
      <c r="M2626" t="s">
        <v>99</v>
      </c>
      <c r="N2626" s="1">
        <v>41617</v>
      </c>
      <c r="O2626">
        <v>16411.72</v>
      </c>
      <c r="P2626">
        <v>4102.8</v>
      </c>
      <c r="Q2626" t="s">
        <v>28</v>
      </c>
      <c r="R2626" t="s">
        <v>258</v>
      </c>
      <c r="S2626" t="s">
        <v>6691</v>
      </c>
      <c r="T2626" t="s">
        <v>6692</v>
      </c>
    </row>
    <row r="2627" spans="1:20" x14ac:dyDescent="0.25">
      <c r="A2627" t="s">
        <v>6693</v>
      </c>
      <c r="B2627" t="str">
        <f>"1762"</f>
        <v>1762</v>
      </c>
      <c r="C2627" t="str">
        <f>"285061762"</f>
        <v>285061762</v>
      </c>
      <c r="D2627" t="s">
        <v>6694</v>
      </c>
      <c r="E2627" t="s">
        <v>6695</v>
      </c>
      <c r="G2627" s="1">
        <v>22581</v>
      </c>
      <c r="H2627" s="1">
        <v>40417</v>
      </c>
      <c r="I2627" t="str">
        <f>"51"</f>
        <v>51</v>
      </c>
      <c r="J2627" t="s">
        <v>471</v>
      </c>
      <c r="K2627" t="s">
        <v>25</v>
      </c>
      <c r="L2627" t="s">
        <v>26</v>
      </c>
      <c r="M2627" t="s">
        <v>27</v>
      </c>
      <c r="N2627" s="1">
        <v>18629</v>
      </c>
      <c r="O2627">
        <v>0</v>
      </c>
      <c r="P2627">
        <v>0</v>
      </c>
      <c r="Q2627" t="s">
        <v>28</v>
      </c>
      <c r="R2627" t="s">
        <v>29</v>
      </c>
      <c r="S2627" t="s">
        <v>1555</v>
      </c>
      <c r="T2627" t="s">
        <v>1556</v>
      </c>
    </row>
    <row r="2628" spans="1:20" x14ac:dyDescent="0.25">
      <c r="A2628" t="s">
        <v>6696</v>
      </c>
      <c r="B2628" t="str">
        <f>"1327"</f>
        <v>1327</v>
      </c>
      <c r="C2628" t="str">
        <f>"054441327"</f>
        <v>054441327</v>
      </c>
      <c r="D2628" t="s">
        <v>6697</v>
      </c>
      <c r="E2628" t="s">
        <v>323</v>
      </c>
      <c r="F2628" t="s">
        <v>438</v>
      </c>
      <c r="G2628" s="1">
        <v>18286</v>
      </c>
      <c r="H2628" s="1">
        <v>40416</v>
      </c>
      <c r="I2628" t="str">
        <f>"52"</f>
        <v>52</v>
      </c>
      <c r="J2628" t="s">
        <v>330</v>
      </c>
      <c r="K2628" t="s">
        <v>25</v>
      </c>
      <c r="L2628" t="s">
        <v>26</v>
      </c>
      <c r="M2628" t="s">
        <v>27</v>
      </c>
      <c r="N2628" s="1">
        <v>18629</v>
      </c>
      <c r="O2628">
        <v>0</v>
      </c>
      <c r="P2628">
        <v>0</v>
      </c>
      <c r="Q2628" t="s">
        <v>37</v>
      </c>
      <c r="R2628" t="s">
        <v>51</v>
      </c>
      <c r="S2628" s="2" t="s">
        <v>362</v>
      </c>
      <c r="T2628" t="s">
        <v>363</v>
      </c>
    </row>
    <row r="2629" spans="1:20" x14ac:dyDescent="0.25">
      <c r="A2629" t="s">
        <v>6698</v>
      </c>
      <c r="B2629" t="str">
        <f>"9008"</f>
        <v>9008</v>
      </c>
      <c r="C2629" t="str">
        <f>"365349008"</f>
        <v>365349008</v>
      </c>
      <c r="D2629" t="s">
        <v>6699</v>
      </c>
      <c r="E2629" t="s">
        <v>122</v>
      </c>
      <c r="F2629" t="s">
        <v>44</v>
      </c>
      <c r="G2629" s="1">
        <v>12963</v>
      </c>
      <c r="H2629" s="1">
        <v>40416</v>
      </c>
      <c r="I2629" t="str">
        <f>"52"</f>
        <v>52</v>
      </c>
      <c r="J2629" t="s">
        <v>330</v>
      </c>
      <c r="K2629" t="s">
        <v>25</v>
      </c>
      <c r="L2629" t="s">
        <v>26</v>
      </c>
      <c r="M2629" t="s">
        <v>27</v>
      </c>
      <c r="N2629" s="1">
        <v>18629</v>
      </c>
      <c r="O2629">
        <v>0</v>
      </c>
      <c r="P2629">
        <v>0</v>
      </c>
      <c r="Q2629" t="s">
        <v>28</v>
      </c>
      <c r="R2629" t="s">
        <v>51</v>
      </c>
      <c r="S2629" s="2" t="s">
        <v>362</v>
      </c>
      <c r="T2629" t="s">
        <v>363</v>
      </c>
    </row>
    <row r="2630" spans="1:20" x14ac:dyDescent="0.25">
      <c r="A2630" t="s">
        <v>6700</v>
      </c>
      <c r="B2630" t="str">
        <f>"5579"</f>
        <v>5579</v>
      </c>
      <c r="C2630" t="str">
        <f>"302385579"</f>
        <v>302385579</v>
      </c>
      <c r="D2630" t="s">
        <v>6701</v>
      </c>
      <c r="E2630" t="s">
        <v>6702</v>
      </c>
      <c r="F2630" t="s">
        <v>438</v>
      </c>
      <c r="G2630" s="1">
        <v>15790</v>
      </c>
      <c r="H2630" s="1">
        <v>40416</v>
      </c>
      <c r="I2630" t="str">
        <f>"52"</f>
        <v>52</v>
      </c>
      <c r="J2630" t="s">
        <v>330</v>
      </c>
      <c r="K2630" t="s">
        <v>25</v>
      </c>
      <c r="L2630" t="s">
        <v>26</v>
      </c>
      <c r="M2630" t="s">
        <v>27</v>
      </c>
      <c r="N2630" s="1">
        <v>18629</v>
      </c>
      <c r="O2630">
        <v>0</v>
      </c>
      <c r="P2630">
        <v>0</v>
      </c>
      <c r="Q2630" t="s">
        <v>37</v>
      </c>
      <c r="R2630" t="s">
        <v>51</v>
      </c>
      <c r="S2630" s="2" t="s">
        <v>362</v>
      </c>
      <c r="T2630" t="s">
        <v>363</v>
      </c>
    </row>
    <row r="2631" spans="1:20" x14ac:dyDescent="0.25">
      <c r="A2631" t="s">
        <v>6703</v>
      </c>
      <c r="B2631" t="str">
        <f>"9354"</f>
        <v>9354</v>
      </c>
      <c r="C2631" t="str">
        <f>"278849354"</f>
        <v>278849354</v>
      </c>
      <c r="D2631" t="s">
        <v>4275</v>
      </c>
      <c r="E2631" t="s">
        <v>504</v>
      </c>
      <c r="G2631" s="1">
        <v>27067</v>
      </c>
      <c r="H2631" s="1">
        <v>40416</v>
      </c>
      <c r="I2631" t="str">
        <f>"52"</f>
        <v>52</v>
      </c>
      <c r="J2631" t="s">
        <v>330</v>
      </c>
      <c r="K2631" t="s">
        <v>25</v>
      </c>
      <c r="L2631" t="s">
        <v>26</v>
      </c>
      <c r="M2631" t="s">
        <v>27</v>
      </c>
      <c r="N2631" s="1">
        <v>18629</v>
      </c>
      <c r="O2631">
        <v>0</v>
      </c>
      <c r="P2631">
        <v>0</v>
      </c>
      <c r="Q2631" t="s">
        <v>37</v>
      </c>
      <c r="R2631" t="s">
        <v>51</v>
      </c>
      <c r="S2631" s="2" t="s">
        <v>362</v>
      </c>
      <c r="T2631" t="s">
        <v>363</v>
      </c>
    </row>
    <row r="2632" spans="1:20" x14ac:dyDescent="0.25">
      <c r="A2632" t="s">
        <v>6704</v>
      </c>
      <c r="B2632" t="str">
        <f>"3231"</f>
        <v>3231</v>
      </c>
      <c r="C2632" t="str">
        <f>"270663231"</f>
        <v>270663231</v>
      </c>
      <c r="D2632" t="s">
        <v>3853</v>
      </c>
      <c r="E2632" t="s">
        <v>6705</v>
      </c>
      <c r="G2632" s="1">
        <v>21834</v>
      </c>
      <c r="H2632" s="1">
        <v>40416</v>
      </c>
      <c r="I2632" t="str">
        <f>"51"</f>
        <v>51</v>
      </c>
      <c r="J2632" t="s">
        <v>471</v>
      </c>
      <c r="K2632" t="s">
        <v>25</v>
      </c>
      <c r="L2632" t="s">
        <v>26</v>
      </c>
      <c r="M2632" t="s">
        <v>27</v>
      </c>
      <c r="N2632" s="1">
        <v>18629</v>
      </c>
      <c r="O2632">
        <v>0</v>
      </c>
      <c r="P2632">
        <v>0</v>
      </c>
      <c r="Q2632" t="s">
        <v>37</v>
      </c>
      <c r="R2632" t="s">
        <v>29</v>
      </c>
      <c r="S2632" s="2" t="s">
        <v>362</v>
      </c>
      <c r="T2632" t="s">
        <v>363</v>
      </c>
    </row>
    <row r="2633" spans="1:20" x14ac:dyDescent="0.25">
      <c r="A2633" t="s">
        <v>6706</v>
      </c>
      <c r="B2633" t="str">
        <f>"9153"</f>
        <v>9153</v>
      </c>
      <c r="C2633" t="str">
        <f>"290589153"</f>
        <v>290589153</v>
      </c>
      <c r="D2633" t="s">
        <v>114</v>
      </c>
      <c r="E2633" t="s">
        <v>6707</v>
      </c>
      <c r="F2633" t="s">
        <v>165</v>
      </c>
      <c r="G2633" s="1">
        <v>21177</v>
      </c>
      <c r="H2633" s="1">
        <v>40416</v>
      </c>
      <c r="I2633" t="str">
        <f t="shared" ref="I2633:I2638" si="55">"52"</f>
        <v>52</v>
      </c>
      <c r="J2633" t="s">
        <v>330</v>
      </c>
      <c r="K2633" t="s">
        <v>25</v>
      </c>
      <c r="L2633" t="s">
        <v>26</v>
      </c>
      <c r="M2633" t="s">
        <v>27</v>
      </c>
      <c r="N2633" s="1">
        <v>18629</v>
      </c>
      <c r="O2633">
        <v>0</v>
      </c>
      <c r="P2633">
        <v>0</v>
      </c>
      <c r="Q2633" t="s">
        <v>28</v>
      </c>
      <c r="R2633" t="s">
        <v>29</v>
      </c>
      <c r="S2633" s="2" t="s">
        <v>362</v>
      </c>
      <c r="T2633" t="s">
        <v>363</v>
      </c>
    </row>
    <row r="2634" spans="1:20" x14ac:dyDescent="0.25">
      <c r="A2634" t="s">
        <v>6708</v>
      </c>
      <c r="B2634" t="str">
        <f>"7699"</f>
        <v>7699</v>
      </c>
      <c r="C2634" t="str">
        <f>"290547699"</f>
        <v>290547699</v>
      </c>
      <c r="D2634" t="s">
        <v>6709</v>
      </c>
      <c r="E2634" t="s">
        <v>6710</v>
      </c>
      <c r="F2634" t="s">
        <v>97</v>
      </c>
      <c r="G2634" s="1">
        <v>20318</v>
      </c>
      <c r="H2634" s="1">
        <v>40415</v>
      </c>
      <c r="I2634" t="str">
        <f t="shared" si="55"/>
        <v>52</v>
      </c>
      <c r="J2634" t="s">
        <v>330</v>
      </c>
      <c r="K2634" t="s">
        <v>25</v>
      </c>
      <c r="L2634" t="s">
        <v>26</v>
      </c>
      <c r="M2634" t="s">
        <v>27</v>
      </c>
      <c r="N2634" s="1">
        <v>18629</v>
      </c>
      <c r="O2634">
        <v>0</v>
      </c>
      <c r="P2634">
        <v>0</v>
      </c>
      <c r="Q2634" t="s">
        <v>37</v>
      </c>
      <c r="R2634" t="s">
        <v>51</v>
      </c>
      <c r="S2634" s="2" t="s">
        <v>362</v>
      </c>
      <c r="T2634" t="s">
        <v>363</v>
      </c>
    </row>
    <row r="2635" spans="1:20" x14ac:dyDescent="0.25">
      <c r="A2635" t="s">
        <v>6711</v>
      </c>
      <c r="B2635" t="str">
        <f>"1854"</f>
        <v>1854</v>
      </c>
      <c r="C2635" t="str">
        <f>"294541854"</f>
        <v>294541854</v>
      </c>
      <c r="D2635" t="s">
        <v>2245</v>
      </c>
      <c r="E2635" t="s">
        <v>1981</v>
      </c>
      <c r="F2635" t="s">
        <v>93</v>
      </c>
      <c r="G2635" s="1">
        <v>19536</v>
      </c>
      <c r="H2635" s="1">
        <v>40414</v>
      </c>
      <c r="I2635" t="str">
        <f t="shared" si="55"/>
        <v>52</v>
      </c>
      <c r="J2635" t="s">
        <v>330</v>
      </c>
      <c r="K2635" t="s">
        <v>25</v>
      </c>
      <c r="L2635" t="s">
        <v>26</v>
      </c>
      <c r="M2635" t="s">
        <v>27</v>
      </c>
      <c r="N2635" s="1">
        <v>18629</v>
      </c>
      <c r="O2635">
        <v>0</v>
      </c>
      <c r="P2635">
        <v>0</v>
      </c>
      <c r="Q2635" t="s">
        <v>37</v>
      </c>
      <c r="R2635" t="s">
        <v>71</v>
      </c>
      <c r="S2635" s="2" t="s">
        <v>362</v>
      </c>
      <c r="T2635" t="s">
        <v>363</v>
      </c>
    </row>
    <row r="2636" spans="1:20" x14ac:dyDescent="0.25">
      <c r="A2636" t="s">
        <v>6712</v>
      </c>
      <c r="B2636" t="str">
        <f>"1122"</f>
        <v>1122</v>
      </c>
      <c r="C2636" t="str">
        <f>"184461122"</f>
        <v>184461122</v>
      </c>
      <c r="D2636" t="s">
        <v>1939</v>
      </c>
      <c r="E2636" t="s">
        <v>1450</v>
      </c>
      <c r="F2636" t="s">
        <v>28</v>
      </c>
      <c r="G2636" s="1">
        <v>21007</v>
      </c>
      <c r="H2636" s="1">
        <v>40414</v>
      </c>
      <c r="I2636" t="str">
        <f t="shared" si="55"/>
        <v>52</v>
      </c>
      <c r="J2636" t="s">
        <v>330</v>
      </c>
      <c r="K2636" t="s">
        <v>25</v>
      </c>
      <c r="L2636" t="s">
        <v>26</v>
      </c>
      <c r="M2636" t="s">
        <v>27</v>
      </c>
      <c r="N2636" s="1">
        <v>18629</v>
      </c>
      <c r="O2636">
        <v>0</v>
      </c>
      <c r="P2636">
        <v>0</v>
      </c>
      <c r="Q2636" t="s">
        <v>37</v>
      </c>
      <c r="R2636" t="s">
        <v>51</v>
      </c>
      <c r="S2636" s="2" t="s">
        <v>362</v>
      </c>
      <c r="T2636" t="s">
        <v>363</v>
      </c>
    </row>
    <row r="2637" spans="1:20" x14ac:dyDescent="0.25">
      <c r="A2637" t="s">
        <v>6713</v>
      </c>
      <c r="B2637" t="str">
        <f>"4959"</f>
        <v>4959</v>
      </c>
      <c r="C2637" t="str">
        <f>"287444959"</f>
        <v>287444959</v>
      </c>
      <c r="D2637" t="s">
        <v>6714</v>
      </c>
      <c r="E2637" t="s">
        <v>179</v>
      </c>
      <c r="F2637" t="s">
        <v>97</v>
      </c>
      <c r="G2637" s="1">
        <v>17957</v>
      </c>
      <c r="H2637" s="1">
        <v>40414</v>
      </c>
      <c r="I2637" t="str">
        <f t="shared" si="55"/>
        <v>52</v>
      </c>
      <c r="J2637" t="s">
        <v>330</v>
      </c>
      <c r="K2637" t="s">
        <v>25</v>
      </c>
      <c r="L2637" t="s">
        <v>26</v>
      </c>
      <c r="M2637" t="s">
        <v>27</v>
      </c>
      <c r="N2637" s="1">
        <v>18629</v>
      </c>
      <c r="O2637">
        <v>0</v>
      </c>
      <c r="P2637">
        <v>0</v>
      </c>
      <c r="Q2637" t="s">
        <v>28</v>
      </c>
      <c r="R2637" t="s">
        <v>51</v>
      </c>
      <c r="S2637" s="2" t="s">
        <v>362</v>
      </c>
      <c r="T2637" t="s">
        <v>363</v>
      </c>
    </row>
    <row r="2638" spans="1:20" x14ac:dyDescent="0.25">
      <c r="A2638" t="s">
        <v>6715</v>
      </c>
      <c r="B2638" t="str">
        <f>"7936"</f>
        <v>7936</v>
      </c>
      <c r="C2638" t="str">
        <f>"443667936"</f>
        <v>443667936</v>
      </c>
      <c r="D2638" t="s">
        <v>6716</v>
      </c>
      <c r="E2638" t="s">
        <v>3605</v>
      </c>
      <c r="F2638" t="s">
        <v>44</v>
      </c>
      <c r="G2638" s="1">
        <v>22434</v>
      </c>
      <c r="H2638" s="1">
        <v>40414</v>
      </c>
      <c r="I2638" t="str">
        <f t="shared" si="55"/>
        <v>52</v>
      </c>
      <c r="J2638" t="s">
        <v>330</v>
      </c>
      <c r="K2638" t="s">
        <v>25</v>
      </c>
      <c r="L2638" t="s">
        <v>26</v>
      </c>
      <c r="M2638" t="s">
        <v>27</v>
      </c>
      <c r="N2638" s="1">
        <v>18629</v>
      </c>
      <c r="O2638">
        <v>0</v>
      </c>
      <c r="P2638">
        <v>0</v>
      </c>
      <c r="Q2638" t="s">
        <v>37</v>
      </c>
      <c r="R2638" t="s">
        <v>51</v>
      </c>
      <c r="S2638" s="2" t="s">
        <v>362</v>
      </c>
      <c r="T2638" t="s">
        <v>363</v>
      </c>
    </row>
    <row r="2639" spans="1:20" x14ac:dyDescent="0.25">
      <c r="A2639" t="s">
        <v>6717</v>
      </c>
      <c r="B2639" t="str">
        <f>"4522"</f>
        <v>4522</v>
      </c>
      <c r="C2639" t="str">
        <f>"128364522"</f>
        <v>128364522</v>
      </c>
      <c r="D2639" t="s">
        <v>6718</v>
      </c>
      <c r="E2639" t="s">
        <v>6719</v>
      </c>
      <c r="F2639" t="s">
        <v>93</v>
      </c>
      <c r="G2639" s="1">
        <v>16681</v>
      </c>
      <c r="H2639" s="1">
        <v>40413</v>
      </c>
      <c r="I2639" t="str">
        <f>"51"</f>
        <v>51</v>
      </c>
      <c r="J2639" t="s">
        <v>471</v>
      </c>
      <c r="K2639" t="s">
        <v>25</v>
      </c>
      <c r="L2639" t="s">
        <v>26</v>
      </c>
      <c r="M2639" t="s">
        <v>27</v>
      </c>
      <c r="N2639" s="1">
        <v>18629</v>
      </c>
      <c r="O2639">
        <v>0</v>
      </c>
      <c r="P2639">
        <v>0</v>
      </c>
      <c r="Q2639" t="s">
        <v>28</v>
      </c>
      <c r="R2639" t="s">
        <v>71</v>
      </c>
      <c r="S2639" t="s">
        <v>6720</v>
      </c>
      <c r="T2639" t="s">
        <v>6721</v>
      </c>
    </row>
    <row r="2640" spans="1:20" x14ac:dyDescent="0.25">
      <c r="A2640" t="s">
        <v>6722</v>
      </c>
      <c r="B2640" t="str">
        <f>"3353"</f>
        <v>3353</v>
      </c>
      <c r="C2640" t="str">
        <f>"205383353"</f>
        <v>205383353</v>
      </c>
      <c r="D2640" t="s">
        <v>6723</v>
      </c>
      <c r="E2640" t="s">
        <v>3646</v>
      </c>
      <c r="F2640" t="s">
        <v>6413</v>
      </c>
      <c r="G2640" s="1">
        <v>20243</v>
      </c>
      <c r="H2640" s="1">
        <v>40413</v>
      </c>
      <c r="I2640" t="str">
        <f>"51"</f>
        <v>51</v>
      </c>
      <c r="J2640" t="s">
        <v>471</v>
      </c>
      <c r="K2640" t="s">
        <v>25</v>
      </c>
      <c r="L2640" t="s">
        <v>26</v>
      </c>
      <c r="M2640" t="s">
        <v>27</v>
      </c>
      <c r="N2640" s="1">
        <v>18629</v>
      </c>
      <c r="O2640">
        <v>0</v>
      </c>
      <c r="P2640">
        <v>0</v>
      </c>
      <c r="Q2640" t="s">
        <v>28</v>
      </c>
      <c r="R2640" t="s">
        <v>71</v>
      </c>
      <c r="S2640" t="s">
        <v>6724</v>
      </c>
      <c r="T2640" t="s">
        <v>6725</v>
      </c>
    </row>
    <row r="2641" spans="1:20" x14ac:dyDescent="0.25">
      <c r="A2641" t="s">
        <v>6726</v>
      </c>
      <c r="B2641" t="str">
        <f>"9168"</f>
        <v>9168</v>
      </c>
      <c r="C2641" t="str">
        <f>"368649168"</f>
        <v>368649168</v>
      </c>
      <c r="D2641" t="s">
        <v>6727</v>
      </c>
      <c r="E2641" t="s">
        <v>4373</v>
      </c>
      <c r="F2641" t="s">
        <v>69</v>
      </c>
      <c r="G2641" s="1">
        <v>20112</v>
      </c>
      <c r="H2641" s="1">
        <v>40413</v>
      </c>
      <c r="I2641" t="str">
        <f>"01"</f>
        <v>01</v>
      </c>
      <c r="J2641" t="s">
        <v>116</v>
      </c>
      <c r="K2641" t="s">
        <v>98</v>
      </c>
      <c r="L2641" t="s">
        <v>37</v>
      </c>
      <c r="M2641" t="s">
        <v>99</v>
      </c>
      <c r="N2641" s="1">
        <v>41617</v>
      </c>
      <c r="O2641">
        <v>14801.8</v>
      </c>
      <c r="P2641">
        <v>3700.32</v>
      </c>
      <c r="Q2641" t="s">
        <v>28</v>
      </c>
      <c r="R2641" t="s">
        <v>38</v>
      </c>
      <c r="S2641" t="s">
        <v>1791</v>
      </c>
      <c r="T2641" t="s">
        <v>1792</v>
      </c>
    </row>
    <row r="2642" spans="1:20" x14ac:dyDescent="0.25">
      <c r="A2642" t="s">
        <v>6728</v>
      </c>
      <c r="B2642" t="str">
        <f>"7997"</f>
        <v>7997</v>
      </c>
      <c r="C2642" t="str">
        <f>"309747997"</f>
        <v>309747997</v>
      </c>
      <c r="D2642" t="s">
        <v>6729</v>
      </c>
      <c r="E2642" t="s">
        <v>2290</v>
      </c>
      <c r="G2642" s="1">
        <v>23675</v>
      </c>
      <c r="H2642" s="1">
        <v>40413</v>
      </c>
      <c r="I2642" t="str">
        <f>"15"</f>
        <v>15</v>
      </c>
      <c r="J2642" t="s">
        <v>36</v>
      </c>
      <c r="K2642" t="s">
        <v>98</v>
      </c>
      <c r="L2642" t="s">
        <v>37</v>
      </c>
      <c r="M2642" t="s">
        <v>99</v>
      </c>
      <c r="N2642" s="1">
        <v>41617</v>
      </c>
      <c r="O2642">
        <v>14801.8</v>
      </c>
      <c r="P2642">
        <v>3700.32</v>
      </c>
      <c r="Q2642" t="s">
        <v>28</v>
      </c>
      <c r="R2642" t="s">
        <v>258</v>
      </c>
      <c r="S2642" t="s">
        <v>331</v>
      </c>
      <c r="T2642" t="s">
        <v>332</v>
      </c>
    </row>
    <row r="2643" spans="1:20" x14ac:dyDescent="0.25">
      <c r="A2643" t="s">
        <v>6730</v>
      </c>
      <c r="B2643" t="str">
        <f>"9738"</f>
        <v>9738</v>
      </c>
      <c r="C2643" t="str">
        <f>"162409738"</f>
        <v>162409738</v>
      </c>
      <c r="D2643" t="s">
        <v>6731</v>
      </c>
      <c r="E2643" t="s">
        <v>2500</v>
      </c>
      <c r="F2643" t="s">
        <v>438</v>
      </c>
      <c r="G2643" s="1">
        <v>23166</v>
      </c>
      <c r="H2643" s="1">
        <v>40406</v>
      </c>
      <c r="I2643" t="str">
        <f t="shared" ref="I2643:I2651" si="56">"20"</f>
        <v>20</v>
      </c>
      <c r="J2643" t="s">
        <v>123</v>
      </c>
      <c r="K2643" t="s">
        <v>98</v>
      </c>
      <c r="L2643" t="s">
        <v>37</v>
      </c>
      <c r="M2643" t="s">
        <v>99</v>
      </c>
      <c r="N2643" s="1">
        <v>41631</v>
      </c>
      <c r="O2643">
        <v>14801.82</v>
      </c>
      <c r="P2643">
        <v>3700.4</v>
      </c>
      <c r="Q2643" t="s">
        <v>37</v>
      </c>
      <c r="R2643" t="s">
        <v>51</v>
      </c>
      <c r="S2643" s="2" t="s">
        <v>3730</v>
      </c>
      <c r="T2643" t="s">
        <v>3731</v>
      </c>
    </row>
    <row r="2644" spans="1:20" x14ac:dyDescent="0.25">
      <c r="A2644" t="s">
        <v>6732</v>
      </c>
      <c r="B2644" t="str">
        <f>"5129"</f>
        <v>5129</v>
      </c>
      <c r="C2644" t="str">
        <f>"286685129"</f>
        <v>286685129</v>
      </c>
      <c r="D2644" t="s">
        <v>1980</v>
      </c>
      <c r="E2644" t="s">
        <v>179</v>
      </c>
      <c r="F2644" t="s">
        <v>649</v>
      </c>
      <c r="G2644" s="1">
        <v>26469</v>
      </c>
      <c r="H2644" s="1">
        <v>40406</v>
      </c>
      <c r="I2644" t="str">
        <f t="shared" si="56"/>
        <v>20</v>
      </c>
      <c r="J2644" t="s">
        <v>123</v>
      </c>
      <c r="K2644" t="s">
        <v>98</v>
      </c>
      <c r="L2644" t="s">
        <v>37</v>
      </c>
      <c r="M2644" t="s">
        <v>117</v>
      </c>
      <c r="N2644" s="1">
        <v>41631</v>
      </c>
      <c r="O2644">
        <v>4951.9799999999996</v>
      </c>
      <c r="P2644">
        <v>1237.94</v>
      </c>
      <c r="Q2644" t="s">
        <v>28</v>
      </c>
      <c r="R2644" t="s">
        <v>71</v>
      </c>
      <c r="S2644" t="s">
        <v>5486</v>
      </c>
      <c r="T2644" t="s">
        <v>5487</v>
      </c>
    </row>
    <row r="2645" spans="1:20" x14ac:dyDescent="0.25">
      <c r="A2645" t="s">
        <v>6733</v>
      </c>
      <c r="B2645" t="str">
        <f>"7747"</f>
        <v>7747</v>
      </c>
      <c r="C2645" t="str">
        <f>"280887747"</f>
        <v>280887747</v>
      </c>
      <c r="D2645" t="s">
        <v>6734</v>
      </c>
      <c r="E2645" t="s">
        <v>609</v>
      </c>
      <c r="G2645" s="1">
        <v>28591</v>
      </c>
      <c r="H2645" s="1">
        <v>40406</v>
      </c>
      <c r="I2645" t="str">
        <f t="shared" si="56"/>
        <v>20</v>
      </c>
      <c r="J2645" t="s">
        <v>123</v>
      </c>
      <c r="K2645" t="s">
        <v>98</v>
      </c>
      <c r="L2645" t="s">
        <v>37</v>
      </c>
      <c r="M2645" t="s">
        <v>99</v>
      </c>
      <c r="N2645" s="1">
        <v>41631</v>
      </c>
      <c r="O2645">
        <v>14801.82</v>
      </c>
      <c r="P2645">
        <v>3700.4</v>
      </c>
      <c r="Q2645" t="s">
        <v>28</v>
      </c>
      <c r="R2645" t="s">
        <v>71</v>
      </c>
      <c r="S2645" t="s">
        <v>305</v>
      </c>
      <c r="T2645" t="s">
        <v>306</v>
      </c>
    </row>
    <row r="2646" spans="1:20" x14ac:dyDescent="0.25">
      <c r="A2646" t="s">
        <v>6735</v>
      </c>
      <c r="B2646" t="str">
        <f>"7569"</f>
        <v>7569</v>
      </c>
      <c r="C2646" t="str">
        <f>"271787569"</f>
        <v>271787569</v>
      </c>
      <c r="D2646" t="s">
        <v>6736</v>
      </c>
      <c r="E2646" t="s">
        <v>1081</v>
      </c>
      <c r="F2646" t="s">
        <v>219</v>
      </c>
      <c r="G2646" s="1">
        <v>29787</v>
      </c>
      <c r="H2646" s="1">
        <v>40406</v>
      </c>
      <c r="I2646" t="str">
        <f t="shared" si="56"/>
        <v>20</v>
      </c>
      <c r="J2646" t="s">
        <v>123</v>
      </c>
      <c r="K2646" t="s">
        <v>98</v>
      </c>
      <c r="L2646" t="s">
        <v>37</v>
      </c>
      <c r="M2646" t="s">
        <v>117</v>
      </c>
      <c r="N2646" s="1">
        <v>41631</v>
      </c>
      <c r="O2646">
        <v>4951.9799999999996</v>
      </c>
      <c r="P2646">
        <v>1237.94</v>
      </c>
      <c r="Q2646" t="s">
        <v>28</v>
      </c>
      <c r="R2646" t="s">
        <v>71</v>
      </c>
      <c r="S2646" t="s">
        <v>157</v>
      </c>
      <c r="T2646" t="s">
        <v>158</v>
      </c>
    </row>
    <row r="2647" spans="1:20" x14ac:dyDescent="0.25">
      <c r="A2647" t="s">
        <v>6737</v>
      </c>
      <c r="B2647" t="str">
        <f>"5565"</f>
        <v>5565</v>
      </c>
      <c r="C2647" t="str">
        <f>"280825565"</f>
        <v>280825565</v>
      </c>
      <c r="D2647" t="s">
        <v>724</v>
      </c>
      <c r="E2647" t="s">
        <v>2308</v>
      </c>
      <c r="G2647" s="1">
        <v>30055</v>
      </c>
      <c r="H2647" s="1">
        <v>40406</v>
      </c>
      <c r="I2647" t="str">
        <f t="shared" si="56"/>
        <v>20</v>
      </c>
      <c r="J2647" t="s">
        <v>123</v>
      </c>
      <c r="K2647" t="s">
        <v>98</v>
      </c>
      <c r="L2647" t="s">
        <v>37</v>
      </c>
      <c r="M2647" t="s">
        <v>99</v>
      </c>
      <c r="N2647" s="1">
        <v>41631</v>
      </c>
      <c r="O2647">
        <v>14801.82</v>
      </c>
      <c r="P2647">
        <v>3700.4</v>
      </c>
      <c r="Q2647" t="s">
        <v>37</v>
      </c>
      <c r="R2647" t="s">
        <v>71</v>
      </c>
      <c r="S2647" t="s">
        <v>72</v>
      </c>
      <c r="T2647" t="s">
        <v>73</v>
      </c>
    </row>
    <row r="2648" spans="1:20" x14ac:dyDescent="0.25">
      <c r="A2648" t="s">
        <v>6738</v>
      </c>
      <c r="B2648" t="str">
        <f>"7590"</f>
        <v>7590</v>
      </c>
      <c r="C2648" t="str">
        <f>"274487590"</f>
        <v>274487590</v>
      </c>
      <c r="D2648" t="s">
        <v>6739</v>
      </c>
      <c r="E2648" t="s">
        <v>255</v>
      </c>
      <c r="F2648" t="s">
        <v>1970</v>
      </c>
      <c r="G2648" s="1">
        <v>22237</v>
      </c>
      <c r="H2648" s="1">
        <v>40406</v>
      </c>
      <c r="I2648" t="str">
        <f t="shared" si="56"/>
        <v>20</v>
      </c>
      <c r="J2648" t="s">
        <v>123</v>
      </c>
      <c r="K2648" t="s">
        <v>510</v>
      </c>
      <c r="L2648" t="s">
        <v>37</v>
      </c>
      <c r="M2648" t="s">
        <v>117</v>
      </c>
      <c r="N2648" s="1">
        <v>41631</v>
      </c>
      <c r="O2648">
        <v>6477.24</v>
      </c>
      <c r="P2648">
        <v>1619.2</v>
      </c>
      <c r="Q2648" t="s">
        <v>37</v>
      </c>
      <c r="R2648" t="s">
        <v>29</v>
      </c>
      <c r="S2648" t="s">
        <v>138</v>
      </c>
      <c r="T2648" t="s">
        <v>139</v>
      </c>
    </row>
    <row r="2649" spans="1:20" x14ac:dyDescent="0.25">
      <c r="A2649" t="s">
        <v>6740</v>
      </c>
      <c r="B2649" t="str">
        <f>"5733"</f>
        <v>5733</v>
      </c>
      <c r="C2649" t="str">
        <f>"289625733"</f>
        <v>289625733</v>
      </c>
      <c r="D2649" t="s">
        <v>6741</v>
      </c>
      <c r="E2649" t="s">
        <v>6742</v>
      </c>
      <c r="G2649" s="1">
        <v>21696</v>
      </c>
      <c r="H2649" s="1">
        <v>40406</v>
      </c>
      <c r="I2649" t="str">
        <f t="shared" si="56"/>
        <v>20</v>
      </c>
      <c r="J2649" t="s">
        <v>123</v>
      </c>
      <c r="K2649" t="s">
        <v>98</v>
      </c>
      <c r="L2649" t="s">
        <v>37</v>
      </c>
      <c r="M2649" t="s">
        <v>257</v>
      </c>
      <c r="N2649" s="1">
        <v>41631</v>
      </c>
      <c r="O2649">
        <v>10753.16</v>
      </c>
      <c r="P2649">
        <v>2688.4</v>
      </c>
      <c r="Q2649" t="s">
        <v>28</v>
      </c>
      <c r="R2649" t="s">
        <v>51</v>
      </c>
      <c r="S2649" s="2" t="s">
        <v>1538</v>
      </c>
      <c r="T2649" t="s">
        <v>1539</v>
      </c>
    </row>
    <row r="2650" spans="1:20" x14ac:dyDescent="0.25">
      <c r="A2650" t="s">
        <v>6743</v>
      </c>
      <c r="B2650" t="str">
        <f>"0192"</f>
        <v>0192</v>
      </c>
      <c r="C2650" t="str">
        <f>"285860192"</f>
        <v>285860192</v>
      </c>
      <c r="D2650" t="s">
        <v>5230</v>
      </c>
      <c r="E2650" t="s">
        <v>5963</v>
      </c>
      <c r="F2650" t="s">
        <v>619</v>
      </c>
      <c r="G2650" s="1">
        <v>30655</v>
      </c>
      <c r="H2650" s="1">
        <v>40406</v>
      </c>
      <c r="I2650" t="str">
        <f t="shared" si="56"/>
        <v>20</v>
      </c>
      <c r="J2650" t="s">
        <v>123</v>
      </c>
      <c r="K2650" t="s">
        <v>175</v>
      </c>
      <c r="L2650" t="s">
        <v>37</v>
      </c>
      <c r="M2650" t="s">
        <v>257</v>
      </c>
      <c r="N2650" s="1">
        <v>41631</v>
      </c>
      <c r="O2650">
        <v>11847.88</v>
      </c>
      <c r="P2650">
        <v>2962.08</v>
      </c>
      <c r="Q2650" t="s">
        <v>37</v>
      </c>
      <c r="R2650" t="s">
        <v>51</v>
      </c>
      <c r="S2650" t="s">
        <v>138</v>
      </c>
      <c r="T2650" t="s">
        <v>139</v>
      </c>
    </row>
    <row r="2651" spans="1:20" x14ac:dyDescent="0.25">
      <c r="A2651" t="s">
        <v>6744</v>
      </c>
      <c r="B2651" t="str">
        <f>"3269"</f>
        <v>3269</v>
      </c>
      <c r="C2651" t="str">
        <f>"232883269"</f>
        <v>232883269</v>
      </c>
      <c r="D2651" t="s">
        <v>6745</v>
      </c>
      <c r="E2651" t="s">
        <v>2364</v>
      </c>
      <c r="F2651" t="s">
        <v>414</v>
      </c>
      <c r="G2651" s="1">
        <v>19666</v>
      </c>
      <c r="H2651" s="1">
        <v>40406</v>
      </c>
      <c r="I2651" t="str">
        <f t="shared" si="56"/>
        <v>20</v>
      </c>
      <c r="J2651" t="s">
        <v>123</v>
      </c>
      <c r="K2651" t="s">
        <v>98</v>
      </c>
      <c r="L2651" t="s">
        <v>37</v>
      </c>
      <c r="M2651" t="s">
        <v>257</v>
      </c>
      <c r="N2651" s="1">
        <v>41631</v>
      </c>
      <c r="O2651">
        <v>10753.16</v>
      </c>
      <c r="P2651">
        <v>2688.4</v>
      </c>
      <c r="Q2651" t="s">
        <v>37</v>
      </c>
      <c r="R2651" t="s">
        <v>29</v>
      </c>
      <c r="S2651" t="s">
        <v>1555</v>
      </c>
      <c r="T2651" t="s">
        <v>1556</v>
      </c>
    </row>
    <row r="2652" spans="1:20" x14ac:dyDescent="0.25">
      <c r="A2652" t="s">
        <v>6746</v>
      </c>
      <c r="B2652" t="str">
        <f>"2805"</f>
        <v>2805</v>
      </c>
      <c r="C2652" t="str">
        <f>"299762805"</f>
        <v>299762805</v>
      </c>
      <c r="D2652" t="s">
        <v>6747</v>
      </c>
      <c r="E2652" t="s">
        <v>48</v>
      </c>
      <c r="F2652" t="s">
        <v>165</v>
      </c>
      <c r="G2652" s="1">
        <v>27420</v>
      </c>
      <c r="H2652" s="1">
        <v>40406</v>
      </c>
      <c r="I2652" t="str">
        <f>"51"</f>
        <v>51</v>
      </c>
      <c r="J2652" t="s">
        <v>471</v>
      </c>
      <c r="K2652" t="s">
        <v>25</v>
      </c>
      <c r="L2652" t="s">
        <v>26</v>
      </c>
      <c r="M2652" t="s">
        <v>27</v>
      </c>
      <c r="N2652" s="1">
        <v>18629</v>
      </c>
      <c r="O2652">
        <v>0</v>
      </c>
      <c r="P2652">
        <v>0</v>
      </c>
      <c r="Q2652" t="s">
        <v>37</v>
      </c>
      <c r="R2652" t="s">
        <v>71</v>
      </c>
      <c r="S2652" t="s">
        <v>2406</v>
      </c>
      <c r="T2652" t="s">
        <v>2407</v>
      </c>
    </row>
    <row r="2653" spans="1:20" x14ac:dyDescent="0.25">
      <c r="A2653" t="s">
        <v>6748</v>
      </c>
      <c r="B2653" t="str">
        <f>"7893"</f>
        <v>7893</v>
      </c>
      <c r="C2653" t="str">
        <f>"298907893"</f>
        <v>298907893</v>
      </c>
      <c r="D2653" t="s">
        <v>6749</v>
      </c>
      <c r="E2653" t="s">
        <v>6750</v>
      </c>
      <c r="F2653" t="s">
        <v>6751</v>
      </c>
      <c r="G2653" s="1">
        <v>28640</v>
      </c>
      <c r="H2653" s="1">
        <v>40406</v>
      </c>
      <c r="I2653" t="str">
        <f>"20"</f>
        <v>20</v>
      </c>
      <c r="J2653" t="s">
        <v>123</v>
      </c>
      <c r="K2653" t="s">
        <v>98</v>
      </c>
      <c r="L2653" t="s">
        <v>37</v>
      </c>
      <c r="M2653" t="s">
        <v>99</v>
      </c>
      <c r="N2653" s="1">
        <v>41631</v>
      </c>
      <c r="O2653">
        <v>14801.82</v>
      </c>
      <c r="P2653">
        <v>3700.4</v>
      </c>
      <c r="Q2653" t="s">
        <v>37</v>
      </c>
      <c r="R2653" t="s">
        <v>71</v>
      </c>
      <c r="S2653" t="s">
        <v>2406</v>
      </c>
      <c r="T2653" t="s">
        <v>2407</v>
      </c>
    </row>
    <row r="2654" spans="1:20" x14ac:dyDescent="0.25">
      <c r="A2654" t="s">
        <v>6752</v>
      </c>
      <c r="B2654" t="str">
        <f>"8305"</f>
        <v>8305</v>
      </c>
      <c r="C2654" t="str">
        <f>"380968305"</f>
        <v>380968305</v>
      </c>
      <c r="D2654" t="s">
        <v>6753</v>
      </c>
      <c r="E2654" t="s">
        <v>959</v>
      </c>
      <c r="G2654" s="1">
        <v>28123</v>
      </c>
      <c r="H2654" s="1">
        <v>40406</v>
      </c>
      <c r="I2654" t="str">
        <f>"20"</f>
        <v>20</v>
      </c>
      <c r="J2654" t="s">
        <v>123</v>
      </c>
      <c r="K2654" t="s">
        <v>98</v>
      </c>
      <c r="L2654" t="s">
        <v>37</v>
      </c>
      <c r="M2654" t="s">
        <v>117</v>
      </c>
      <c r="N2654" s="1">
        <v>41631</v>
      </c>
      <c r="O2654">
        <v>4951.9799999999996</v>
      </c>
      <c r="P2654">
        <v>1237.94</v>
      </c>
      <c r="Q2654" t="s">
        <v>28</v>
      </c>
      <c r="R2654" t="s">
        <v>71</v>
      </c>
      <c r="S2654" t="s">
        <v>790</v>
      </c>
      <c r="T2654" t="s">
        <v>791</v>
      </c>
    </row>
    <row r="2655" spans="1:20" x14ac:dyDescent="0.25">
      <c r="A2655" t="s">
        <v>6754</v>
      </c>
      <c r="B2655" t="str">
        <f>"8604"</f>
        <v>8604</v>
      </c>
      <c r="C2655" t="str">
        <f>"268708604"</f>
        <v>268708604</v>
      </c>
      <c r="D2655" t="s">
        <v>6755</v>
      </c>
      <c r="E2655" t="s">
        <v>1071</v>
      </c>
      <c r="F2655" t="s">
        <v>69</v>
      </c>
      <c r="G2655" s="1">
        <v>27757</v>
      </c>
      <c r="H2655" s="1">
        <v>40406</v>
      </c>
      <c r="I2655" t="str">
        <f>"20"</f>
        <v>20</v>
      </c>
      <c r="J2655" t="s">
        <v>123</v>
      </c>
      <c r="K2655" t="s">
        <v>98</v>
      </c>
      <c r="L2655" t="s">
        <v>37</v>
      </c>
      <c r="M2655" t="s">
        <v>99</v>
      </c>
      <c r="N2655" s="1">
        <v>41631</v>
      </c>
      <c r="O2655">
        <v>14801.82</v>
      </c>
      <c r="P2655">
        <v>3700.4</v>
      </c>
      <c r="Q2655" t="s">
        <v>37</v>
      </c>
      <c r="R2655" t="s">
        <v>71</v>
      </c>
      <c r="S2655" t="s">
        <v>1547</v>
      </c>
      <c r="T2655" t="s">
        <v>1548</v>
      </c>
    </row>
    <row r="2656" spans="1:20" x14ac:dyDescent="0.25">
      <c r="A2656" t="s">
        <v>6756</v>
      </c>
      <c r="B2656" t="str">
        <f>"7116"</f>
        <v>7116</v>
      </c>
      <c r="C2656" t="str">
        <f>"279627116"</f>
        <v>279627116</v>
      </c>
      <c r="D2656" t="s">
        <v>1853</v>
      </c>
      <c r="E2656" t="s">
        <v>6757</v>
      </c>
      <c r="F2656" t="s">
        <v>556</v>
      </c>
      <c r="G2656" s="1">
        <v>20780</v>
      </c>
      <c r="H2656" s="1">
        <v>40400</v>
      </c>
      <c r="I2656" t="str">
        <f>"41"</f>
        <v>41</v>
      </c>
      <c r="J2656" t="s">
        <v>24</v>
      </c>
      <c r="K2656" t="s">
        <v>25</v>
      </c>
      <c r="L2656" t="s">
        <v>26</v>
      </c>
      <c r="M2656" t="s">
        <v>27</v>
      </c>
      <c r="N2656" s="1">
        <v>18629</v>
      </c>
      <c r="O2656">
        <v>0</v>
      </c>
      <c r="P2656">
        <v>0</v>
      </c>
      <c r="Q2656" t="s">
        <v>28</v>
      </c>
      <c r="R2656" t="s">
        <v>71</v>
      </c>
      <c r="S2656" t="s">
        <v>402</v>
      </c>
      <c r="T2656" t="s">
        <v>403</v>
      </c>
    </row>
    <row r="2657" spans="1:20" x14ac:dyDescent="0.25">
      <c r="A2657" t="s">
        <v>6758</v>
      </c>
      <c r="B2657" t="str">
        <f>"0200"</f>
        <v>0200</v>
      </c>
      <c r="C2657" t="str">
        <f>"242720200"</f>
        <v>242720200</v>
      </c>
      <c r="D2657" t="s">
        <v>122</v>
      </c>
      <c r="E2657" t="s">
        <v>6759</v>
      </c>
      <c r="G2657" s="1">
        <v>16454</v>
      </c>
      <c r="H2657" s="1">
        <v>40399</v>
      </c>
      <c r="I2657" t="str">
        <f>"41"</f>
        <v>41</v>
      </c>
      <c r="J2657" t="s">
        <v>24</v>
      </c>
      <c r="K2657" t="s">
        <v>25</v>
      </c>
      <c r="L2657" t="s">
        <v>26</v>
      </c>
      <c r="M2657" t="s">
        <v>27</v>
      </c>
      <c r="N2657" s="1">
        <v>18629</v>
      </c>
      <c r="O2657">
        <v>0</v>
      </c>
      <c r="P2657">
        <v>0</v>
      </c>
      <c r="Q2657" t="s">
        <v>37</v>
      </c>
      <c r="R2657" t="s">
        <v>71</v>
      </c>
      <c r="S2657" t="s">
        <v>1736</v>
      </c>
      <c r="T2657" t="s">
        <v>1737</v>
      </c>
    </row>
    <row r="2658" spans="1:20" x14ac:dyDescent="0.25">
      <c r="A2658" t="s">
        <v>6760</v>
      </c>
      <c r="B2658" t="str">
        <f>"9905"</f>
        <v>9905</v>
      </c>
      <c r="C2658" t="str">
        <f>"287809905"</f>
        <v>287809905</v>
      </c>
      <c r="D2658" t="s">
        <v>6761</v>
      </c>
      <c r="E2658" t="s">
        <v>109</v>
      </c>
      <c r="F2658" t="s">
        <v>329</v>
      </c>
      <c r="G2658" s="1">
        <v>25967</v>
      </c>
      <c r="H2658" s="1">
        <v>40385</v>
      </c>
      <c r="I2658" t="str">
        <f>"20"</f>
        <v>20</v>
      </c>
      <c r="J2658" t="s">
        <v>123</v>
      </c>
      <c r="K2658" t="s">
        <v>98</v>
      </c>
      <c r="L2658" t="s">
        <v>37</v>
      </c>
      <c r="M2658" t="s">
        <v>99</v>
      </c>
      <c r="N2658" s="1">
        <v>41631</v>
      </c>
      <c r="O2658">
        <v>14801.82</v>
      </c>
      <c r="P2658">
        <v>3700.4</v>
      </c>
      <c r="Q2658" t="s">
        <v>37</v>
      </c>
      <c r="R2658" t="s">
        <v>71</v>
      </c>
      <c r="S2658" t="s">
        <v>209</v>
      </c>
      <c r="T2658" t="s">
        <v>210</v>
      </c>
    </row>
    <row r="2659" spans="1:20" x14ac:dyDescent="0.25">
      <c r="A2659" t="s">
        <v>6762</v>
      </c>
      <c r="B2659" t="str">
        <f>"0743"</f>
        <v>0743</v>
      </c>
      <c r="C2659" t="str">
        <f>"274600743"</f>
        <v>274600743</v>
      </c>
      <c r="D2659" t="s">
        <v>6763</v>
      </c>
      <c r="E2659" t="s">
        <v>499</v>
      </c>
      <c r="G2659" s="1">
        <v>24319</v>
      </c>
      <c r="H2659" s="1">
        <v>40385</v>
      </c>
      <c r="I2659" t="str">
        <f>"20"</f>
        <v>20</v>
      </c>
      <c r="J2659" t="s">
        <v>123</v>
      </c>
      <c r="K2659" t="s">
        <v>98</v>
      </c>
      <c r="L2659" t="s">
        <v>37</v>
      </c>
      <c r="M2659" t="s">
        <v>99</v>
      </c>
      <c r="N2659" s="1">
        <v>41631</v>
      </c>
      <c r="O2659">
        <v>14801.82</v>
      </c>
      <c r="P2659">
        <v>3700.4</v>
      </c>
      <c r="Q2659" t="s">
        <v>28</v>
      </c>
      <c r="R2659" t="s">
        <v>71</v>
      </c>
      <c r="S2659" t="s">
        <v>790</v>
      </c>
      <c r="T2659" t="s">
        <v>791</v>
      </c>
    </row>
    <row r="2660" spans="1:20" x14ac:dyDescent="0.25">
      <c r="A2660" t="s">
        <v>6764</v>
      </c>
      <c r="B2660" t="str">
        <f>"9083"</f>
        <v>9083</v>
      </c>
      <c r="C2660" t="str">
        <f>"335669083"</f>
        <v>335669083</v>
      </c>
      <c r="D2660" t="s">
        <v>128</v>
      </c>
      <c r="E2660" t="s">
        <v>6765</v>
      </c>
      <c r="F2660" t="s">
        <v>6766</v>
      </c>
      <c r="G2660" s="1">
        <v>19661</v>
      </c>
      <c r="H2660" s="1">
        <v>40385</v>
      </c>
      <c r="I2660" t="str">
        <f>"20"</f>
        <v>20</v>
      </c>
      <c r="J2660" t="s">
        <v>123</v>
      </c>
      <c r="K2660" t="s">
        <v>98</v>
      </c>
      <c r="L2660" t="s">
        <v>37</v>
      </c>
      <c r="M2660" t="s">
        <v>257</v>
      </c>
      <c r="N2660" s="1">
        <v>41631</v>
      </c>
      <c r="O2660">
        <v>10753.16</v>
      </c>
      <c r="P2660">
        <v>2688.4</v>
      </c>
      <c r="Q2660" t="s">
        <v>37</v>
      </c>
      <c r="R2660" t="s">
        <v>29</v>
      </c>
      <c r="S2660" t="s">
        <v>1572</v>
      </c>
      <c r="T2660" t="s">
        <v>1573</v>
      </c>
    </row>
    <row r="2661" spans="1:20" x14ac:dyDescent="0.25">
      <c r="A2661" t="s">
        <v>6767</v>
      </c>
      <c r="B2661" t="str">
        <f>"6207"</f>
        <v>6207</v>
      </c>
      <c r="C2661" t="str">
        <f>"268746207"</f>
        <v>268746207</v>
      </c>
      <c r="D2661" t="s">
        <v>6061</v>
      </c>
      <c r="E2661" t="s">
        <v>682</v>
      </c>
      <c r="G2661" s="1">
        <v>23804</v>
      </c>
      <c r="H2661" s="1">
        <v>40385</v>
      </c>
      <c r="I2661" t="str">
        <f>"20"</f>
        <v>20</v>
      </c>
      <c r="J2661" t="s">
        <v>123</v>
      </c>
      <c r="K2661" t="s">
        <v>98</v>
      </c>
      <c r="L2661" t="s">
        <v>37</v>
      </c>
      <c r="M2661" t="s">
        <v>117</v>
      </c>
      <c r="N2661" s="1">
        <v>41631</v>
      </c>
      <c r="O2661">
        <v>4951.9799999999996</v>
      </c>
      <c r="P2661">
        <v>1237.94</v>
      </c>
      <c r="Q2661" t="s">
        <v>37</v>
      </c>
      <c r="R2661" t="s">
        <v>29</v>
      </c>
      <c r="S2661" t="s">
        <v>138</v>
      </c>
      <c r="T2661" t="s">
        <v>139</v>
      </c>
    </row>
    <row r="2662" spans="1:20" x14ac:dyDescent="0.25">
      <c r="A2662" t="s">
        <v>6768</v>
      </c>
      <c r="B2662" t="str">
        <f>"2522"</f>
        <v>2522</v>
      </c>
      <c r="C2662" t="str">
        <f>"244112522"</f>
        <v>244112522</v>
      </c>
      <c r="D2662" t="s">
        <v>6769</v>
      </c>
      <c r="E2662" t="s">
        <v>900</v>
      </c>
      <c r="F2662" t="s">
        <v>44</v>
      </c>
      <c r="G2662" s="1">
        <v>21112</v>
      </c>
      <c r="H2662" s="1">
        <v>40385</v>
      </c>
      <c r="I2662" t="str">
        <f>"15"</f>
        <v>15</v>
      </c>
      <c r="J2662" t="s">
        <v>36</v>
      </c>
      <c r="K2662" t="s">
        <v>98</v>
      </c>
      <c r="L2662" t="s">
        <v>37</v>
      </c>
      <c r="M2662" t="s">
        <v>257</v>
      </c>
      <c r="N2662" s="1">
        <v>41617</v>
      </c>
      <c r="O2662">
        <v>10753.08</v>
      </c>
      <c r="P2662">
        <v>2688.4</v>
      </c>
      <c r="Q2662" t="s">
        <v>37</v>
      </c>
      <c r="R2662" t="s">
        <v>71</v>
      </c>
      <c r="S2662" t="s">
        <v>2825</v>
      </c>
      <c r="T2662" t="s">
        <v>2826</v>
      </c>
    </row>
    <row r="2663" spans="1:20" x14ac:dyDescent="0.25">
      <c r="A2663" t="s">
        <v>6770</v>
      </c>
      <c r="B2663" t="str">
        <f>"9485"</f>
        <v>9485</v>
      </c>
      <c r="C2663" t="str">
        <f>"286589485"</f>
        <v>286589485</v>
      </c>
      <c r="D2663" t="s">
        <v>6771</v>
      </c>
      <c r="E2663" t="s">
        <v>35</v>
      </c>
      <c r="F2663" t="s">
        <v>93</v>
      </c>
      <c r="G2663" s="1">
        <v>22747</v>
      </c>
      <c r="H2663" s="1">
        <v>40385</v>
      </c>
      <c r="I2663" t="str">
        <f>"51"</f>
        <v>51</v>
      </c>
      <c r="J2663" t="s">
        <v>471</v>
      </c>
      <c r="K2663" t="s">
        <v>25</v>
      </c>
      <c r="L2663" t="s">
        <v>26</v>
      </c>
      <c r="M2663" t="s">
        <v>27</v>
      </c>
      <c r="N2663" s="1">
        <v>18629</v>
      </c>
      <c r="O2663">
        <v>0</v>
      </c>
      <c r="P2663">
        <v>0</v>
      </c>
      <c r="Q2663" t="s">
        <v>28</v>
      </c>
      <c r="R2663" t="s">
        <v>71</v>
      </c>
      <c r="S2663" t="s">
        <v>4234</v>
      </c>
      <c r="T2663" t="s">
        <v>4235</v>
      </c>
    </row>
    <row r="2664" spans="1:20" x14ac:dyDescent="0.25">
      <c r="A2664" t="s">
        <v>6772</v>
      </c>
      <c r="B2664" t="str">
        <f>"5705"</f>
        <v>5705</v>
      </c>
      <c r="C2664" t="str">
        <f>"294865705"</f>
        <v>294865705</v>
      </c>
      <c r="D2664" t="s">
        <v>6773</v>
      </c>
      <c r="E2664" t="s">
        <v>609</v>
      </c>
      <c r="F2664" t="s">
        <v>174</v>
      </c>
      <c r="G2664" s="1">
        <v>29089</v>
      </c>
      <c r="H2664" s="1">
        <v>40385</v>
      </c>
      <c r="I2664" t="str">
        <f>"20"</f>
        <v>20</v>
      </c>
      <c r="J2664" t="s">
        <v>123</v>
      </c>
      <c r="K2664" t="s">
        <v>98</v>
      </c>
      <c r="L2664" t="s">
        <v>37</v>
      </c>
      <c r="M2664" t="s">
        <v>257</v>
      </c>
      <c r="N2664" s="1">
        <v>41631</v>
      </c>
      <c r="O2664">
        <v>10753.16</v>
      </c>
      <c r="P2664">
        <v>2688.4</v>
      </c>
      <c r="Q2664" t="s">
        <v>28</v>
      </c>
      <c r="R2664" t="s">
        <v>51</v>
      </c>
      <c r="S2664" s="2" t="s">
        <v>2318</v>
      </c>
      <c r="T2664" t="s">
        <v>2319</v>
      </c>
    </row>
    <row r="2665" spans="1:20" x14ac:dyDescent="0.25">
      <c r="A2665" t="s">
        <v>6774</v>
      </c>
      <c r="B2665" t="str">
        <f>"0440"</f>
        <v>0440</v>
      </c>
      <c r="C2665" t="str">
        <f>"196380440"</f>
        <v>196380440</v>
      </c>
      <c r="D2665" t="s">
        <v>503</v>
      </c>
      <c r="E2665" t="s">
        <v>756</v>
      </c>
      <c r="G2665" s="1">
        <v>20431</v>
      </c>
      <c r="H2665" s="1">
        <v>40385</v>
      </c>
      <c r="I2665" t="str">
        <f>"20"</f>
        <v>20</v>
      </c>
      <c r="J2665" t="s">
        <v>123</v>
      </c>
      <c r="K2665" t="s">
        <v>98</v>
      </c>
      <c r="L2665" t="s">
        <v>37</v>
      </c>
      <c r="M2665" t="s">
        <v>99</v>
      </c>
      <c r="N2665" s="1">
        <v>41631</v>
      </c>
      <c r="O2665">
        <v>14801.82</v>
      </c>
      <c r="P2665">
        <v>3700.4</v>
      </c>
      <c r="Q2665" t="s">
        <v>37</v>
      </c>
      <c r="R2665" t="s">
        <v>29</v>
      </c>
      <c r="S2665" t="s">
        <v>138</v>
      </c>
      <c r="T2665" t="s">
        <v>139</v>
      </c>
    </row>
    <row r="2666" spans="1:20" x14ac:dyDescent="0.25">
      <c r="A2666" t="s">
        <v>6775</v>
      </c>
      <c r="B2666" t="str">
        <f>"9384"</f>
        <v>9384</v>
      </c>
      <c r="C2666" t="str">
        <f>"286569384"</f>
        <v>286569384</v>
      </c>
      <c r="D2666" t="s">
        <v>6776</v>
      </c>
      <c r="E2666" t="s">
        <v>1784</v>
      </c>
      <c r="F2666" t="s">
        <v>69</v>
      </c>
      <c r="G2666" s="1">
        <v>25779</v>
      </c>
      <c r="H2666" s="1">
        <v>40385</v>
      </c>
      <c r="I2666" t="str">
        <f>"20"</f>
        <v>20</v>
      </c>
      <c r="J2666" t="s">
        <v>123</v>
      </c>
      <c r="L2666" t="s">
        <v>37</v>
      </c>
      <c r="M2666" t="s">
        <v>143</v>
      </c>
      <c r="N2666" s="1">
        <v>41631</v>
      </c>
      <c r="O2666">
        <v>185.9</v>
      </c>
      <c r="P2666">
        <v>-185.9</v>
      </c>
      <c r="Q2666" t="s">
        <v>37</v>
      </c>
      <c r="R2666" t="s">
        <v>51</v>
      </c>
      <c r="S2666" s="2" t="s">
        <v>2202</v>
      </c>
      <c r="T2666" t="s">
        <v>2203</v>
      </c>
    </row>
    <row r="2667" spans="1:20" x14ac:dyDescent="0.25">
      <c r="A2667" t="s">
        <v>6777</v>
      </c>
      <c r="B2667" t="str">
        <f>"8165"</f>
        <v>8165</v>
      </c>
      <c r="C2667" t="str">
        <f>"294588165"</f>
        <v>294588165</v>
      </c>
      <c r="D2667" t="s">
        <v>4657</v>
      </c>
      <c r="E2667" t="s">
        <v>164</v>
      </c>
      <c r="F2667" t="s">
        <v>28</v>
      </c>
      <c r="G2667" s="1">
        <v>20398</v>
      </c>
      <c r="H2667" s="1">
        <v>40385</v>
      </c>
      <c r="I2667" t="str">
        <f>"15"</f>
        <v>15</v>
      </c>
      <c r="J2667" t="s">
        <v>36</v>
      </c>
      <c r="K2667" t="s">
        <v>98</v>
      </c>
      <c r="L2667" t="s">
        <v>37</v>
      </c>
      <c r="M2667" t="s">
        <v>99</v>
      </c>
      <c r="N2667" s="1">
        <v>41617</v>
      </c>
      <c r="O2667">
        <v>14801.8</v>
      </c>
      <c r="P2667">
        <v>3700.32</v>
      </c>
      <c r="Q2667" t="s">
        <v>37</v>
      </c>
      <c r="R2667" t="s">
        <v>71</v>
      </c>
      <c r="S2667" t="s">
        <v>2825</v>
      </c>
      <c r="T2667" t="s">
        <v>2826</v>
      </c>
    </row>
    <row r="2668" spans="1:20" x14ac:dyDescent="0.25">
      <c r="A2668" t="s">
        <v>6778</v>
      </c>
      <c r="B2668" t="str">
        <f>"1898"</f>
        <v>1898</v>
      </c>
      <c r="C2668" t="str">
        <f>"289441898"</f>
        <v>289441898</v>
      </c>
      <c r="D2668" t="s">
        <v>6779</v>
      </c>
      <c r="E2668" t="s">
        <v>1981</v>
      </c>
      <c r="F2668" t="s">
        <v>93</v>
      </c>
      <c r="G2668" s="1">
        <v>18273</v>
      </c>
      <c r="H2668" s="1">
        <v>40385</v>
      </c>
      <c r="I2668" t="str">
        <f>"15"</f>
        <v>15</v>
      </c>
      <c r="J2668" t="s">
        <v>36</v>
      </c>
      <c r="L2668" t="s">
        <v>37</v>
      </c>
      <c r="M2668" t="s">
        <v>143</v>
      </c>
      <c r="N2668" s="1">
        <v>41617</v>
      </c>
      <c r="O2668">
        <v>185.9</v>
      </c>
      <c r="P2668">
        <v>-185.9</v>
      </c>
      <c r="Q2668" t="s">
        <v>37</v>
      </c>
      <c r="R2668" t="s">
        <v>71</v>
      </c>
      <c r="S2668" t="s">
        <v>373</v>
      </c>
      <c r="T2668" t="s">
        <v>374</v>
      </c>
    </row>
    <row r="2669" spans="1:20" x14ac:dyDescent="0.25">
      <c r="A2669" t="s">
        <v>6780</v>
      </c>
      <c r="B2669" t="str">
        <f>"0619"</f>
        <v>0619</v>
      </c>
      <c r="C2669" t="str">
        <f>"282620619"</f>
        <v>282620619</v>
      </c>
      <c r="D2669" t="s">
        <v>6781</v>
      </c>
      <c r="E2669" t="s">
        <v>463</v>
      </c>
      <c r="G2669" s="1">
        <v>21103</v>
      </c>
      <c r="H2669" s="1">
        <v>40385</v>
      </c>
      <c r="I2669" t="str">
        <f>"03"</f>
        <v>03</v>
      </c>
      <c r="J2669" t="s">
        <v>70</v>
      </c>
      <c r="K2669" t="s">
        <v>98</v>
      </c>
      <c r="L2669" t="s">
        <v>37</v>
      </c>
      <c r="M2669" t="s">
        <v>117</v>
      </c>
      <c r="N2669" s="1">
        <v>41617</v>
      </c>
      <c r="O2669">
        <v>4951.96</v>
      </c>
      <c r="P2669">
        <v>1237.8599999999999</v>
      </c>
      <c r="Q2669" t="s">
        <v>28</v>
      </c>
      <c r="R2669" t="s">
        <v>38</v>
      </c>
      <c r="S2669" t="s">
        <v>1777</v>
      </c>
      <c r="T2669" t="s">
        <v>1778</v>
      </c>
    </row>
    <row r="2670" spans="1:20" x14ac:dyDescent="0.25">
      <c r="A2670" t="s">
        <v>6782</v>
      </c>
      <c r="B2670" t="str">
        <f>"8230"</f>
        <v>8230</v>
      </c>
      <c r="C2670" t="str">
        <f>"276608230"</f>
        <v>276608230</v>
      </c>
      <c r="D2670" t="s">
        <v>5759</v>
      </c>
      <c r="E2670" t="s">
        <v>5693</v>
      </c>
      <c r="F2670" t="s">
        <v>69</v>
      </c>
      <c r="G2670" s="1">
        <v>21702</v>
      </c>
      <c r="H2670" s="1">
        <v>40385</v>
      </c>
      <c r="I2670" t="str">
        <f>"08"</f>
        <v>08</v>
      </c>
      <c r="J2670" t="s">
        <v>265</v>
      </c>
      <c r="K2670" t="s">
        <v>98</v>
      </c>
      <c r="L2670" t="s">
        <v>37</v>
      </c>
      <c r="M2670" t="s">
        <v>117</v>
      </c>
      <c r="N2670" s="1">
        <v>41617</v>
      </c>
      <c r="O2670">
        <v>4951.96</v>
      </c>
      <c r="P2670">
        <v>1237.8599999999999</v>
      </c>
      <c r="Q2670" t="s">
        <v>28</v>
      </c>
      <c r="R2670" t="s">
        <v>71</v>
      </c>
      <c r="S2670" t="s">
        <v>6783</v>
      </c>
      <c r="T2670" t="s">
        <v>6784</v>
      </c>
    </row>
    <row r="2671" spans="1:20" x14ac:dyDescent="0.25">
      <c r="A2671" t="s">
        <v>6785</v>
      </c>
      <c r="B2671" t="str">
        <f>"5731"</f>
        <v>5731</v>
      </c>
      <c r="C2671" t="str">
        <f>"297865731"</f>
        <v>297865731</v>
      </c>
      <c r="D2671" t="s">
        <v>6786</v>
      </c>
      <c r="E2671" t="s">
        <v>6787</v>
      </c>
      <c r="F2671" t="s">
        <v>28</v>
      </c>
      <c r="G2671" s="1">
        <v>28798</v>
      </c>
      <c r="H2671" s="1">
        <v>40378</v>
      </c>
      <c r="I2671" t="str">
        <f>"03"</f>
        <v>03</v>
      </c>
      <c r="J2671" t="s">
        <v>70</v>
      </c>
      <c r="K2671" t="s">
        <v>98</v>
      </c>
      <c r="L2671" t="s">
        <v>37</v>
      </c>
      <c r="M2671" t="s">
        <v>117</v>
      </c>
      <c r="N2671" s="1">
        <v>41617</v>
      </c>
      <c r="O2671">
        <v>4951.96</v>
      </c>
      <c r="P2671">
        <v>1237.8599999999999</v>
      </c>
      <c r="Q2671" t="s">
        <v>37</v>
      </c>
      <c r="R2671" t="s">
        <v>38</v>
      </c>
      <c r="S2671" t="s">
        <v>1194</v>
      </c>
      <c r="T2671" t="s">
        <v>1195</v>
      </c>
    </row>
    <row r="2672" spans="1:20" x14ac:dyDescent="0.25">
      <c r="A2672" t="s">
        <v>6788</v>
      </c>
      <c r="B2672" t="str">
        <f>"2587"</f>
        <v>2587</v>
      </c>
      <c r="C2672" t="str">
        <f>"294642587"</f>
        <v>294642587</v>
      </c>
      <c r="D2672" t="s">
        <v>6789</v>
      </c>
      <c r="E2672" t="s">
        <v>6790</v>
      </c>
      <c r="F2672" t="s">
        <v>5832</v>
      </c>
      <c r="G2672" s="1">
        <v>24245</v>
      </c>
      <c r="H2672" s="1">
        <v>40374</v>
      </c>
      <c r="I2672" t="str">
        <f>"52"</f>
        <v>52</v>
      </c>
      <c r="J2672" t="s">
        <v>330</v>
      </c>
      <c r="K2672" t="s">
        <v>25</v>
      </c>
      <c r="L2672" t="s">
        <v>26</v>
      </c>
      <c r="M2672" t="s">
        <v>27</v>
      </c>
      <c r="N2672" s="1">
        <v>18629</v>
      </c>
      <c r="O2672">
        <v>0</v>
      </c>
      <c r="P2672">
        <v>0</v>
      </c>
      <c r="Q2672" t="s">
        <v>28</v>
      </c>
      <c r="R2672" t="s">
        <v>258</v>
      </c>
      <c r="S2672" t="s">
        <v>331</v>
      </c>
      <c r="T2672" t="s">
        <v>332</v>
      </c>
    </row>
    <row r="2673" spans="1:20" x14ac:dyDescent="0.25">
      <c r="A2673" t="s">
        <v>6791</v>
      </c>
      <c r="B2673" t="str">
        <f>"4574"</f>
        <v>4574</v>
      </c>
      <c r="C2673" t="str">
        <f>"294504574"</f>
        <v>294504574</v>
      </c>
      <c r="D2673" t="s">
        <v>6792</v>
      </c>
      <c r="E2673" t="s">
        <v>1071</v>
      </c>
      <c r="G2673" s="1">
        <v>19342</v>
      </c>
      <c r="H2673" s="1">
        <v>40371</v>
      </c>
      <c r="I2673" t="str">
        <f>"51"</f>
        <v>51</v>
      </c>
      <c r="J2673" t="s">
        <v>471</v>
      </c>
      <c r="K2673" t="s">
        <v>25</v>
      </c>
      <c r="L2673" t="s">
        <v>26</v>
      </c>
      <c r="M2673" t="s">
        <v>27</v>
      </c>
      <c r="N2673" s="1">
        <v>18629</v>
      </c>
      <c r="O2673">
        <v>0</v>
      </c>
      <c r="P2673">
        <v>0</v>
      </c>
      <c r="Q2673" t="s">
        <v>37</v>
      </c>
      <c r="R2673" t="s">
        <v>29</v>
      </c>
      <c r="S2673" t="s">
        <v>1494</v>
      </c>
      <c r="T2673" t="s">
        <v>1495</v>
      </c>
    </row>
    <row r="2674" spans="1:20" x14ac:dyDescent="0.25">
      <c r="A2674" t="s">
        <v>6793</v>
      </c>
      <c r="B2674" t="str">
        <f>"6690"</f>
        <v>6690</v>
      </c>
      <c r="C2674" t="str">
        <f>"463576690"</f>
        <v>463576690</v>
      </c>
      <c r="D2674" t="s">
        <v>6794</v>
      </c>
      <c r="E2674" t="s">
        <v>6795</v>
      </c>
      <c r="G2674" s="1">
        <v>27666</v>
      </c>
      <c r="H2674" s="1">
        <v>40371</v>
      </c>
      <c r="I2674" t="str">
        <f>"01"</f>
        <v>01</v>
      </c>
      <c r="J2674" t="s">
        <v>116</v>
      </c>
      <c r="K2674" t="s">
        <v>98</v>
      </c>
      <c r="L2674" t="s">
        <v>37</v>
      </c>
      <c r="M2674" t="s">
        <v>117</v>
      </c>
      <c r="N2674" s="1">
        <v>41617</v>
      </c>
      <c r="O2674">
        <v>4951.96</v>
      </c>
      <c r="P2674">
        <v>1237.8599999999999</v>
      </c>
      <c r="Q2674" t="s">
        <v>37</v>
      </c>
      <c r="R2674" t="s">
        <v>38</v>
      </c>
      <c r="S2674" t="s">
        <v>500</v>
      </c>
      <c r="T2674" t="s">
        <v>501</v>
      </c>
    </row>
    <row r="2675" spans="1:20" x14ac:dyDescent="0.25">
      <c r="A2675" t="s">
        <v>6796</v>
      </c>
      <c r="B2675" t="str">
        <f>"2455"</f>
        <v>2455</v>
      </c>
      <c r="C2675" t="str">
        <f>"275602455"</f>
        <v>275602455</v>
      </c>
      <c r="D2675" t="s">
        <v>6797</v>
      </c>
      <c r="E2675" t="s">
        <v>35</v>
      </c>
      <c r="F2675" t="s">
        <v>438</v>
      </c>
      <c r="G2675" s="1">
        <v>22866</v>
      </c>
      <c r="H2675" s="1">
        <v>40371</v>
      </c>
      <c r="I2675" t="str">
        <f>"08"</f>
        <v>08</v>
      </c>
      <c r="J2675" t="s">
        <v>265</v>
      </c>
      <c r="K2675" t="s">
        <v>175</v>
      </c>
      <c r="L2675" t="s">
        <v>37</v>
      </c>
      <c r="M2675" t="s">
        <v>117</v>
      </c>
      <c r="N2675" s="1">
        <v>41617</v>
      </c>
      <c r="O2675">
        <v>5288.66</v>
      </c>
      <c r="P2675">
        <v>1322.1</v>
      </c>
      <c r="Q2675" t="s">
        <v>28</v>
      </c>
      <c r="R2675" t="s">
        <v>71</v>
      </c>
      <c r="S2675" t="s">
        <v>570</v>
      </c>
      <c r="T2675" t="s">
        <v>571</v>
      </c>
    </row>
    <row r="2676" spans="1:20" x14ac:dyDescent="0.25">
      <c r="A2676" t="s">
        <v>6798</v>
      </c>
      <c r="B2676" t="str">
        <f>"3201"</f>
        <v>3201</v>
      </c>
      <c r="C2676" t="str">
        <f>"269703201"</f>
        <v>269703201</v>
      </c>
      <c r="D2676" t="s">
        <v>6799</v>
      </c>
      <c r="E2676" t="s">
        <v>179</v>
      </c>
      <c r="F2676" t="s">
        <v>1049</v>
      </c>
      <c r="G2676" s="1">
        <v>22487</v>
      </c>
      <c r="H2676" s="1">
        <v>40371</v>
      </c>
      <c r="I2676" t="str">
        <f>"07"</f>
        <v>07</v>
      </c>
      <c r="J2676" t="s">
        <v>1018</v>
      </c>
      <c r="K2676" t="s">
        <v>98</v>
      </c>
      <c r="L2676" t="s">
        <v>37</v>
      </c>
      <c r="M2676" t="s">
        <v>99</v>
      </c>
      <c r="N2676" s="1">
        <v>41617</v>
      </c>
      <c r="O2676">
        <v>14801.8</v>
      </c>
      <c r="P2676">
        <v>3700.32</v>
      </c>
      <c r="Q2676" t="s">
        <v>28</v>
      </c>
      <c r="R2676" t="s">
        <v>71</v>
      </c>
      <c r="S2676" t="s">
        <v>570</v>
      </c>
      <c r="T2676" t="s">
        <v>571</v>
      </c>
    </row>
    <row r="2677" spans="1:20" x14ac:dyDescent="0.25">
      <c r="A2677" t="s">
        <v>6800</v>
      </c>
      <c r="B2677" t="str">
        <f>"7558"</f>
        <v>7558</v>
      </c>
      <c r="C2677" t="str">
        <f>"293587558"</f>
        <v>293587558</v>
      </c>
      <c r="D2677" t="s">
        <v>6801</v>
      </c>
      <c r="E2677" t="s">
        <v>35</v>
      </c>
      <c r="F2677" t="s">
        <v>97</v>
      </c>
      <c r="G2677" s="1">
        <v>21740</v>
      </c>
      <c r="H2677" s="1">
        <v>40371</v>
      </c>
      <c r="I2677" t="str">
        <f>"52"</f>
        <v>52</v>
      </c>
      <c r="J2677" t="s">
        <v>330</v>
      </c>
      <c r="K2677" t="s">
        <v>25</v>
      </c>
      <c r="L2677" t="s">
        <v>26</v>
      </c>
      <c r="M2677" t="s">
        <v>27</v>
      </c>
      <c r="N2677" s="1">
        <v>18629</v>
      </c>
      <c r="O2677">
        <v>0</v>
      </c>
      <c r="P2677">
        <v>0</v>
      </c>
      <c r="Q2677" t="s">
        <v>28</v>
      </c>
      <c r="R2677" t="s">
        <v>29</v>
      </c>
      <c r="S2677" s="2" t="s">
        <v>362</v>
      </c>
      <c r="T2677" t="s">
        <v>363</v>
      </c>
    </row>
    <row r="2678" spans="1:20" x14ac:dyDescent="0.25">
      <c r="A2678" t="s">
        <v>6802</v>
      </c>
      <c r="B2678" t="str">
        <f>"8203"</f>
        <v>8203</v>
      </c>
      <c r="C2678" t="str">
        <f>"275568203"</f>
        <v>275568203</v>
      </c>
      <c r="D2678" t="s">
        <v>6803</v>
      </c>
      <c r="E2678" t="s">
        <v>231</v>
      </c>
      <c r="F2678" t="s">
        <v>264</v>
      </c>
      <c r="G2678" s="1">
        <v>25363</v>
      </c>
      <c r="H2678" s="1">
        <v>40371</v>
      </c>
      <c r="I2678" t="str">
        <f>"03"</f>
        <v>03</v>
      </c>
      <c r="J2678" t="s">
        <v>70</v>
      </c>
      <c r="K2678" t="s">
        <v>175</v>
      </c>
      <c r="L2678" t="s">
        <v>37</v>
      </c>
      <c r="M2678" t="s">
        <v>117</v>
      </c>
      <c r="N2678" s="1">
        <v>41617</v>
      </c>
      <c r="O2678">
        <v>5288.66</v>
      </c>
      <c r="P2678">
        <v>1322.1</v>
      </c>
      <c r="Q2678" t="s">
        <v>37</v>
      </c>
      <c r="R2678" t="s">
        <v>110</v>
      </c>
      <c r="S2678" t="s">
        <v>3195</v>
      </c>
      <c r="T2678" t="s">
        <v>3196</v>
      </c>
    </row>
    <row r="2679" spans="1:20" x14ac:dyDescent="0.25">
      <c r="A2679" t="s">
        <v>6804</v>
      </c>
      <c r="B2679" t="str">
        <f>"1290"</f>
        <v>1290</v>
      </c>
      <c r="C2679" t="str">
        <f>"302901290"</f>
        <v>302901290</v>
      </c>
      <c r="D2679" t="s">
        <v>6805</v>
      </c>
      <c r="E2679" t="s">
        <v>304</v>
      </c>
      <c r="F2679" t="s">
        <v>44</v>
      </c>
      <c r="G2679" s="1">
        <v>31568</v>
      </c>
      <c r="H2679" s="1">
        <v>40371</v>
      </c>
      <c r="I2679" t="str">
        <f>"41"</f>
        <v>41</v>
      </c>
      <c r="J2679" t="s">
        <v>24</v>
      </c>
      <c r="K2679" t="s">
        <v>25</v>
      </c>
      <c r="L2679" t="s">
        <v>26</v>
      </c>
      <c r="M2679" t="s">
        <v>27</v>
      </c>
      <c r="N2679" s="1">
        <v>18629</v>
      </c>
      <c r="O2679">
        <v>0</v>
      </c>
      <c r="P2679">
        <v>0</v>
      </c>
      <c r="Q2679" t="s">
        <v>28</v>
      </c>
      <c r="R2679" t="s">
        <v>71</v>
      </c>
      <c r="S2679" t="s">
        <v>5842</v>
      </c>
      <c r="T2679" t="s">
        <v>5843</v>
      </c>
    </row>
    <row r="2680" spans="1:20" x14ac:dyDescent="0.25">
      <c r="A2680" t="s">
        <v>6806</v>
      </c>
      <c r="B2680" t="str">
        <f>"2990"</f>
        <v>2990</v>
      </c>
      <c r="C2680" t="str">
        <f>"119722990"</f>
        <v>119722990</v>
      </c>
      <c r="D2680" t="s">
        <v>6807</v>
      </c>
      <c r="E2680" t="s">
        <v>704</v>
      </c>
      <c r="F2680" t="s">
        <v>4259</v>
      </c>
      <c r="G2680" s="1">
        <v>28800</v>
      </c>
      <c r="H2680" s="1">
        <v>40369</v>
      </c>
      <c r="I2680" t="str">
        <f>"30"</f>
        <v>30</v>
      </c>
      <c r="J2680" t="s">
        <v>50</v>
      </c>
      <c r="K2680" t="s">
        <v>25</v>
      </c>
      <c r="L2680" t="s">
        <v>26</v>
      </c>
      <c r="M2680" t="s">
        <v>27</v>
      </c>
      <c r="N2680" s="1">
        <v>18629</v>
      </c>
      <c r="O2680">
        <v>0</v>
      </c>
      <c r="P2680">
        <v>0</v>
      </c>
      <c r="Q2680" t="s">
        <v>28</v>
      </c>
      <c r="R2680" t="s">
        <v>346</v>
      </c>
      <c r="S2680" t="s">
        <v>655</v>
      </c>
      <c r="T2680" t="s">
        <v>656</v>
      </c>
    </row>
    <row r="2681" spans="1:20" x14ac:dyDescent="0.25">
      <c r="A2681" t="s">
        <v>6808</v>
      </c>
      <c r="B2681" t="str">
        <f>"0965"</f>
        <v>0965</v>
      </c>
      <c r="C2681" t="str">
        <f>"269980965"</f>
        <v>269980965</v>
      </c>
      <c r="D2681" t="s">
        <v>6809</v>
      </c>
      <c r="E2681" t="s">
        <v>6810</v>
      </c>
      <c r="G2681" s="1">
        <v>16458</v>
      </c>
      <c r="H2681" s="1">
        <v>40366</v>
      </c>
      <c r="I2681" t="str">
        <f>"52"</f>
        <v>52</v>
      </c>
      <c r="J2681" t="s">
        <v>330</v>
      </c>
      <c r="K2681" t="s">
        <v>25</v>
      </c>
      <c r="L2681" t="s">
        <v>26</v>
      </c>
      <c r="M2681" t="s">
        <v>27</v>
      </c>
      <c r="N2681" s="1">
        <v>18629</v>
      </c>
      <c r="O2681">
        <v>0</v>
      </c>
      <c r="P2681">
        <v>0</v>
      </c>
      <c r="Q2681" t="s">
        <v>37</v>
      </c>
      <c r="R2681" t="s">
        <v>71</v>
      </c>
      <c r="S2681" t="s">
        <v>4000</v>
      </c>
      <c r="T2681" t="s">
        <v>4001</v>
      </c>
    </row>
    <row r="2682" spans="1:20" x14ac:dyDescent="0.25">
      <c r="A2682" t="s">
        <v>6811</v>
      </c>
      <c r="B2682" t="str">
        <f>"6519"</f>
        <v>6519</v>
      </c>
      <c r="C2682" t="str">
        <f>"298686519"</f>
        <v>298686519</v>
      </c>
      <c r="D2682" t="s">
        <v>1106</v>
      </c>
      <c r="E2682" t="s">
        <v>988</v>
      </c>
      <c r="F2682" t="s">
        <v>959</v>
      </c>
      <c r="G2682" s="1">
        <v>27665</v>
      </c>
      <c r="H2682" s="1">
        <v>40365</v>
      </c>
      <c r="I2682" t="str">
        <f>"12"</f>
        <v>12</v>
      </c>
      <c r="J2682" t="s">
        <v>245</v>
      </c>
      <c r="K2682" t="s">
        <v>98</v>
      </c>
      <c r="L2682" t="s">
        <v>37</v>
      </c>
      <c r="M2682" t="s">
        <v>117</v>
      </c>
      <c r="N2682" s="1">
        <v>41617</v>
      </c>
      <c r="O2682">
        <v>4951.96</v>
      </c>
      <c r="P2682">
        <v>1237.8599999999999</v>
      </c>
      <c r="Q2682" t="s">
        <v>28</v>
      </c>
      <c r="R2682" t="s">
        <v>38</v>
      </c>
      <c r="S2682" t="s">
        <v>913</v>
      </c>
      <c r="T2682" t="s">
        <v>914</v>
      </c>
    </row>
    <row r="2683" spans="1:20" x14ac:dyDescent="0.25">
      <c r="A2683" t="s">
        <v>6812</v>
      </c>
      <c r="B2683" t="str">
        <f>"7963"</f>
        <v>7963</v>
      </c>
      <c r="C2683" t="str">
        <f>"293767963"</f>
        <v>293767963</v>
      </c>
      <c r="D2683" t="s">
        <v>5498</v>
      </c>
      <c r="E2683" t="s">
        <v>6813</v>
      </c>
      <c r="G2683" s="1">
        <v>24494</v>
      </c>
      <c r="H2683" s="1">
        <v>40365</v>
      </c>
      <c r="I2683" t="str">
        <f>"12"</f>
        <v>12</v>
      </c>
      <c r="J2683" t="s">
        <v>245</v>
      </c>
      <c r="K2683" t="s">
        <v>98</v>
      </c>
      <c r="L2683" t="s">
        <v>37</v>
      </c>
      <c r="M2683" t="s">
        <v>99</v>
      </c>
      <c r="N2683" s="1">
        <v>41617</v>
      </c>
      <c r="O2683">
        <v>14801.8</v>
      </c>
      <c r="P2683">
        <v>3700.32</v>
      </c>
      <c r="Q2683" t="s">
        <v>37</v>
      </c>
      <c r="R2683" t="s">
        <v>38</v>
      </c>
      <c r="S2683" t="s">
        <v>39</v>
      </c>
      <c r="T2683" t="s">
        <v>40</v>
      </c>
    </row>
    <row r="2684" spans="1:20" x14ac:dyDescent="0.25">
      <c r="A2684" t="s">
        <v>6814</v>
      </c>
      <c r="B2684" t="str">
        <f>"6254"</f>
        <v>6254</v>
      </c>
      <c r="C2684" t="str">
        <f>"307426254"</f>
        <v>307426254</v>
      </c>
      <c r="D2684" t="s">
        <v>597</v>
      </c>
      <c r="E2684" t="s">
        <v>609</v>
      </c>
      <c r="F2684" t="s">
        <v>329</v>
      </c>
      <c r="G2684" s="1">
        <v>14655</v>
      </c>
      <c r="H2684" s="1">
        <v>40360</v>
      </c>
      <c r="I2684" t="str">
        <f>"41"</f>
        <v>41</v>
      </c>
      <c r="J2684" t="s">
        <v>24</v>
      </c>
      <c r="K2684" t="s">
        <v>25</v>
      </c>
      <c r="L2684" t="s">
        <v>26</v>
      </c>
      <c r="M2684" t="s">
        <v>27</v>
      </c>
      <c r="N2684" s="1">
        <v>18629</v>
      </c>
      <c r="O2684">
        <v>0</v>
      </c>
      <c r="P2684">
        <v>0</v>
      </c>
      <c r="Q2684" t="s">
        <v>28</v>
      </c>
      <c r="R2684" t="s">
        <v>71</v>
      </c>
      <c r="S2684" t="s">
        <v>6815</v>
      </c>
      <c r="T2684" t="s">
        <v>6816</v>
      </c>
    </row>
    <row r="2685" spans="1:20" x14ac:dyDescent="0.25">
      <c r="A2685" t="s">
        <v>6817</v>
      </c>
      <c r="B2685" t="str">
        <f>"6849"</f>
        <v>6849</v>
      </c>
      <c r="C2685" t="str">
        <f>"269646849"</f>
        <v>269646849</v>
      </c>
      <c r="D2685" t="s">
        <v>6818</v>
      </c>
      <c r="E2685" t="s">
        <v>2126</v>
      </c>
      <c r="F2685" t="s">
        <v>6819</v>
      </c>
      <c r="G2685" s="1">
        <v>21245</v>
      </c>
      <c r="H2685" s="1">
        <v>40360</v>
      </c>
      <c r="I2685" t="str">
        <f>"30"</f>
        <v>30</v>
      </c>
      <c r="J2685" t="s">
        <v>50</v>
      </c>
      <c r="K2685" t="s">
        <v>25</v>
      </c>
      <c r="L2685" t="s">
        <v>26</v>
      </c>
      <c r="M2685" t="s">
        <v>27</v>
      </c>
      <c r="N2685" s="1">
        <v>18629</v>
      </c>
      <c r="O2685">
        <v>0</v>
      </c>
      <c r="P2685">
        <v>0</v>
      </c>
      <c r="Q2685" t="s">
        <v>37</v>
      </c>
      <c r="R2685" t="s">
        <v>71</v>
      </c>
      <c r="S2685" t="s">
        <v>522</v>
      </c>
      <c r="T2685" t="s">
        <v>523</v>
      </c>
    </row>
    <row r="2686" spans="1:20" x14ac:dyDescent="0.25">
      <c r="A2686" t="s">
        <v>6820</v>
      </c>
      <c r="B2686" t="str">
        <f>"4046"</f>
        <v>4046</v>
      </c>
      <c r="C2686" t="str">
        <f>"298384046"</f>
        <v>298384046</v>
      </c>
      <c r="D2686" t="s">
        <v>553</v>
      </c>
      <c r="E2686" t="s">
        <v>304</v>
      </c>
      <c r="F2686" t="s">
        <v>5245</v>
      </c>
      <c r="G2686" s="1">
        <v>16464</v>
      </c>
      <c r="H2686" s="1">
        <v>40360</v>
      </c>
      <c r="I2686" t="str">
        <f>"41"</f>
        <v>41</v>
      </c>
      <c r="J2686" t="s">
        <v>24</v>
      </c>
      <c r="K2686" t="s">
        <v>25</v>
      </c>
      <c r="L2686" t="s">
        <v>26</v>
      </c>
      <c r="M2686" t="s">
        <v>27</v>
      </c>
      <c r="N2686" s="1">
        <v>18629</v>
      </c>
      <c r="O2686">
        <v>0</v>
      </c>
      <c r="P2686">
        <v>0</v>
      </c>
      <c r="Q2686" t="s">
        <v>28</v>
      </c>
      <c r="R2686" t="s">
        <v>29</v>
      </c>
      <c r="S2686" t="s">
        <v>3090</v>
      </c>
      <c r="T2686" t="s">
        <v>3091</v>
      </c>
    </row>
    <row r="2687" spans="1:20" x14ac:dyDescent="0.25">
      <c r="A2687" t="s">
        <v>6821</v>
      </c>
      <c r="B2687" t="str">
        <f>"7144"</f>
        <v>7144</v>
      </c>
      <c r="C2687" t="str">
        <f>"283607144"</f>
        <v>283607144</v>
      </c>
      <c r="D2687" t="s">
        <v>6822</v>
      </c>
      <c r="E2687" t="s">
        <v>1074</v>
      </c>
      <c r="F2687" t="s">
        <v>813</v>
      </c>
      <c r="G2687" s="1">
        <v>22586</v>
      </c>
      <c r="H2687" s="1">
        <v>40360</v>
      </c>
      <c r="I2687" t="str">
        <f>"41"</f>
        <v>41</v>
      </c>
      <c r="J2687" t="s">
        <v>24</v>
      </c>
      <c r="K2687" t="s">
        <v>25</v>
      </c>
      <c r="L2687" t="s">
        <v>26</v>
      </c>
      <c r="M2687" t="s">
        <v>27</v>
      </c>
      <c r="N2687" s="1">
        <v>18629</v>
      </c>
      <c r="O2687">
        <v>0</v>
      </c>
      <c r="P2687">
        <v>0</v>
      </c>
      <c r="Q2687" t="s">
        <v>37</v>
      </c>
      <c r="R2687" t="s">
        <v>51</v>
      </c>
      <c r="S2687" s="2" t="s">
        <v>3111</v>
      </c>
      <c r="T2687" t="s">
        <v>3112</v>
      </c>
    </row>
    <row r="2688" spans="1:20" x14ac:dyDescent="0.25">
      <c r="A2688" t="s">
        <v>6823</v>
      </c>
      <c r="B2688" t="str">
        <f>"9425"</f>
        <v>9425</v>
      </c>
      <c r="C2688" t="str">
        <f>"291569425"</f>
        <v>291569425</v>
      </c>
      <c r="D2688" t="s">
        <v>6824</v>
      </c>
      <c r="E2688" t="s">
        <v>944</v>
      </c>
      <c r="F2688" t="s">
        <v>93</v>
      </c>
      <c r="G2688" s="1">
        <v>20972</v>
      </c>
      <c r="H2688" s="1">
        <v>40360</v>
      </c>
      <c r="I2688" t="str">
        <f>"41"</f>
        <v>41</v>
      </c>
      <c r="J2688" t="s">
        <v>24</v>
      </c>
      <c r="K2688" t="s">
        <v>25</v>
      </c>
      <c r="L2688" t="s">
        <v>26</v>
      </c>
      <c r="M2688" t="s">
        <v>27</v>
      </c>
      <c r="N2688" s="1">
        <v>18629</v>
      </c>
      <c r="O2688">
        <v>0</v>
      </c>
      <c r="P2688">
        <v>0</v>
      </c>
      <c r="Q2688" t="s">
        <v>28</v>
      </c>
      <c r="R2688" t="s">
        <v>71</v>
      </c>
      <c r="S2688" t="s">
        <v>3844</v>
      </c>
      <c r="T2688" t="s">
        <v>3845</v>
      </c>
    </row>
    <row r="2689" spans="1:20" x14ac:dyDescent="0.25">
      <c r="A2689" t="s">
        <v>6825</v>
      </c>
      <c r="B2689" t="str">
        <f>"8992"</f>
        <v>8992</v>
      </c>
      <c r="C2689" t="str">
        <f>"272588992"</f>
        <v>272588992</v>
      </c>
      <c r="D2689" t="s">
        <v>6826</v>
      </c>
      <c r="E2689" t="s">
        <v>3318</v>
      </c>
      <c r="F2689" t="s">
        <v>264</v>
      </c>
      <c r="G2689" s="1">
        <v>20983</v>
      </c>
      <c r="H2689" s="1">
        <v>40360</v>
      </c>
      <c r="I2689" t="str">
        <f>"31"</f>
        <v>31</v>
      </c>
      <c r="J2689" t="s">
        <v>3321</v>
      </c>
      <c r="K2689" t="s">
        <v>25</v>
      </c>
      <c r="L2689" t="s">
        <v>26</v>
      </c>
      <c r="M2689" t="s">
        <v>27</v>
      </c>
      <c r="N2689" s="1">
        <v>18629</v>
      </c>
      <c r="O2689">
        <v>0</v>
      </c>
      <c r="P2689">
        <v>0</v>
      </c>
      <c r="Q2689" t="s">
        <v>37</v>
      </c>
      <c r="R2689" t="s">
        <v>71</v>
      </c>
      <c r="S2689" t="s">
        <v>790</v>
      </c>
      <c r="T2689" t="s">
        <v>791</v>
      </c>
    </row>
    <row r="2690" spans="1:20" x14ac:dyDescent="0.25">
      <c r="A2690" t="s">
        <v>6827</v>
      </c>
      <c r="B2690" t="str">
        <f>"1563"</f>
        <v>1563</v>
      </c>
      <c r="C2690" t="str">
        <f>"275741563"</f>
        <v>275741563</v>
      </c>
      <c r="D2690" t="s">
        <v>6828</v>
      </c>
      <c r="E2690" t="s">
        <v>6829</v>
      </c>
      <c r="G2690" s="1">
        <v>25966</v>
      </c>
      <c r="H2690" s="1">
        <v>40360</v>
      </c>
      <c r="I2690" t="str">
        <f>"52"</f>
        <v>52</v>
      </c>
      <c r="J2690" t="s">
        <v>330</v>
      </c>
      <c r="K2690" t="s">
        <v>25</v>
      </c>
      <c r="L2690" t="s">
        <v>26</v>
      </c>
      <c r="M2690" t="s">
        <v>27</v>
      </c>
      <c r="N2690" s="1">
        <v>18629</v>
      </c>
      <c r="O2690">
        <v>0</v>
      </c>
      <c r="P2690">
        <v>0</v>
      </c>
      <c r="Q2690" t="s">
        <v>37</v>
      </c>
      <c r="R2690" t="s">
        <v>29</v>
      </c>
      <c r="S2690" t="s">
        <v>918</v>
      </c>
      <c r="T2690" t="s">
        <v>919</v>
      </c>
    </row>
    <row r="2691" spans="1:20" x14ac:dyDescent="0.25">
      <c r="A2691" t="s">
        <v>6830</v>
      </c>
      <c r="B2691" t="str">
        <f>"6826"</f>
        <v>6826</v>
      </c>
      <c r="C2691" t="str">
        <f>"300766826"</f>
        <v>300766826</v>
      </c>
      <c r="D2691" t="s">
        <v>6831</v>
      </c>
      <c r="E2691" t="s">
        <v>82</v>
      </c>
      <c r="F2691" t="s">
        <v>28</v>
      </c>
      <c r="G2691" s="1">
        <v>24451</v>
      </c>
      <c r="H2691" s="1">
        <v>40360</v>
      </c>
      <c r="I2691" t="str">
        <f>"05"</f>
        <v>05</v>
      </c>
      <c r="J2691" t="s">
        <v>58</v>
      </c>
      <c r="L2691" t="s">
        <v>37</v>
      </c>
      <c r="M2691" t="s">
        <v>143</v>
      </c>
      <c r="N2691" s="1">
        <v>41617</v>
      </c>
      <c r="O2691">
        <v>185.9</v>
      </c>
      <c r="P2691">
        <v>-185.9</v>
      </c>
      <c r="Q2691" t="s">
        <v>37</v>
      </c>
      <c r="R2691" t="s">
        <v>100</v>
      </c>
      <c r="S2691" t="s">
        <v>101</v>
      </c>
      <c r="T2691" t="s">
        <v>102</v>
      </c>
    </row>
    <row r="2692" spans="1:20" x14ac:dyDescent="0.25">
      <c r="A2692" t="s">
        <v>6832</v>
      </c>
      <c r="B2692" t="str">
        <f>"7804"</f>
        <v>7804</v>
      </c>
      <c r="C2692" t="str">
        <f>"284427804"</f>
        <v>284427804</v>
      </c>
      <c r="D2692" t="s">
        <v>6833</v>
      </c>
      <c r="E2692" t="s">
        <v>1113</v>
      </c>
      <c r="F2692" t="s">
        <v>44</v>
      </c>
      <c r="G2692" s="1">
        <v>17347</v>
      </c>
      <c r="H2692" s="1">
        <v>40360</v>
      </c>
      <c r="I2692" t="str">
        <f>"41"</f>
        <v>41</v>
      </c>
      <c r="J2692" t="s">
        <v>24</v>
      </c>
      <c r="K2692" t="s">
        <v>25</v>
      </c>
      <c r="L2692" t="s">
        <v>26</v>
      </c>
      <c r="M2692" t="s">
        <v>27</v>
      </c>
      <c r="N2692" s="1">
        <v>18629</v>
      </c>
      <c r="O2692">
        <v>0</v>
      </c>
      <c r="P2692">
        <v>0</v>
      </c>
      <c r="Q2692" t="s">
        <v>37</v>
      </c>
      <c r="R2692" t="s">
        <v>71</v>
      </c>
      <c r="S2692" t="s">
        <v>271</v>
      </c>
      <c r="T2692" t="s">
        <v>272</v>
      </c>
    </row>
    <row r="2693" spans="1:20" x14ac:dyDescent="0.25">
      <c r="A2693" t="s">
        <v>6834</v>
      </c>
      <c r="B2693" t="str">
        <f>"0268"</f>
        <v>0268</v>
      </c>
      <c r="C2693" t="str">
        <f>"297500268"</f>
        <v>297500268</v>
      </c>
      <c r="D2693" t="s">
        <v>1798</v>
      </c>
      <c r="E2693" t="s">
        <v>2551</v>
      </c>
      <c r="F2693" t="s">
        <v>264</v>
      </c>
      <c r="G2693" s="1">
        <v>19627</v>
      </c>
      <c r="H2693" s="1">
        <v>40360</v>
      </c>
      <c r="I2693" t="str">
        <f>"41"</f>
        <v>41</v>
      </c>
      <c r="J2693" t="s">
        <v>24</v>
      </c>
      <c r="K2693" t="s">
        <v>25</v>
      </c>
      <c r="L2693" t="s">
        <v>26</v>
      </c>
      <c r="M2693" t="s">
        <v>27</v>
      </c>
      <c r="N2693" s="1">
        <v>18629</v>
      </c>
      <c r="O2693">
        <v>0</v>
      </c>
      <c r="P2693">
        <v>0</v>
      </c>
      <c r="Q2693" t="s">
        <v>37</v>
      </c>
      <c r="R2693" t="s">
        <v>38</v>
      </c>
      <c r="S2693" t="s">
        <v>1051</v>
      </c>
      <c r="T2693" t="s">
        <v>1052</v>
      </c>
    </row>
    <row r="2694" spans="1:20" x14ac:dyDescent="0.25">
      <c r="A2694" t="s">
        <v>6835</v>
      </c>
      <c r="B2694" t="str">
        <f>"5579"</f>
        <v>5579</v>
      </c>
      <c r="C2694" t="str">
        <f>"283605579"</f>
        <v>283605579</v>
      </c>
      <c r="D2694" t="s">
        <v>5392</v>
      </c>
      <c r="E2694" t="s">
        <v>1450</v>
      </c>
      <c r="F2694" t="s">
        <v>556</v>
      </c>
      <c r="G2694" s="1">
        <v>20679</v>
      </c>
      <c r="H2694" s="1">
        <v>40360</v>
      </c>
      <c r="I2694" t="str">
        <f>"05"</f>
        <v>05</v>
      </c>
      <c r="J2694" t="s">
        <v>58</v>
      </c>
      <c r="K2694" t="s">
        <v>98</v>
      </c>
      <c r="L2694" t="s">
        <v>37</v>
      </c>
      <c r="M2694" t="s">
        <v>117</v>
      </c>
      <c r="N2694" s="1">
        <v>41617</v>
      </c>
      <c r="O2694">
        <v>4951.96</v>
      </c>
      <c r="P2694">
        <v>1237.8599999999999</v>
      </c>
      <c r="Q2694" t="s">
        <v>37</v>
      </c>
      <c r="R2694" t="s">
        <v>71</v>
      </c>
      <c r="S2694" t="s">
        <v>2790</v>
      </c>
      <c r="T2694" t="s">
        <v>2791</v>
      </c>
    </row>
    <row r="2695" spans="1:20" x14ac:dyDescent="0.25">
      <c r="A2695" t="s">
        <v>6836</v>
      </c>
      <c r="B2695" t="str">
        <f>"5716"</f>
        <v>5716</v>
      </c>
      <c r="C2695" t="str">
        <f>"286525716"</f>
        <v>286525716</v>
      </c>
      <c r="D2695" t="s">
        <v>6837</v>
      </c>
      <c r="E2695" t="s">
        <v>3178</v>
      </c>
      <c r="F2695" t="s">
        <v>28</v>
      </c>
      <c r="G2695" s="1">
        <v>18929</v>
      </c>
      <c r="H2695" s="1">
        <v>40360</v>
      </c>
      <c r="I2695" t="str">
        <f>"30"</f>
        <v>30</v>
      </c>
      <c r="J2695" t="s">
        <v>50</v>
      </c>
      <c r="K2695" t="s">
        <v>25</v>
      </c>
      <c r="L2695" t="s">
        <v>26</v>
      </c>
      <c r="M2695" t="s">
        <v>27</v>
      </c>
      <c r="N2695" s="1">
        <v>18629</v>
      </c>
      <c r="O2695">
        <v>0</v>
      </c>
      <c r="P2695">
        <v>0</v>
      </c>
      <c r="Q2695" t="s">
        <v>28</v>
      </c>
      <c r="R2695" t="s">
        <v>71</v>
      </c>
      <c r="S2695" t="s">
        <v>923</v>
      </c>
      <c r="T2695" t="s">
        <v>924</v>
      </c>
    </row>
    <row r="2696" spans="1:20" x14ac:dyDescent="0.25">
      <c r="A2696" t="s">
        <v>6838</v>
      </c>
      <c r="B2696" t="str">
        <f>"3069"</f>
        <v>3069</v>
      </c>
      <c r="C2696" t="str">
        <f>"277903069"</f>
        <v>277903069</v>
      </c>
      <c r="D2696" t="s">
        <v>6839</v>
      </c>
      <c r="E2696" t="s">
        <v>430</v>
      </c>
      <c r="F2696" t="s">
        <v>1487</v>
      </c>
      <c r="G2696" s="1">
        <v>31343</v>
      </c>
      <c r="H2696" s="1">
        <v>40360</v>
      </c>
      <c r="I2696" t="str">
        <f>"30"</f>
        <v>30</v>
      </c>
      <c r="J2696" t="s">
        <v>50</v>
      </c>
      <c r="K2696" t="s">
        <v>25</v>
      </c>
      <c r="L2696" t="s">
        <v>26</v>
      </c>
      <c r="M2696" t="s">
        <v>27</v>
      </c>
      <c r="N2696" s="1">
        <v>18629</v>
      </c>
      <c r="O2696">
        <v>0</v>
      </c>
      <c r="P2696">
        <v>0</v>
      </c>
      <c r="Q2696" t="s">
        <v>28</v>
      </c>
      <c r="R2696" t="s">
        <v>71</v>
      </c>
      <c r="S2696" t="s">
        <v>5842</v>
      </c>
      <c r="T2696" t="s">
        <v>5843</v>
      </c>
    </row>
    <row r="2697" spans="1:20" x14ac:dyDescent="0.25">
      <c r="A2697" t="s">
        <v>6840</v>
      </c>
      <c r="B2697" t="str">
        <f>"3024"</f>
        <v>3024</v>
      </c>
      <c r="C2697" t="str">
        <f>"373603024"</f>
        <v>373603024</v>
      </c>
      <c r="D2697" t="s">
        <v>6841</v>
      </c>
      <c r="E2697" t="s">
        <v>6842</v>
      </c>
      <c r="F2697" t="s">
        <v>37</v>
      </c>
      <c r="G2697" s="1">
        <v>19296</v>
      </c>
      <c r="H2697" s="1">
        <v>40360</v>
      </c>
      <c r="I2697" t="str">
        <f>"41"</f>
        <v>41</v>
      </c>
      <c r="J2697" t="s">
        <v>24</v>
      </c>
      <c r="K2697" t="s">
        <v>25</v>
      </c>
      <c r="L2697" t="s">
        <v>26</v>
      </c>
      <c r="M2697" t="s">
        <v>27</v>
      </c>
      <c r="N2697" s="1">
        <v>18629</v>
      </c>
      <c r="O2697">
        <v>0</v>
      </c>
      <c r="P2697">
        <v>0</v>
      </c>
      <c r="Q2697" t="s">
        <v>37</v>
      </c>
      <c r="R2697" t="s">
        <v>71</v>
      </c>
      <c r="S2697" t="s">
        <v>2297</v>
      </c>
      <c r="T2697" t="s">
        <v>2298</v>
      </c>
    </row>
    <row r="2698" spans="1:20" x14ac:dyDescent="0.25">
      <c r="A2698" t="s">
        <v>6843</v>
      </c>
      <c r="B2698" t="str">
        <f>"9264"</f>
        <v>9264</v>
      </c>
      <c r="C2698" t="str">
        <f>"294549264"</f>
        <v>294549264</v>
      </c>
      <c r="D2698" t="s">
        <v>6844</v>
      </c>
      <c r="E2698" t="s">
        <v>1655</v>
      </c>
      <c r="F2698" t="s">
        <v>219</v>
      </c>
      <c r="G2698" s="1">
        <v>20102</v>
      </c>
      <c r="H2698" s="1">
        <v>40360</v>
      </c>
      <c r="I2698" t="str">
        <f>"30"</f>
        <v>30</v>
      </c>
      <c r="J2698" t="s">
        <v>50</v>
      </c>
      <c r="K2698" t="s">
        <v>25</v>
      </c>
      <c r="L2698" t="s">
        <v>26</v>
      </c>
      <c r="M2698" t="s">
        <v>27</v>
      </c>
      <c r="N2698" s="1">
        <v>18629</v>
      </c>
      <c r="O2698">
        <v>0</v>
      </c>
      <c r="P2698">
        <v>0</v>
      </c>
      <c r="Q2698" t="s">
        <v>37</v>
      </c>
      <c r="R2698" t="s">
        <v>71</v>
      </c>
      <c r="S2698" t="s">
        <v>522</v>
      </c>
      <c r="T2698" t="s">
        <v>523</v>
      </c>
    </row>
    <row r="2699" spans="1:20" x14ac:dyDescent="0.25">
      <c r="A2699" t="s">
        <v>6845</v>
      </c>
      <c r="B2699" t="str">
        <f>"0127"</f>
        <v>0127</v>
      </c>
      <c r="C2699" t="str">
        <f>"517940127"</f>
        <v>517940127</v>
      </c>
      <c r="D2699" t="s">
        <v>6846</v>
      </c>
      <c r="E2699" t="s">
        <v>988</v>
      </c>
      <c r="F2699" t="s">
        <v>908</v>
      </c>
      <c r="G2699" s="1">
        <v>24108</v>
      </c>
      <c r="H2699" s="1">
        <v>40360</v>
      </c>
      <c r="I2699" t="str">
        <f>"41"</f>
        <v>41</v>
      </c>
      <c r="J2699" t="s">
        <v>24</v>
      </c>
      <c r="K2699" t="s">
        <v>25</v>
      </c>
      <c r="L2699" t="s">
        <v>26</v>
      </c>
      <c r="M2699" t="s">
        <v>27</v>
      </c>
      <c r="N2699" s="1">
        <v>18629</v>
      </c>
      <c r="O2699">
        <v>0</v>
      </c>
      <c r="P2699">
        <v>0</v>
      </c>
      <c r="Q2699" t="s">
        <v>28</v>
      </c>
      <c r="R2699" t="s">
        <v>258</v>
      </c>
      <c r="S2699" t="s">
        <v>331</v>
      </c>
      <c r="T2699" t="s">
        <v>332</v>
      </c>
    </row>
    <row r="2700" spans="1:20" x14ac:dyDescent="0.25">
      <c r="A2700" t="s">
        <v>6847</v>
      </c>
      <c r="B2700" t="str">
        <f>"0407"</f>
        <v>0407</v>
      </c>
      <c r="C2700" t="str">
        <f>"293780407"</f>
        <v>293780407</v>
      </c>
      <c r="D2700" t="s">
        <v>6848</v>
      </c>
      <c r="E2700" t="s">
        <v>35</v>
      </c>
      <c r="F2700" t="s">
        <v>44</v>
      </c>
      <c r="G2700" s="1">
        <v>27125</v>
      </c>
      <c r="H2700" s="1">
        <v>40360</v>
      </c>
      <c r="I2700" t="str">
        <f>"51"</f>
        <v>51</v>
      </c>
      <c r="J2700" t="s">
        <v>471</v>
      </c>
      <c r="K2700" t="s">
        <v>25</v>
      </c>
      <c r="L2700" t="s">
        <v>26</v>
      </c>
      <c r="M2700" t="s">
        <v>27</v>
      </c>
      <c r="N2700" s="1">
        <v>18629</v>
      </c>
      <c r="O2700">
        <v>0</v>
      </c>
      <c r="P2700">
        <v>0</v>
      </c>
      <c r="Q2700" t="s">
        <v>28</v>
      </c>
      <c r="R2700" t="s">
        <v>29</v>
      </c>
      <c r="S2700" t="s">
        <v>1572</v>
      </c>
      <c r="T2700" t="s">
        <v>1573</v>
      </c>
    </row>
    <row r="2701" spans="1:20" x14ac:dyDescent="0.25">
      <c r="A2701" t="s">
        <v>6849</v>
      </c>
      <c r="B2701" t="str">
        <f>"7593"</f>
        <v>7593</v>
      </c>
      <c r="C2701" t="str">
        <f>"302727593"</f>
        <v>302727593</v>
      </c>
      <c r="D2701" t="s">
        <v>6850</v>
      </c>
      <c r="E2701" t="s">
        <v>6851</v>
      </c>
      <c r="F2701" t="s">
        <v>93</v>
      </c>
      <c r="G2701" s="1">
        <v>22632</v>
      </c>
      <c r="H2701" s="1">
        <v>40360</v>
      </c>
      <c r="I2701" t="str">
        <f>"15"</f>
        <v>15</v>
      </c>
      <c r="J2701" t="s">
        <v>36</v>
      </c>
      <c r="K2701" t="s">
        <v>98</v>
      </c>
      <c r="L2701" t="s">
        <v>37</v>
      </c>
      <c r="M2701" t="s">
        <v>257</v>
      </c>
      <c r="N2701" s="1">
        <v>41855</v>
      </c>
      <c r="O2701">
        <v>10753.08</v>
      </c>
      <c r="P2701">
        <v>2688.4</v>
      </c>
      <c r="Q2701" t="s">
        <v>37</v>
      </c>
      <c r="R2701" t="s">
        <v>38</v>
      </c>
      <c r="S2701" t="s">
        <v>5868</v>
      </c>
      <c r="T2701" t="s">
        <v>5869</v>
      </c>
    </row>
    <row r="2702" spans="1:20" x14ac:dyDescent="0.25">
      <c r="A2702" t="s">
        <v>6852</v>
      </c>
      <c r="B2702" t="str">
        <f>"9969"</f>
        <v>9969</v>
      </c>
      <c r="C2702" t="str">
        <f>"072349969"</f>
        <v>072349969</v>
      </c>
      <c r="D2702" t="s">
        <v>6853</v>
      </c>
      <c r="E2702" t="s">
        <v>3477</v>
      </c>
      <c r="F2702" t="s">
        <v>239</v>
      </c>
      <c r="G2702" s="1">
        <v>15867</v>
      </c>
      <c r="H2702" s="1">
        <v>40360</v>
      </c>
      <c r="I2702" t="str">
        <f>"01"</f>
        <v>01</v>
      </c>
      <c r="J2702" t="s">
        <v>116</v>
      </c>
      <c r="K2702" t="s">
        <v>98</v>
      </c>
      <c r="L2702" t="s">
        <v>37</v>
      </c>
      <c r="M2702" t="s">
        <v>257</v>
      </c>
      <c r="N2702" s="1">
        <v>41617</v>
      </c>
      <c r="O2702">
        <v>10753.08</v>
      </c>
      <c r="P2702">
        <v>2688.4</v>
      </c>
      <c r="Q2702" t="s">
        <v>28</v>
      </c>
      <c r="R2702" t="s">
        <v>38</v>
      </c>
      <c r="S2702" t="s">
        <v>39</v>
      </c>
      <c r="T2702" t="s">
        <v>40</v>
      </c>
    </row>
    <row r="2703" spans="1:20" x14ac:dyDescent="0.25">
      <c r="A2703" t="s">
        <v>6854</v>
      </c>
      <c r="B2703" t="str">
        <f>"9259"</f>
        <v>9259</v>
      </c>
      <c r="C2703" t="str">
        <f>"280549259"</f>
        <v>280549259</v>
      </c>
      <c r="D2703" t="s">
        <v>6855</v>
      </c>
      <c r="E2703" t="s">
        <v>1134</v>
      </c>
      <c r="G2703" s="1">
        <v>20409</v>
      </c>
      <c r="H2703" s="1">
        <v>40360</v>
      </c>
      <c r="I2703" t="str">
        <f>"30"</f>
        <v>30</v>
      </c>
      <c r="J2703" t="s">
        <v>50</v>
      </c>
      <c r="K2703" t="s">
        <v>25</v>
      </c>
      <c r="L2703" t="s">
        <v>26</v>
      </c>
      <c r="M2703" t="s">
        <v>27</v>
      </c>
      <c r="N2703" s="1">
        <v>18629</v>
      </c>
      <c r="O2703">
        <v>0</v>
      </c>
      <c r="P2703">
        <v>0</v>
      </c>
      <c r="Q2703" t="s">
        <v>37</v>
      </c>
      <c r="R2703" t="s">
        <v>346</v>
      </c>
      <c r="S2703" t="s">
        <v>655</v>
      </c>
      <c r="T2703" t="s">
        <v>656</v>
      </c>
    </row>
    <row r="2704" spans="1:20" x14ac:dyDescent="0.25">
      <c r="A2704" t="s">
        <v>6856</v>
      </c>
      <c r="B2704" t="str">
        <f>"8347"</f>
        <v>8347</v>
      </c>
      <c r="C2704" t="str">
        <f>"294688347"</f>
        <v>294688347</v>
      </c>
      <c r="D2704" t="s">
        <v>6857</v>
      </c>
      <c r="E2704" t="s">
        <v>6858</v>
      </c>
      <c r="G2704" s="1">
        <v>23545</v>
      </c>
      <c r="H2704" s="1">
        <v>40360</v>
      </c>
      <c r="I2704" t="str">
        <f>"41"</f>
        <v>41</v>
      </c>
      <c r="J2704" t="s">
        <v>24</v>
      </c>
      <c r="K2704" t="s">
        <v>25</v>
      </c>
      <c r="L2704" t="s">
        <v>26</v>
      </c>
      <c r="M2704" t="s">
        <v>27</v>
      </c>
      <c r="N2704" s="1">
        <v>18629</v>
      </c>
      <c r="O2704">
        <v>0</v>
      </c>
      <c r="P2704">
        <v>0</v>
      </c>
      <c r="Q2704" t="s">
        <v>28</v>
      </c>
      <c r="R2704" t="s">
        <v>258</v>
      </c>
      <c r="S2704" t="s">
        <v>78</v>
      </c>
      <c r="T2704" t="s">
        <v>79</v>
      </c>
    </row>
    <row r="2705" spans="1:20" x14ac:dyDescent="0.25">
      <c r="A2705" t="s">
        <v>6859</v>
      </c>
      <c r="B2705" t="str">
        <f>"2603"</f>
        <v>2603</v>
      </c>
      <c r="C2705" t="str">
        <f>"302482603"</f>
        <v>302482603</v>
      </c>
      <c r="D2705" t="s">
        <v>3853</v>
      </c>
      <c r="E2705" t="s">
        <v>184</v>
      </c>
      <c r="F2705" t="s">
        <v>97</v>
      </c>
      <c r="G2705" s="1">
        <v>18736</v>
      </c>
      <c r="H2705" s="1">
        <v>40360</v>
      </c>
      <c r="I2705" t="str">
        <f>"41"</f>
        <v>41</v>
      </c>
      <c r="J2705" t="s">
        <v>24</v>
      </c>
      <c r="K2705" t="s">
        <v>25</v>
      </c>
      <c r="L2705" t="s">
        <v>26</v>
      </c>
      <c r="M2705" t="s">
        <v>27</v>
      </c>
      <c r="N2705" s="1">
        <v>18629</v>
      </c>
      <c r="O2705">
        <v>0</v>
      </c>
      <c r="P2705">
        <v>0</v>
      </c>
      <c r="Q2705" t="s">
        <v>37</v>
      </c>
      <c r="R2705" t="s">
        <v>29</v>
      </c>
      <c r="S2705" t="s">
        <v>3090</v>
      </c>
      <c r="T2705" t="s">
        <v>3091</v>
      </c>
    </row>
    <row r="2706" spans="1:20" x14ac:dyDescent="0.25">
      <c r="A2706" t="s">
        <v>6860</v>
      </c>
      <c r="B2706" t="str">
        <f>"6132"</f>
        <v>6132</v>
      </c>
      <c r="C2706" t="str">
        <f>"302646132"</f>
        <v>302646132</v>
      </c>
      <c r="D2706" t="s">
        <v>288</v>
      </c>
      <c r="E2706" t="s">
        <v>1854</v>
      </c>
      <c r="G2706" s="1">
        <v>21287</v>
      </c>
      <c r="H2706" s="1">
        <v>40360</v>
      </c>
      <c r="I2706" t="str">
        <f>"41"</f>
        <v>41</v>
      </c>
      <c r="J2706" t="s">
        <v>24</v>
      </c>
      <c r="K2706" t="s">
        <v>25</v>
      </c>
      <c r="L2706" t="s">
        <v>26</v>
      </c>
      <c r="M2706" t="s">
        <v>27</v>
      </c>
      <c r="N2706" s="1">
        <v>18629</v>
      </c>
      <c r="O2706">
        <v>0</v>
      </c>
      <c r="P2706">
        <v>0</v>
      </c>
      <c r="Q2706" t="s">
        <v>28</v>
      </c>
      <c r="R2706" t="s">
        <v>77</v>
      </c>
      <c r="S2706" t="s">
        <v>78</v>
      </c>
      <c r="T2706" t="s">
        <v>79</v>
      </c>
    </row>
    <row r="2707" spans="1:20" x14ac:dyDescent="0.25">
      <c r="A2707" t="s">
        <v>6861</v>
      </c>
      <c r="B2707" t="str">
        <f>"1353"</f>
        <v>1353</v>
      </c>
      <c r="C2707" t="str">
        <f>"297501353"</f>
        <v>297501353</v>
      </c>
      <c r="D2707" t="s">
        <v>6862</v>
      </c>
      <c r="E2707" t="s">
        <v>1589</v>
      </c>
      <c r="G2707" s="1">
        <v>18927</v>
      </c>
      <c r="H2707" s="1">
        <v>40360</v>
      </c>
      <c r="I2707" t="str">
        <f>"41"</f>
        <v>41</v>
      </c>
      <c r="J2707" t="s">
        <v>24</v>
      </c>
      <c r="K2707" t="s">
        <v>25</v>
      </c>
      <c r="L2707" t="s">
        <v>26</v>
      </c>
      <c r="M2707" t="s">
        <v>27</v>
      </c>
      <c r="N2707" s="1">
        <v>18629</v>
      </c>
      <c r="O2707">
        <v>0</v>
      </c>
      <c r="P2707">
        <v>0</v>
      </c>
      <c r="Q2707" t="s">
        <v>37</v>
      </c>
      <c r="R2707" t="s">
        <v>51</v>
      </c>
      <c r="S2707" t="s">
        <v>477</v>
      </c>
      <c r="T2707" t="s">
        <v>478</v>
      </c>
    </row>
    <row r="2708" spans="1:20" x14ac:dyDescent="0.25">
      <c r="A2708" t="s">
        <v>6863</v>
      </c>
      <c r="B2708" t="str">
        <f>"3099"</f>
        <v>3099</v>
      </c>
      <c r="C2708" t="str">
        <f>"277723099"</f>
        <v>277723099</v>
      </c>
      <c r="D2708" t="s">
        <v>5032</v>
      </c>
      <c r="E2708" t="s">
        <v>588</v>
      </c>
      <c r="F2708" t="s">
        <v>2267</v>
      </c>
      <c r="G2708" s="1">
        <v>27392</v>
      </c>
      <c r="H2708" s="1">
        <v>40360</v>
      </c>
      <c r="I2708" t="str">
        <f>"41"</f>
        <v>41</v>
      </c>
      <c r="J2708" t="s">
        <v>24</v>
      </c>
      <c r="K2708" t="s">
        <v>25</v>
      </c>
      <c r="L2708" t="s">
        <v>26</v>
      </c>
      <c r="M2708" t="s">
        <v>27</v>
      </c>
      <c r="N2708" s="1">
        <v>18629</v>
      </c>
      <c r="O2708">
        <v>0</v>
      </c>
      <c r="P2708">
        <v>0</v>
      </c>
      <c r="Q2708" t="s">
        <v>28</v>
      </c>
      <c r="R2708" t="s">
        <v>51</v>
      </c>
      <c r="S2708" t="s">
        <v>477</v>
      </c>
      <c r="T2708" t="s">
        <v>478</v>
      </c>
    </row>
    <row r="2709" spans="1:20" x14ac:dyDescent="0.25">
      <c r="A2709" t="s">
        <v>6864</v>
      </c>
      <c r="B2709" t="str">
        <f>"5126"</f>
        <v>5126</v>
      </c>
      <c r="C2709" t="str">
        <f>"301905126"</f>
        <v>301905126</v>
      </c>
      <c r="D2709" t="s">
        <v>6865</v>
      </c>
      <c r="E2709" t="s">
        <v>33</v>
      </c>
      <c r="F2709" t="s">
        <v>219</v>
      </c>
      <c r="G2709" s="1">
        <v>31519</v>
      </c>
      <c r="H2709" s="1">
        <v>40360</v>
      </c>
      <c r="I2709" t="str">
        <f>"30"</f>
        <v>30</v>
      </c>
      <c r="J2709" t="s">
        <v>50</v>
      </c>
      <c r="K2709" t="s">
        <v>25</v>
      </c>
      <c r="L2709" t="s">
        <v>26</v>
      </c>
      <c r="M2709" t="s">
        <v>27</v>
      </c>
      <c r="N2709" s="1">
        <v>18629</v>
      </c>
      <c r="O2709">
        <v>0</v>
      </c>
      <c r="P2709">
        <v>0</v>
      </c>
      <c r="Q2709" t="s">
        <v>28</v>
      </c>
      <c r="R2709" t="s">
        <v>71</v>
      </c>
      <c r="S2709" t="s">
        <v>5842</v>
      </c>
      <c r="T2709" t="s">
        <v>5843</v>
      </c>
    </row>
    <row r="2710" spans="1:20" x14ac:dyDescent="0.25">
      <c r="A2710" t="s">
        <v>6866</v>
      </c>
      <c r="B2710" t="str">
        <f>"7765"</f>
        <v>7765</v>
      </c>
      <c r="C2710" t="str">
        <f>"296727765"</f>
        <v>296727765</v>
      </c>
      <c r="D2710" t="s">
        <v>6867</v>
      </c>
      <c r="E2710" t="s">
        <v>6868</v>
      </c>
      <c r="F2710" t="s">
        <v>165</v>
      </c>
      <c r="G2710" s="1">
        <v>24042</v>
      </c>
      <c r="H2710" s="1">
        <v>40360</v>
      </c>
      <c r="I2710" t="str">
        <f>"31"</f>
        <v>31</v>
      </c>
      <c r="J2710" t="s">
        <v>3321</v>
      </c>
      <c r="K2710" t="s">
        <v>25</v>
      </c>
      <c r="L2710" t="s">
        <v>26</v>
      </c>
      <c r="M2710" t="s">
        <v>27</v>
      </c>
      <c r="N2710" s="1">
        <v>18629</v>
      </c>
      <c r="O2710">
        <v>0</v>
      </c>
      <c r="P2710">
        <v>0</v>
      </c>
      <c r="Q2710" t="s">
        <v>28</v>
      </c>
      <c r="R2710" t="s">
        <v>71</v>
      </c>
      <c r="S2710" t="s">
        <v>5842</v>
      </c>
      <c r="T2710" t="s">
        <v>5843</v>
      </c>
    </row>
    <row r="2711" spans="1:20" x14ac:dyDescent="0.25">
      <c r="A2711" t="s">
        <v>6869</v>
      </c>
      <c r="B2711" t="str">
        <f>"0639"</f>
        <v>0639</v>
      </c>
      <c r="C2711" t="str">
        <f>"294500639"</f>
        <v>294500639</v>
      </c>
      <c r="D2711" t="s">
        <v>860</v>
      </c>
      <c r="E2711" t="s">
        <v>6870</v>
      </c>
      <c r="F2711" t="s">
        <v>219</v>
      </c>
      <c r="G2711" s="1">
        <v>18419</v>
      </c>
      <c r="H2711" s="1">
        <v>40360</v>
      </c>
      <c r="I2711" t="str">
        <f>"41"</f>
        <v>41</v>
      </c>
      <c r="J2711" t="s">
        <v>24</v>
      </c>
      <c r="K2711" t="s">
        <v>25</v>
      </c>
      <c r="L2711" t="s">
        <v>26</v>
      </c>
      <c r="M2711" t="s">
        <v>27</v>
      </c>
      <c r="N2711" s="1">
        <v>18629</v>
      </c>
      <c r="O2711">
        <v>0</v>
      </c>
      <c r="P2711">
        <v>0</v>
      </c>
      <c r="Q2711" t="s">
        <v>37</v>
      </c>
      <c r="R2711" t="s">
        <v>29</v>
      </c>
      <c r="S2711" t="s">
        <v>514</v>
      </c>
      <c r="T2711" t="s">
        <v>515</v>
      </c>
    </row>
    <row r="2712" spans="1:20" x14ac:dyDescent="0.25">
      <c r="A2712" t="s">
        <v>6871</v>
      </c>
      <c r="B2712" t="str">
        <f>"3759"</f>
        <v>3759</v>
      </c>
      <c r="C2712" t="str">
        <f>"279783759"</f>
        <v>279783759</v>
      </c>
      <c r="D2712" t="s">
        <v>6872</v>
      </c>
      <c r="E2712" t="s">
        <v>5644</v>
      </c>
      <c r="F2712" t="s">
        <v>28</v>
      </c>
      <c r="G2712" s="1">
        <v>29223</v>
      </c>
      <c r="H2712" s="1">
        <v>40360</v>
      </c>
      <c r="I2712" t="str">
        <f>"03"</f>
        <v>03</v>
      </c>
      <c r="J2712" t="s">
        <v>70</v>
      </c>
      <c r="K2712" t="s">
        <v>98</v>
      </c>
      <c r="L2712" t="s">
        <v>37</v>
      </c>
      <c r="M2712" t="s">
        <v>99</v>
      </c>
      <c r="N2712" s="1">
        <v>41617</v>
      </c>
      <c r="O2712">
        <v>14801.8</v>
      </c>
      <c r="P2712">
        <v>3700.32</v>
      </c>
      <c r="Q2712" t="s">
        <v>37</v>
      </c>
      <c r="R2712" t="s">
        <v>38</v>
      </c>
      <c r="S2712" t="s">
        <v>913</v>
      </c>
      <c r="T2712" t="s">
        <v>914</v>
      </c>
    </row>
    <row r="2713" spans="1:20" x14ac:dyDescent="0.25">
      <c r="A2713" t="s">
        <v>6873</v>
      </c>
      <c r="B2713" t="str">
        <f>"2237"</f>
        <v>2237</v>
      </c>
      <c r="C2713" t="str">
        <f>"272602237"</f>
        <v>272602237</v>
      </c>
      <c r="D2713" t="s">
        <v>6874</v>
      </c>
      <c r="E2713" t="s">
        <v>5071</v>
      </c>
      <c r="G2713" s="1">
        <v>20622</v>
      </c>
      <c r="H2713" s="1">
        <v>40357</v>
      </c>
      <c r="I2713" t="str">
        <f>"12"</f>
        <v>12</v>
      </c>
      <c r="J2713" t="s">
        <v>245</v>
      </c>
      <c r="K2713" t="s">
        <v>98</v>
      </c>
      <c r="L2713" t="s">
        <v>37</v>
      </c>
      <c r="M2713" t="s">
        <v>257</v>
      </c>
      <c r="N2713" s="1">
        <v>41617</v>
      </c>
      <c r="O2713">
        <v>10753.08</v>
      </c>
      <c r="P2713">
        <v>2688.4</v>
      </c>
      <c r="Q2713" t="s">
        <v>37</v>
      </c>
      <c r="R2713" t="s">
        <v>71</v>
      </c>
      <c r="S2713" t="s">
        <v>901</v>
      </c>
      <c r="T2713" t="s">
        <v>902</v>
      </c>
    </row>
    <row r="2714" spans="1:20" x14ac:dyDescent="0.25">
      <c r="A2714" t="s">
        <v>6875</v>
      </c>
      <c r="B2714" t="str">
        <f>"5336"</f>
        <v>5336</v>
      </c>
      <c r="C2714" t="str">
        <f>"296865336"</f>
        <v>296865336</v>
      </c>
      <c r="D2714" t="s">
        <v>6876</v>
      </c>
      <c r="E2714" t="s">
        <v>2500</v>
      </c>
      <c r="G2714" s="1">
        <v>29703</v>
      </c>
      <c r="H2714" s="1">
        <v>40357</v>
      </c>
      <c r="I2714" t="str">
        <f>"12"</f>
        <v>12</v>
      </c>
      <c r="J2714" t="s">
        <v>245</v>
      </c>
      <c r="K2714" t="s">
        <v>98</v>
      </c>
      <c r="L2714" t="s">
        <v>37</v>
      </c>
      <c r="M2714" t="s">
        <v>117</v>
      </c>
      <c r="N2714" s="1">
        <v>41617</v>
      </c>
      <c r="O2714">
        <v>4951.96</v>
      </c>
      <c r="P2714">
        <v>1237.8599999999999</v>
      </c>
      <c r="Q2714" t="s">
        <v>37</v>
      </c>
      <c r="R2714" t="s">
        <v>110</v>
      </c>
      <c r="S2714" t="s">
        <v>6877</v>
      </c>
      <c r="T2714" t="s">
        <v>6878</v>
      </c>
    </row>
    <row r="2715" spans="1:20" x14ac:dyDescent="0.25">
      <c r="A2715" t="s">
        <v>6879</v>
      </c>
      <c r="B2715" t="str">
        <f>"2481"</f>
        <v>2481</v>
      </c>
      <c r="C2715" t="str">
        <f>"280662481"</f>
        <v>280662481</v>
      </c>
      <c r="D2715" t="s">
        <v>933</v>
      </c>
      <c r="E2715" t="s">
        <v>231</v>
      </c>
      <c r="F2715" t="s">
        <v>219</v>
      </c>
      <c r="G2715" s="1">
        <v>22857</v>
      </c>
      <c r="H2715" s="1">
        <v>40357</v>
      </c>
      <c r="I2715" t="str">
        <f>"05"</f>
        <v>05</v>
      </c>
      <c r="J2715" t="s">
        <v>58</v>
      </c>
      <c r="L2715" t="s">
        <v>37</v>
      </c>
      <c r="M2715" t="s">
        <v>143</v>
      </c>
      <c r="N2715" s="1">
        <v>41617</v>
      </c>
      <c r="O2715">
        <v>185.9</v>
      </c>
      <c r="P2715">
        <v>-185.9</v>
      </c>
      <c r="Q2715" t="s">
        <v>37</v>
      </c>
      <c r="R2715" t="s">
        <v>29</v>
      </c>
      <c r="S2715" t="s">
        <v>3543</v>
      </c>
      <c r="T2715" t="s">
        <v>3544</v>
      </c>
    </row>
    <row r="2716" spans="1:20" x14ac:dyDescent="0.25">
      <c r="A2716" t="s">
        <v>6880</v>
      </c>
      <c r="B2716" t="str">
        <f>"8900"</f>
        <v>8900</v>
      </c>
      <c r="C2716" t="str">
        <f>"275668900"</f>
        <v>275668900</v>
      </c>
      <c r="D2716" t="s">
        <v>6881</v>
      </c>
      <c r="E2716" t="s">
        <v>430</v>
      </c>
      <c r="F2716" t="s">
        <v>97</v>
      </c>
      <c r="G2716" s="1">
        <v>24031</v>
      </c>
      <c r="H2716" s="1">
        <v>40357</v>
      </c>
      <c r="I2716" t="str">
        <f>"01"</f>
        <v>01</v>
      </c>
      <c r="J2716" t="s">
        <v>116</v>
      </c>
      <c r="K2716" t="s">
        <v>98</v>
      </c>
      <c r="L2716" t="s">
        <v>37</v>
      </c>
      <c r="M2716" t="s">
        <v>99</v>
      </c>
      <c r="N2716" s="1">
        <v>41617</v>
      </c>
      <c r="O2716">
        <v>14801.8</v>
      </c>
      <c r="P2716">
        <v>3700.32</v>
      </c>
      <c r="Q2716" t="s">
        <v>28</v>
      </c>
      <c r="R2716" t="s">
        <v>38</v>
      </c>
      <c r="S2716" t="s">
        <v>5868</v>
      </c>
      <c r="T2716" t="s">
        <v>5869</v>
      </c>
    </row>
    <row r="2717" spans="1:20" x14ac:dyDescent="0.25">
      <c r="A2717" t="s">
        <v>6882</v>
      </c>
      <c r="B2717" t="str">
        <f>"4046"</f>
        <v>4046</v>
      </c>
      <c r="C2717" t="str">
        <f>"379564046"</f>
        <v>379564046</v>
      </c>
      <c r="D2717" t="s">
        <v>4268</v>
      </c>
      <c r="E2717" t="s">
        <v>2519</v>
      </c>
      <c r="F2717" t="s">
        <v>93</v>
      </c>
      <c r="G2717" s="1">
        <v>23358</v>
      </c>
      <c r="H2717" s="1">
        <v>40354</v>
      </c>
      <c r="I2717" t="str">
        <f>"01"</f>
        <v>01</v>
      </c>
      <c r="J2717" t="s">
        <v>116</v>
      </c>
      <c r="K2717" t="s">
        <v>98</v>
      </c>
      <c r="L2717" t="s">
        <v>37</v>
      </c>
      <c r="M2717" t="s">
        <v>257</v>
      </c>
      <c r="N2717" s="1">
        <v>41617</v>
      </c>
      <c r="O2717">
        <v>10753.08</v>
      </c>
      <c r="P2717">
        <v>2688.4</v>
      </c>
      <c r="Q2717" t="s">
        <v>37</v>
      </c>
      <c r="R2717" t="s">
        <v>38</v>
      </c>
      <c r="S2717" t="s">
        <v>39</v>
      </c>
      <c r="T2717" t="s">
        <v>40</v>
      </c>
    </row>
    <row r="2718" spans="1:20" x14ac:dyDescent="0.25">
      <c r="A2718" t="s">
        <v>6883</v>
      </c>
      <c r="B2718" t="str">
        <f>"3383"</f>
        <v>3383</v>
      </c>
      <c r="C2718" t="str">
        <f>"299683383"</f>
        <v>299683383</v>
      </c>
      <c r="D2718" t="s">
        <v>1991</v>
      </c>
      <c r="E2718" t="s">
        <v>106</v>
      </c>
      <c r="F2718" t="s">
        <v>69</v>
      </c>
      <c r="G2718" s="1">
        <v>22008</v>
      </c>
      <c r="H2718" s="1">
        <v>40350</v>
      </c>
      <c r="I2718" t="str">
        <f>"51"</f>
        <v>51</v>
      </c>
      <c r="J2718" t="s">
        <v>471</v>
      </c>
      <c r="K2718" t="s">
        <v>25</v>
      </c>
      <c r="L2718" t="s">
        <v>26</v>
      </c>
      <c r="M2718" t="s">
        <v>27</v>
      </c>
      <c r="N2718" s="1">
        <v>18629</v>
      </c>
      <c r="O2718">
        <v>0</v>
      </c>
      <c r="P2718">
        <v>0</v>
      </c>
      <c r="Q2718" t="s">
        <v>28</v>
      </c>
      <c r="R2718" t="s">
        <v>29</v>
      </c>
      <c r="S2718" t="s">
        <v>4000</v>
      </c>
      <c r="T2718" t="s">
        <v>4001</v>
      </c>
    </row>
    <row r="2719" spans="1:20" x14ac:dyDescent="0.25">
      <c r="A2719" t="s">
        <v>6884</v>
      </c>
      <c r="B2719" t="str">
        <f>"7544"</f>
        <v>7544</v>
      </c>
      <c r="C2719" t="str">
        <f>"270747544"</f>
        <v>270747544</v>
      </c>
      <c r="D2719" t="s">
        <v>6885</v>
      </c>
      <c r="E2719" t="s">
        <v>299</v>
      </c>
      <c r="G2719" s="1">
        <v>26716</v>
      </c>
      <c r="H2719" s="1">
        <v>40350</v>
      </c>
      <c r="I2719" t="str">
        <f>"15"</f>
        <v>15</v>
      </c>
      <c r="J2719" t="s">
        <v>36</v>
      </c>
      <c r="K2719" t="s">
        <v>98</v>
      </c>
      <c r="L2719" t="s">
        <v>37</v>
      </c>
      <c r="M2719" t="s">
        <v>99</v>
      </c>
      <c r="N2719" s="1">
        <v>41617</v>
      </c>
      <c r="O2719">
        <v>14801.8</v>
      </c>
      <c r="P2719">
        <v>3700.32</v>
      </c>
      <c r="Q2719" t="s">
        <v>37</v>
      </c>
      <c r="R2719" t="s">
        <v>29</v>
      </c>
      <c r="S2719" t="s">
        <v>1761</v>
      </c>
      <c r="T2719" t="s">
        <v>1762</v>
      </c>
    </row>
    <row r="2720" spans="1:20" x14ac:dyDescent="0.25">
      <c r="A2720" t="s">
        <v>6886</v>
      </c>
      <c r="B2720" t="str">
        <f>"0180"</f>
        <v>0180</v>
      </c>
      <c r="C2720" t="str">
        <f>"325520180"</f>
        <v>325520180</v>
      </c>
      <c r="D2720" t="s">
        <v>6887</v>
      </c>
      <c r="E2720" t="s">
        <v>430</v>
      </c>
      <c r="G2720" s="1">
        <v>25716</v>
      </c>
      <c r="H2720" s="1">
        <v>40350</v>
      </c>
      <c r="I2720" t="str">
        <f>"52"</f>
        <v>52</v>
      </c>
      <c r="J2720" t="s">
        <v>330</v>
      </c>
      <c r="K2720" t="s">
        <v>25</v>
      </c>
      <c r="L2720" t="s">
        <v>26</v>
      </c>
      <c r="M2720" t="s">
        <v>27</v>
      </c>
      <c r="N2720" s="1">
        <v>18629</v>
      </c>
      <c r="O2720">
        <v>0</v>
      </c>
      <c r="P2720">
        <v>0</v>
      </c>
      <c r="Q2720" t="s">
        <v>28</v>
      </c>
      <c r="R2720" t="s">
        <v>29</v>
      </c>
      <c r="S2720" t="s">
        <v>4000</v>
      </c>
      <c r="T2720" t="s">
        <v>4001</v>
      </c>
    </row>
    <row r="2721" spans="1:20" x14ac:dyDescent="0.25">
      <c r="A2721" t="s">
        <v>6888</v>
      </c>
      <c r="B2721" t="str">
        <f>"8608"</f>
        <v>8608</v>
      </c>
      <c r="C2721" t="str">
        <f>"279568608"</f>
        <v>279568608</v>
      </c>
      <c r="D2721" t="s">
        <v>6889</v>
      </c>
      <c r="E2721" t="s">
        <v>35</v>
      </c>
      <c r="G2721" s="1">
        <v>24265</v>
      </c>
      <c r="H2721" s="1">
        <v>40343</v>
      </c>
      <c r="I2721" t="str">
        <f>"05"</f>
        <v>05</v>
      </c>
      <c r="J2721" t="s">
        <v>58</v>
      </c>
      <c r="K2721" t="s">
        <v>98</v>
      </c>
      <c r="L2721" t="s">
        <v>37</v>
      </c>
      <c r="M2721" t="s">
        <v>257</v>
      </c>
      <c r="N2721" s="1">
        <v>41617</v>
      </c>
      <c r="O2721">
        <v>10753.08</v>
      </c>
      <c r="P2721">
        <v>2688.4</v>
      </c>
      <c r="Q2721" t="s">
        <v>28</v>
      </c>
      <c r="R2721" t="s">
        <v>71</v>
      </c>
      <c r="S2721" t="s">
        <v>955</v>
      </c>
      <c r="T2721" t="s">
        <v>956</v>
      </c>
    </row>
    <row r="2722" spans="1:20" x14ac:dyDescent="0.25">
      <c r="A2722" t="s">
        <v>6890</v>
      </c>
      <c r="B2722" t="str">
        <f>"3851"</f>
        <v>3851</v>
      </c>
      <c r="C2722" t="str">
        <f>"190443851"</f>
        <v>190443851</v>
      </c>
      <c r="D2722" t="s">
        <v>3913</v>
      </c>
      <c r="E2722" t="s">
        <v>275</v>
      </c>
      <c r="G2722" s="1">
        <v>19259</v>
      </c>
      <c r="H2722" s="1">
        <v>40343</v>
      </c>
      <c r="I2722" t="str">
        <f>"01"</f>
        <v>01</v>
      </c>
      <c r="J2722" t="s">
        <v>116</v>
      </c>
      <c r="L2722" t="s">
        <v>37</v>
      </c>
      <c r="M2722" t="s">
        <v>143</v>
      </c>
      <c r="N2722" s="1">
        <v>41617</v>
      </c>
      <c r="O2722">
        <v>185.9</v>
      </c>
      <c r="P2722">
        <v>-185.9</v>
      </c>
      <c r="Q2722" t="s">
        <v>37</v>
      </c>
      <c r="R2722" t="s">
        <v>29</v>
      </c>
      <c r="S2722" t="s">
        <v>1182</v>
      </c>
      <c r="T2722" t="s">
        <v>1183</v>
      </c>
    </row>
    <row r="2723" spans="1:20" x14ac:dyDescent="0.25">
      <c r="A2723" t="s">
        <v>6891</v>
      </c>
      <c r="B2723" t="str">
        <f>"5121"</f>
        <v>5121</v>
      </c>
      <c r="C2723" t="str">
        <f>"282025121"</f>
        <v>282025121</v>
      </c>
      <c r="D2723" t="s">
        <v>6892</v>
      </c>
      <c r="E2723" t="s">
        <v>6893</v>
      </c>
      <c r="G2723" s="1">
        <v>16870</v>
      </c>
      <c r="H2723" s="1">
        <v>40343</v>
      </c>
      <c r="I2723" t="str">
        <f>"05"</f>
        <v>05</v>
      </c>
      <c r="J2723" t="s">
        <v>58</v>
      </c>
      <c r="K2723" t="s">
        <v>510</v>
      </c>
      <c r="L2723" t="s">
        <v>37</v>
      </c>
      <c r="M2723" t="s">
        <v>257</v>
      </c>
      <c r="N2723" s="1">
        <v>41617</v>
      </c>
      <c r="O2723">
        <v>14110.72</v>
      </c>
      <c r="P2723">
        <v>3527.68</v>
      </c>
      <c r="Q2723" t="s">
        <v>28</v>
      </c>
      <c r="R2723" t="s">
        <v>29</v>
      </c>
      <c r="S2723" t="s">
        <v>594</v>
      </c>
      <c r="T2723" t="s">
        <v>595</v>
      </c>
    </row>
    <row r="2724" spans="1:20" x14ac:dyDescent="0.25">
      <c r="A2724" t="s">
        <v>6894</v>
      </c>
      <c r="B2724" t="str">
        <f>"0888"</f>
        <v>0888</v>
      </c>
      <c r="C2724" t="str">
        <f>"282920888"</f>
        <v>282920888</v>
      </c>
      <c r="D2724" t="s">
        <v>860</v>
      </c>
      <c r="E2724" t="s">
        <v>2599</v>
      </c>
      <c r="F2724" t="s">
        <v>69</v>
      </c>
      <c r="G2724" s="1">
        <v>31986</v>
      </c>
      <c r="H2724" s="1">
        <v>40343</v>
      </c>
      <c r="I2724" t="str">
        <f>"33"</f>
        <v>33</v>
      </c>
      <c r="J2724" t="s">
        <v>45</v>
      </c>
      <c r="K2724" t="s">
        <v>25</v>
      </c>
      <c r="L2724" t="s">
        <v>26</v>
      </c>
      <c r="M2724" t="s">
        <v>27</v>
      </c>
      <c r="N2724" s="1">
        <v>18629</v>
      </c>
      <c r="O2724">
        <v>0</v>
      </c>
      <c r="P2724">
        <v>0</v>
      </c>
      <c r="Q2724" t="s">
        <v>28</v>
      </c>
      <c r="R2724" t="s">
        <v>29</v>
      </c>
      <c r="S2724" t="s">
        <v>594</v>
      </c>
      <c r="T2724" t="s">
        <v>595</v>
      </c>
    </row>
    <row r="2725" spans="1:20" x14ac:dyDescent="0.25">
      <c r="A2725" t="s">
        <v>6895</v>
      </c>
      <c r="B2725" t="str">
        <f>"1157"</f>
        <v>1157</v>
      </c>
      <c r="C2725" t="str">
        <f>"284701157"</f>
        <v>284701157</v>
      </c>
      <c r="D2725" t="s">
        <v>6896</v>
      </c>
      <c r="E2725" t="s">
        <v>3646</v>
      </c>
      <c r="F2725" t="s">
        <v>26</v>
      </c>
      <c r="G2725" s="1">
        <v>24952</v>
      </c>
      <c r="H2725" s="1">
        <v>40341</v>
      </c>
      <c r="I2725" t="str">
        <f>"51"</f>
        <v>51</v>
      </c>
      <c r="J2725" t="s">
        <v>471</v>
      </c>
      <c r="K2725" t="s">
        <v>25</v>
      </c>
      <c r="L2725" t="s">
        <v>26</v>
      </c>
      <c r="M2725" t="s">
        <v>27</v>
      </c>
      <c r="N2725" s="1">
        <v>18629</v>
      </c>
      <c r="O2725">
        <v>0</v>
      </c>
      <c r="P2725">
        <v>0</v>
      </c>
      <c r="Q2725" t="s">
        <v>28</v>
      </c>
      <c r="R2725" t="s">
        <v>29</v>
      </c>
      <c r="S2725" t="s">
        <v>4000</v>
      </c>
      <c r="T2725" t="s">
        <v>4001</v>
      </c>
    </row>
    <row r="2726" spans="1:20" x14ac:dyDescent="0.25">
      <c r="A2726" t="s">
        <v>6897</v>
      </c>
      <c r="B2726" t="str">
        <f>"4441"</f>
        <v>4441</v>
      </c>
      <c r="C2726" t="str">
        <f>"204524441"</f>
        <v>204524441</v>
      </c>
      <c r="D2726" t="s">
        <v>6898</v>
      </c>
      <c r="E2726" t="s">
        <v>2599</v>
      </c>
      <c r="G2726" s="1">
        <v>23830</v>
      </c>
      <c r="H2726" s="1">
        <v>40341</v>
      </c>
      <c r="I2726" t="str">
        <f>"51"</f>
        <v>51</v>
      </c>
      <c r="J2726" t="s">
        <v>471</v>
      </c>
      <c r="K2726" t="s">
        <v>25</v>
      </c>
      <c r="L2726" t="s">
        <v>26</v>
      </c>
      <c r="M2726" t="s">
        <v>27</v>
      </c>
      <c r="N2726" s="1">
        <v>18629</v>
      </c>
      <c r="O2726">
        <v>0</v>
      </c>
      <c r="P2726">
        <v>0</v>
      </c>
      <c r="Q2726" t="s">
        <v>28</v>
      </c>
      <c r="R2726" t="s">
        <v>51</v>
      </c>
      <c r="S2726" t="s">
        <v>4000</v>
      </c>
      <c r="T2726" t="s">
        <v>4001</v>
      </c>
    </row>
    <row r="2727" spans="1:20" x14ac:dyDescent="0.25">
      <c r="A2727" t="s">
        <v>6899</v>
      </c>
      <c r="B2727" t="str">
        <f>"8686"</f>
        <v>8686</v>
      </c>
      <c r="C2727" t="str">
        <f>"299748686"</f>
        <v>299748686</v>
      </c>
      <c r="D2727" t="s">
        <v>6900</v>
      </c>
      <c r="E2727" t="s">
        <v>1442</v>
      </c>
      <c r="G2727" s="1">
        <v>23283</v>
      </c>
      <c r="H2727" s="1">
        <v>40336</v>
      </c>
      <c r="I2727" t="str">
        <f>"01"</f>
        <v>01</v>
      </c>
      <c r="J2727" t="s">
        <v>116</v>
      </c>
      <c r="K2727" t="s">
        <v>98</v>
      </c>
      <c r="L2727" t="s">
        <v>37</v>
      </c>
      <c r="M2727" t="s">
        <v>99</v>
      </c>
      <c r="N2727" s="1">
        <v>41617</v>
      </c>
      <c r="O2727">
        <v>14801.8</v>
      </c>
      <c r="P2727">
        <v>3700.32</v>
      </c>
      <c r="Q2727" t="s">
        <v>37</v>
      </c>
      <c r="R2727" t="s">
        <v>38</v>
      </c>
      <c r="S2727" t="s">
        <v>2038</v>
      </c>
      <c r="T2727" t="s">
        <v>2039</v>
      </c>
    </row>
    <row r="2728" spans="1:20" x14ac:dyDescent="0.25">
      <c r="A2728" t="s">
        <v>6901</v>
      </c>
      <c r="B2728" t="str">
        <f>"1766"</f>
        <v>1766</v>
      </c>
      <c r="C2728" t="str">
        <f>"275761766"</f>
        <v>275761766</v>
      </c>
      <c r="D2728" t="s">
        <v>463</v>
      </c>
      <c r="E2728" t="s">
        <v>430</v>
      </c>
      <c r="F2728" t="s">
        <v>165</v>
      </c>
      <c r="G2728" s="1">
        <v>23482</v>
      </c>
      <c r="H2728" s="1">
        <v>40331</v>
      </c>
      <c r="I2728" t="str">
        <f>"52"</f>
        <v>52</v>
      </c>
      <c r="J2728" t="s">
        <v>330</v>
      </c>
      <c r="K2728" t="s">
        <v>25</v>
      </c>
      <c r="L2728" t="s">
        <v>26</v>
      </c>
      <c r="M2728" t="s">
        <v>27</v>
      </c>
      <c r="N2728" s="1">
        <v>18629</v>
      </c>
      <c r="O2728">
        <v>0</v>
      </c>
      <c r="P2728">
        <v>0</v>
      </c>
      <c r="Q2728" t="s">
        <v>28</v>
      </c>
      <c r="R2728" t="s">
        <v>51</v>
      </c>
      <c r="S2728" t="s">
        <v>336</v>
      </c>
      <c r="T2728" t="s">
        <v>337</v>
      </c>
    </row>
    <row r="2729" spans="1:20" x14ac:dyDescent="0.25">
      <c r="A2729" t="s">
        <v>6902</v>
      </c>
      <c r="B2729" t="str">
        <f>"4328"</f>
        <v>4328</v>
      </c>
      <c r="C2729" t="str">
        <f>"273524328"</f>
        <v>273524328</v>
      </c>
      <c r="D2729" t="s">
        <v>6903</v>
      </c>
      <c r="E2729" t="s">
        <v>769</v>
      </c>
      <c r="F2729" t="s">
        <v>190</v>
      </c>
      <c r="G2729" s="1">
        <v>19329</v>
      </c>
      <c r="H2729" s="1">
        <v>40330</v>
      </c>
      <c r="I2729" t="str">
        <f>"01"</f>
        <v>01</v>
      </c>
      <c r="J2729" t="s">
        <v>116</v>
      </c>
      <c r="K2729" t="s">
        <v>175</v>
      </c>
      <c r="L2729" t="s">
        <v>37</v>
      </c>
      <c r="M2729" t="s">
        <v>117</v>
      </c>
      <c r="N2729" s="1">
        <v>41617</v>
      </c>
      <c r="O2729">
        <v>5288.66</v>
      </c>
      <c r="P2729">
        <v>1322.1</v>
      </c>
      <c r="Q2729" t="s">
        <v>37</v>
      </c>
      <c r="R2729" t="s">
        <v>29</v>
      </c>
      <c r="S2729" t="s">
        <v>1443</v>
      </c>
      <c r="T2729" t="s">
        <v>1444</v>
      </c>
    </row>
    <row r="2730" spans="1:20" x14ac:dyDescent="0.25">
      <c r="A2730" t="s">
        <v>6904</v>
      </c>
      <c r="B2730" t="str">
        <f>"1522"</f>
        <v>1522</v>
      </c>
      <c r="C2730" t="str">
        <f>"270881522"</f>
        <v>270881522</v>
      </c>
      <c r="D2730" t="s">
        <v>6905</v>
      </c>
      <c r="E2730" t="s">
        <v>250</v>
      </c>
      <c r="F2730" t="s">
        <v>28</v>
      </c>
      <c r="G2730" s="1">
        <v>32079</v>
      </c>
      <c r="H2730" s="1">
        <v>40330</v>
      </c>
      <c r="I2730" t="str">
        <f>"41"</f>
        <v>41</v>
      </c>
      <c r="J2730" t="s">
        <v>24</v>
      </c>
      <c r="K2730" t="s">
        <v>25</v>
      </c>
      <c r="L2730" t="s">
        <v>26</v>
      </c>
      <c r="M2730" t="s">
        <v>27</v>
      </c>
      <c r="N2730" s="1">
        <v>18629</v>
      </c>
      <c r="O2730">
        <v>0</v>
      </c>
      <c r="P2730">
        <v>0</v>
      </c>
      <c r="Q2730" t="s">
        <v>37</v>
      </c>
      <c r="R2730" t="s">
        <v>71</v>
      </c>
      <c r="S2730" t="s">
        <v>1109</v>
      </c>
      <c r="T2730" t="s">
        <v>1110</v>
      </c>
    </row>
    <row r="2731" spans="1:20" x14ac:dyDescent="0.25">
      <c r="A2731" t="s">
        <v>6906</v>
      </c>
      <c r="B2731" t="str">
        <f>"6884"</f>
        <v>6884</v>
      </c>
      <c r="C2731" t="str">
        <f>"297626884"</f>
        <v>297626884</v>
      </c>
      <c r="D2731" t="s">
        <v>6907</v>
      </c>
      <c r="E2731" t="s">
        <v>1600</v>
      </c>
      <c r="G2731" s="1">
        <v>20947</v>
      </c>
      <c r="H2731" s="1">
        <v>40330</v>
      </c>
      <c r="I2731" t="str">
        <f>"52"</f>
        <v>52</v>
      </c>
      <c r="J2731" t="s">
        <v>330</v>
      </c>
      <c r="K2731" t="s">
        <v>25</v>
      </c>
      <c r="L2731" t="s">
        <v>26</v>
      </c>
      <c r="M2731" t="s">
        <v>27</v>
      </c>
      <c r="N2731" s="1">
        <v>18629</v>
      </c>
      <c r="O2731">
        <v>0</v>
      </c>
      <c r="P2731">
        <v>0</v>
      </c>
      <c r="Q2731" t="s">
        <v>37</v>
      </c>
      <c r="R2731" t="s">
        <v>71</v>
      </c>
      <c r="S2731" t="s">
        <v>1774</v>
      </c>
      <c r="T2731" t="s">
        <v>1775</v>
      </c>
    </row>
    <row r="2732" spans="1:20" x14ac:dyDescent="0.25">
      <c r="A2732" t="s">
        <v>6908</v>
      </c>
      <c r="B2732" t="str">
        <f>"6579"</f>
        <v>6579</v>
      </c>
      <c r="C2732" t="str">
        <f>"305846579"</f>
        <v>305846579</v>
      </c>
      <c r="D2732" t="s">
        <v>6909</v>
      </c>
      <c r="E2732" t="s">
        <v>2339</v>
      </c>
      <c r="G2732" s="1">
        <v>23455</v>
      </c>
      <c r="H2732" s="1">
        <v>40330</v>
      </c>
      <c r="I2732" t="str">
        <f>"01"</f>
        <v>01</v>
      </c>
      <c r="J2732" t="s">
        <v>116</v>
      </c>
      <c r="K2732" t="s">
        <v>98</v>
      </c>
      <c r="L2732" t="s">
        <v>37</v>
      </c>
      <c r="M2732" t="s">
        <v>99</v>
      </c>
      <c r="N2732" s="1">
        <v>41617</v>
      </c>
      <c r="O2732">
        <v>14801.8</v>
      </c>
      <c r="P2732">
        <v>3700.32</v>
      </c>
      <c r="Q2732" t="s">
        <v>37</v>
      </c>
      <c r="R2732" t="s">
        <v>110</v>
      </c>
      <c r="S2732" t="s">
        <v>1963</v>
      </c>
      <c r="T2732" t="s">
        <v>1964</v>
      </c>
    </row>
    <row r="2733" spans="1:20" x14ac:dyDescent="0.25">
      <c r="A2733" t="s">
        <v>6910</v>
      </c>
      <c r="B2733" t="str">
        <f>"4696"</f>
        <v>4696</v>
      </c>
      <c r="C2733" t="str">
        <f>"279684696"</f>
        <v>279684696</v>
      </c>
      <c r="D2733" t="s">
        <v>5441</v>
      </c>
      <c r="E2733" t="s">
        <v>82</v>
      </c>
      <c r="G2733" s="1">
        <v>24024</v>
      </c>
      <c r="H2733" s="1">
        <v>40330</v>
      </c>
      <c r="I2733" t="str">
        <f>"51"</f>
        <v>51</v>
      </c>
      <c r="J2733" t="s">
        <v>471</v>
      </c>
      <c r="K2733" t="s">
        <v>25</v>
      </c>
      <c r="L2733" t="s">
        <v>26</v>
      </c>
      <c r="M2733" t="s">
        <v>27</v>
      </c>
      <c r="N2733" s="1">
        <v>18629</v>
      </c>
      <c r="O2733">
        <v>0</v>
      </c>
      <c r="P2733">
        <v>0</v>
      </c>
      <c r="Q2733" t="s">
        <v>37</v>
      </c>
      <c r="R2733" t="s">
        <v>29</v>
      </c>
      <c r="S2733" t="s">
        <v>138</v>
      </c>
      <c r="T2733" t="s">
        <v>139</v>
      </c>
    </row>
    <row r="2734" spans="1:20" x14ac:dyDescent="0.25">
      <c r="A2734" t="s">
        <v>6911</v>
      </c>
      <c r="B2734" t="str">
        <f>"1453"</f>
        <v>1453</v>
      </c>
      <c r="C2734" t="str">
        <f>"290561453"</f>
        <v>290561453</v>
      </c>
      <c r="D2734" t="s">
        <v>6912</v>
      </c>
      <c r="E2734" t="s">
        <v>877</v>
      </c>
      <c r="G2734" s="1">
        <v>21568</v>
      </c>
      <c r="H2734" s="1">
        <v>40330</v>
      </c>
      <c r="I2734" t="str">
        <f>"51"</f>
        <v>51</v>
      </c>
      <c r="J2734" t="s">
        <v>471</v>
      </c>
      <c r="K2734" t="s">
        <v>25</v>
      </c>
      <c r="L2734" t="s">
        <v>26</v>
      </c>
      <c r="M2734" t="s">
        <v>27</v>
      </c>
      <c r="N2734" s="1">
        <v>18629</v>
      </c>
      <c r="O2734">
        <v>0</v>
      </c>
      <c r="P2734">
        <v>0</v>
      </c>
      <c r="Q2734" t="s">
        <v>37</v>
      </c>
      <c r="R2734" t="s">
        <v>29</v>
      </c>
      <c r="S2734" t="s">
        <v>138</v>
      </c>
      <c r="T2734" t="s">
        <v>139</v>
      </c>
    </row>
    <row r="2735" spans="1:20" x14ac:dyDescent="0.25">
      <c r="A2735" t="s">
        <v>6913</v>
      </c>
      <c r="B2735" t="str">
        <f>"5496"</f>
        <v>5496</v>
      </c>
      <c r="C2735" t="str">
        <f>"293465496"</f>
        <v>293465496</v>
      </c>
      <c r="D2735" t="s">
        <v>6914</v>
      </c>
      <c r="E2735" t="s">
        <v>2385</v>
      </c>
      <c r="F2735" t="s">
        <v>358</v>
      </c>
      <c r="G2735" s="1">
        <v>18269</v>
      </c>
      <c r="H2735" s="1">
        <v>40330</v>
      </c>
      <c r="I2735" t="str">
        <f>"15"</f>
        <v>15</v>
      </c>
      <c r="J2735" t="s">
        <v>36</v>
      </c>
      <c r="K2735" t="s">
        <v>98</v>
      </c>
      <c r="L2735" t="s">
        <v>37</v>
      </c>
      <c r="M2735" t="s">
        <v>117</v>
      </c>
      <c r="N2735" s="1">
        <v>41617</v>
      </c>
      <c r="O2735">
        <v>4951.96</v>
      </c>
      <c r="P2735">
        <v>1237.8599999999999</v>
      </c>
      <c r="Q2735" t="s">
        <v>37</v>
      </c>
      <c r="R2735" t="s">
        <v>110</v>
      </c>
      <c r="S2735" t="s">
        <v>482</v>
      </c>
      <c r="T2735" t="s">
        <v>483</v>
      </c>
    </row>
    <row r="2736" spans="1:20" x14ac:dyDescent="0.25">
      <c r="A2736" t="s">
        <v>6915</v>
      </c>
      <c r="B2736" t="str">
        <f>"5791"</f>
        <v>5791</v>
      </c>
      <c r="C2736" t="str">
        <f>"287845791"</f>
        <v>287845791</v>
      </c>
      <c r="D2736" t="s">
        <v>6916</v>
      </c>
      <c r="E2736" t="s">
        <v>6258</v>
      </c>
      <c r="F2736" t="s">
        <v>358</v>
      </c>
      <c r="G2736" s="1">
        <v>25743</v>
      </c>
      <c r="H2736" s="1">
        <v>40330</v>
      </c>
      <c r="I2736" t="str">
        <f>"51"</f>
        <v>51</v>
      </c>
      <c r="J2736" t="s">
        <v>471</v>
      </c>
      <c r="K2736" t="s">
        <v>25</v>
      </c>
      <c r="L2736" t="s">
        <v>26</v>
      </c>
      <c r="M2736" t="s">
        <v>27</v>
      </c>
      <c r="N2736" s="1">
        <v>18629</v>
      </c>
      <c r="O2736">
        <v>0</v>
      </c>
      <c r="P2736">
        <v>0</v>
      </c>
      <c r="Q2736" t="s">
        <v>37</v>
      </c>
      <c r="R2736" t="s">
        <v>346</v>
      </c>
      <c r="S2736" t="s">
        <v>3750</v>
      </c>
      <c r="T2736" t="s">
        <v>3751</v>
      </c>
    </row>
    <row r="2737" spans="1:20" x14ac:dyDescent="0.25">
      <c r="A2737" t="s">
        <v>6917</v>
      </c>
      <c r="B2737" t="str">
        <f>"3707"</f>
        <v>3707</v>
      </c>
      <c r="C2737" t="str">
        <f>"288743707"</f>
        <v>288743707</v>
      </c>
      <c r="D2737" t="s">
        <v>6918</v>
      </c>
      <c r="E2737" t="s">
        <v>1453</v>
      </c>
      <c r="F2737" t="s">
        <v>3646</v>
      </c>
      <c r="G2737" s="1">
        <v>27538</v>
      </c>
      <c r="H2737" s="1">
        <v>40330</v>
      </c>
      <c r="I2737" t="str">
        <f>"51"</f>
        <v>51</v>
      </c>
      <c r="J2737" t="s">
        <v>471</v>
      </c>
      <c r="K2737" t="s">
        <v>25</v>
      </c>
      <c r="L2737" t="s">
        <v>26</v>
      </c>
      <c r="M2737" t="s">
        <v>27</v>
      </c>
      <c r="N2737" s="1">
        <v>18629</v>
      </c>
      <c r="O2737">
        <v>0</v>
      </c>
      <c r="P2737">
        <v>0</v>
      </c>
      <c r="Q2737" t="s">
        <v>28</v>
      </c>
      <c r="R2737" t="s">
        <v>71</v>
      </c>
      <c r="S2737" t="s">
        <v>5022</v>
      </c>
      <c r="T2737" t="s">
        <v>5023</v>
      </c>
    </row>
    <row r="2738" spans="1:20" x14ac:dyDescent="0.25">
      <c r="A2738" t="s">
        <v>6919</v>
      </c>
      <c r="B2738" t="str">
        <f>"1570"</f>
        <v>1570</v>
      </c>
      <c r="C2738" t="str">
        <f>"281461570"</f>
        <v>281461570</v>
      </c>
      <c r="D2738" t="s">
        <v>6495</v>
      </c>
      <c r="E2738" t="s">
        <v>649</v>
      </c>
      <c r="F2738" t="s">
        <v>26</v>
      </c>
      <c r="G2738" s="1">
        <v>17730</v>
      </c>
      <c r="H2738" s="1">
        <v>40330</v>
      </c>
      <c r="I2738" t="str">
        <f>"51"</f>
        <v>51</v>
      </c>
      <c r="J2738" t="s">
        <v>471</v>
      </c>
      <c r="K2738" t="s">
        <v>25</v>
      </c>
      <c r="L2738" t="s">
        <v>26</v>
      </c>
      <c r="M2738" t="s">
        <v>27</v>
      </c>
      <c r="N2738" s="1">
        <v>18629</v>
      </c>
      <c r="O2738">
        <v>0</v>
      </c>
      <c r="P2738">
        <v>0</v>
      </c>
      <c r="Q2738" t="s">
        <v>28</v>
      </c>
      <c r="R2738" t="s">
        <v>71</v>
      </c>
      <c r="S2738" t="s">
        <v>2458</v>
      </c>
      <c r="T2738" t="s">
        <v>2459</v>
      </c>
    </row>
    <row r="2739" spans="1:20" x14ac:dyDescent="0.25">
      <c r="A2739" t="s">
        <v>6920</v>
      </c>
      <c r="B2739" t="str">
        <f>"9955"</f>
        <v>9955</v>
      </c>
      <c r="C2739" t="str">
        <f>"321649955"</f>
        <v>321649955</v>
      </c>
      <c r="D2739" t="s">
        <v>6921</v>
      </c>
      <c r="E2739" t="s">
        <v>499</v>
      </c>
      <c r="F2739" t="s">
        <v>239</v>
      </c>
      <c r="G2739" s="1">
        <v>27496</v>
      </c>
      <c r="H2739" s="1">
        <v>40330</v>
      </c>
      <c r="I2739" t="str">
        <f>"51"</f>
        <v>51</v>
      </c>
      <c r="J2739" t="s">
        <v>471</v>
      </c>
      <c r="K2739" t="s">
        <v>25</v>
      </c>
      <c r="L2739" t="s">
        <v>26</v>
      </c>
      <c r="M2739" t="s">
        <v>27</v>
      </c>
      <c r="N2739" s="1">
        <v>18629</v>
      </c>
      <c r="O2739">
        <v>0</v>
      </c>
      <c r="P2739">
        <v>0</v>
      </c>
      <c r="Q2739" t="s">
        <v>28</v>
      </c>
      <c r="R2739" t="s">
        <v>258</v>
      </c>
      <c r="S2739" t="s">
        <v>472</v>
      </c>
      <c r="T2739" t="s">
        <v>473</v>
      </c>
    </row>
    <row r="2740" spans="1:20" x14ac:dyDescent="0.25">
      <c r="A2740" t="s">
        <v>6922</v>
      </c>
      <c r="B2740" t="str">
        <f>"3088"</f>
        <v>3088</v>
      </c>
      <c r="C2740" t="str">
        <f>"295623088"</f>
        <v>295623088</v>
      </c>
      <c r="D2740" t="s">
        <v>6923</v>
      </c>
      <c r="E2740" t="s">
        <v>583</v>
      </c>
      <c r="F2740" t="s">
        <v>239</v>
      </c>
      <c r="G2740" s="1">
        <v>20710</v>
      </c>
      <c r="H2740" s="1">
        <v>40329</v>
      </c>
      <c r="I2740" t="str">
        <f>"05"</f>
        <v>05</v>
      </c>
      <c r="J2740" t="s">
        <v>58</v>
      </c>
      <c r="K2740" t="s">
        <v>98</v>
      </c>
      <c r="L2740" t="s">
        <v>37</v>
      </c>
      <c r="M2740" t="s">
        <v>117</v>
      </c>
      <c r="N2740" s="1">
        <v>41617</v>
      </c>
      <c r="O2740">
        <v>4951.96</v>
      </c>
      <c r="P2740">
        <v>1237.8599999999999</v>
      </c>
      <c r="Q2740" t="s">
        <v>37</v>
      </c>
      <c r="R2740" t="s">
        <v>71</v>
      </c>
      <c r="S2740" t="s">
        <v>2458</v>
      </c>
      <c r="T2740" t="s">
        <v>2459</v>
      </c>
    </row>
    <row r="2741" spans="1:20" x14ac:dyDescent="0.25">
      <c r="A2741" t="s">
        <v>6924</v>
      </c>
      <c r="B2741" t="str">
        <f>"0222"</f>
        <v>0222</v>
      </c>
      <c r="C2741" t="str">
        <f>"300780222"</f>
        <v>300780222</v>
      </c>
      <c r="D2741" t="s">
        <v>6925</v>
      </c>
      <c r="E2741" t="s">
        <v>769</v>
      </c>
      <c r="G2741" s="1">
        <v>28681</v>
      </c>
      <c r="H2741" s="1">
        <v>40329</v>
      </c>
      <c r="I2741" t="str">
        <f>"05"</f>
        <v>05</v>
      </c>
      <c r="J2741" t="s">
        <v>58</v>
      </c>
      <c r="K2741" t="s">
        <v>98</v>
      </c>
      <c r="L2741" t="s">
        <v>37</v>
      </c>
      <c r="M2741" t="s">
        <v>257</v>
      </c>
      <c r="N2741" s="1">
        <v>41617</v>
      </c>
      <c r="O2741">
        <v>10753.08</v>
      </c>
      <c r="P2741">
        <v>2688.4</v>
      </c>
      <c r="Q2741" t="s">
        <v>37</v>
      </c>
      <c r="R2741" t="s">
        <v>51</v>
      </c>
      <c r="S2741" s="2" t="s">
        <v>52</v>
      </c>
      <c r="T2741" t="s">
        <v>53</v>
      </c>
    </row>
    <row r="2742" spans="1:20" x14ac:dyDescent="0.25">
      <c r="A2742" t="s">
        <v>6926</v>
      </c>
      <c r="B2742" t="str">
        <f>"9766"</f>
        <v>9766</v>
      </c>
      <c r="C2742" t="str">
        <f>"281769766"</f>
        <v>281769766</v>
      </c>
      <c r="D2742" t="s">
        <v>976</v>
      </c>
      <c r="E2742" t="s">
        <v>1994</v>
      </c>
      <c r="G2742" s="1">
        <v>24526</v>
      </c>
      <c r="H2742" s="1">
        <v>40329</v>
      </c>
      <c r="I2742" t="str">
        <f>"05"</f>
        <v>05</v>
      </c>
      <c r="J2742" t="s">
        <v>58</v>
      </c>
      <c r="K2742" t="s">
        <v>175</v>
      </c>
      <c r="L2742" t="s">
        <v>37</v>
      </c>
      <c r="M2742" t="s">
        <v>257</v>
      </c>
      <c r="N2742" s="1">
        <v>41617</v>
      </c>
      <c r="O2742">
        <v>11847.94</v>
      </c>
      <c r="P2742">
        <v>2961.92</v>
      </c>
      <c r="Q2742" t="s">
        <v>37</v>
      </c>
      <c r="R2742" t="s">
        <v>29</v>
      </c>
      <c r="S2742" t="s">
        <v>3444</v>
      </c>
      <c r="T2742" t="s">
        <v>3445</v>
      </c>
    </row>
    <row r="2743" spans="1:20" x14ac:dyDescent="0.25">
      <c r="A2743" t="s">
        <v>6927</v>
      </c>
      <c r="B2743" t="str">
        <f>"6431"</f>
        <v>6431</v>
      </c>
      <c r="C2743" t="str">
        <f>"283526431"</f>
        <v>283526431</v>
      </c>
      <c r="D2743" t="s">
        <v>5401</v>
      </c>
      <c r="E2743" t="s">
        <v>724</v>
      </c>
      <c r="F2743" t="s">
        <v>282</v>
      </c>
      <c r="G2743" s="1">
        <v>19852</v>
      </c>
      <c r="H2743" s="1">
        <v>40329</v>
      </c>
      <c r="I2743" t="str">
        <f>"05"</f>
        <v>05</v>
      </c>
      <c r="J2743" t="s">
        <v>58</v>
      </c>
      <c r="K2743" t="s">
        <v>98</v>
      </c>
      <c r="L2743" t="s">
        <v>37</v>
      </c>
      <c r="M2743" t="s">
        <v>117</v>
      </c>
      <c r="N2743" s="1">
        <v>41617</v>
      </c>
      <c r="O2743">
        <v>4951.96</v>
      </c>
      <c r="P2743">
        <v>1237.8599999999999</v>
      </c>
      <c r="Q2743" t="s">
        <v>28</v>
      </c>
      <c r="R2743" t="s">
        <v>29</v>
      </c>
      <c r="S2743" t="s">
        <v>541</v>
      </c>
      <c r="T2743" t="s">
        <v>542</v>
      </c>
    </row>
    <row r="2744" spans="1:20" x14ac:dyDescent="0.25">
      <c r="A2744" t="s">
        <v>6928</v>
      </c>
      <c r="B2744" t="str">
        <f>"3014"</f>
        <v>3014</v>
      </c>
      <c r="C2744" t="str">
        <f>"298603014"</f>
        <v>298603014</v>
      </c>
      <c r="D2744" t="s">
        <v>4466</v>
      </c>
      <c r="E2744" t="s">
        <v>6929</v>
      </c>
      <c r="F2744" t="s">
        <v>264</v>
      </c>
      <c r="G2744" s="1">
        <v>23901</v>
      </c>
      <c r="H2744" s="1">
        <v>40329</v>
      </c>
      <c r="I2744" t="str">
        <f>"05"</f>
        <v>05</v>
      </c>
      <c r="J2744" t="s">
        <v>58</v>
      </c>
      <c r="L2744" t="s">
        <v>37</v>
      </c>
      <c r="M2744" t="s">
        <v>143</v>
      </c>
      <c r="N2744" s="1">
        <v>41617</v>
      </c>
      <c r="O2744">
        <v>185.9</v>
      </c>
      <c r="P2744">
        <v>-185.9</v>
      </c>
      <c r="Q2744" t="s">
        <v>28</v>
      </c>
      <c r="R2744" t="s">
        <v>29</v>
      </c>
      <c r="S2744" t="s">
        <v>240</v>
      </c>
      <c r="T2744" t="s">
        <v>241</v>
      </c>
    </row>
    <row r="2745" spans="1:20" x14ac:dyDescent="0.25">
      <c r="A2745" t="s">
        <v>6930</v>
      </c>
      <c r="B2745" t="str">
        <f>"5233"</f>
        <v>5233</v>
      </c>
      <c r="C2745" t="str">
        <f>"538945233"</f>
        <v>538945233</v>
      </c>
      <c r="D2745" t="s">
        <v>6931</v>
      </c>
      <c r="E2745" t="s">
        <v>197</v>
      </c>
      <c r="F2745" t="s">
        <v>6932</v>
      </c>
      <c r="G2745" s="1">
        <v>26816</v>
      </c>
      <c r="H2745" s="1">
        <v>40328</v>
      </c>
      <c r="I2745" t="str">
        <f>"52"</f>
        <v>52</v>
      </c>
      <c r="J2745" t="s">
        <v>330</v>
      </c>
      <c r="K2745" t="s">
        <v>25</v>
      </c>
      <c r="L2745" t="s">
        <v>26</v>
      </c>
      <c r="M2745" t="s">
        <v>27</v>
      </c>
      <c r="N2745" s="1">
        <v>18629</v>
      </c>
      <c r="O2745">
        <v>0</v>
      </c>
      <c r="P2745">
        <v>0</v>
      </c>
      <c r="Q2745" t="s">
        <v>28</v>
      </c>
      <c r="R2745" t="s">
        <v>258</v>
      </c>
      <c r="S2745" t="s">
        <v>331</v>
      </c>
      <c r="T2745" t="s">
        <v>332</v>
      </c>
    </row>
    <row r="2746" spans="1:20" x14ac:dyDescent="0.25">
      <c r="A2746" t="s">
        <v>6933</v>
      </c>
      <c r="B2746" t="str">
        <f>"7266"</f>
        <v>7266</v>
      </c>
      <c r="C2746" t="str">
        <f>"300867266"</f>
        <v>300867266</v>
      </c>
      <c r="D2746" t="s">
        <v>6934</v>
      </c>
      <c r="E2746" t="s">
        <v>56</v>
      </c>
      <c r="F2746" t="s">
        <v>97</v>
      </c>
      <c r="G2746" s="1">
        <v>28852</v>
      </c>
      <c r="H2746" s="1">
        <v>40323</v>
      </c>
      <c r="I2746" t="str">
        <f>"52"</f>
        <v>52</v>
      </c>
      <c r="J2746" t="s">
        <v>330</v>
      </c>
      <c r="K2746" t="s">
        <v>25</v>
      </c>
      <c r="L2746" t="s">
        <v>26</v>
      </c>
      <c r="M2746" t="s">
        <v>27</v>
      </c>
      <c r="N2746" s="1">
        <v>18629</v>
      </c>
      <c r="O2746">
        <v>0</v>
      </c>
      <c r="P2746">
        <v>0</v>
      </c>
      <c r="Q2746" t="s">
        <v>28</v>
      </c>
      <c r="R2746" t="s">
        <v>71</v>
      </c>
      <c r="S2746" t="s">
        <v>402</v>
      </c>
      <c r="T2746" t="s">
        <v>403</v>
      </c>
    </row>
    <row r="2747" spans="1:20" x14ac:dyDescent="0.25">
      <c r="A2747" t="s">
        <v>6935</v>
      </c>
      <c r="B2747" t="str">
        <f>"4627"</f>
        <v>4627</v>
      </c>
      <c r="C2747" t="str">
        <f>"218564627"</f>
        <v>218564627</v>
      </c>
      <c r="D2747" t="s">
        <v>1383</v>
      </c>
      <c r="E2747" t="s">
        <v>122</v>
      </c>
      <c r="F2747" t="s">
        <v>44</v>
      </c>
      <c r="G2747" s="1">
        <v>18703</v>
      </c>
      <c r="H2747" s="1">
        <v>40316</v>
      </c>
      <c r="I2747" t="str">
        <f>"41"</f>
        <v>41</v>
      </c>
      <c r="J2747" t="s">
        <v>24</v>
      </c>
      <c r="K2747" t="s">
        <v>25</v>
      </c>
      <c r="L2747" t="s">
        <v>26</v>
      </c>
      <c r="M2747" t="s">
        <v>27</v>
      </c>
      <c r="N2747" s="1">
        <v>18629</v>
      </c>
      <c r="O2747">
        <v>0</v>
      </c>
      <c r="P2747">
        <v>0</v>
      </c>
      <c r="Q2747" t="s">
        <v>28</v>
      </c>
      <c r="R2747" t="s">
        <v>29</v>
      </c>
      <c r="S2747" t="s">
        <v>3090</v>
      </c>
      <c r="T2747" t="s">
        <v>3091</v>
      </c>
    </row>
    <row r="2748" spans="1:20" x14ac:dyDescent="0.25">
      <c r="A2748" t="s">
        <v>6936</v>
      </c>
      <c r="B2748" t="str">
        <f>"1267"</f>
        <v>1267</v>
      </c>
      <c r="C2748" t="str">
        <f>"278541267"</f>
        <v>278541267</v>
      </c>
      <c r="D2748" t="s">
        <v>3923</v>
      </c>
      <c r="E2748" t="s">
        <v>106</v>
      </c>
      <c r="F2748" t="s">
        <v>44</v>
      </c>
      <c r="G2748" s="1">
        <v>20283</v>
      </c>
      <c r="H2748" s="1">
        <v>40315</v>
      </c>
      <c r="I2748" t="str">
        <f>"42"</f>
        <v>42</v>
      </c>
      <c r="J2748" t="s">
        <v>367</v>
      </c>
      <c r="K2748" t="s">
        <v>25</v>
      </c>
      <c r="L2748" t="s">
        <v>26</v>
      </c>
      <c r="M2748" t="s">
        <v>27</v>
      </c>
      <c r="N2748" s="1">
        <v>18629</v>
      </c>
      <c r="O2748">
        <v>0</v>
      </c>
      <c r="P2748">
        <v>0</v>
      </c>
      <c r="Q2748" t="s">
        <v>28</v>
      </c>
      <c r="R2748" t="s">
        <v>29</v>
      </c>
      <c r="S2748" t="s">
        <v>982</v>
      </c>
      <c r="T2748" t="s">
        <v>983</v>
      </c>
    </row>
    <row r="2749" spans="1:20" x14ac:dyDescent="0.25">
      <c r="A2749" t="s">
        <v>6937</v>
      </c>
      <c r="B2749" t="str">
        <f>"2681"</f>
        <v>2681</v>
      </c>
      <c r="C2749" t="str">
        <f>"274402681"</f>
        <v>274402681</v>
      </c>
      <c r="D2749" t="s">
        <v>6938</v>
      </c>
      <c r="E2749" t="s">
        <v>197</v>
      </c>
      <c r="F2749" t="s">
        <v>69</v>
      </c>
      <c r="G2749" s="1">
        <v>15840</v>
      </c>
      <c r="H2749" s="1">
        <v>40315</v>
      </c>
      <c r="I2749" t="str">
        <f>"41"</f>
        <v>41</v>
      </c>
      <c r="J2749" t="s">
        <v>24</v>
      </c>
      <c r="K2749" t="s">
        <v>25</v>
      </c>
      <c r="L2749" t="s">
        <v>26</v>
      </c>
      <c r="M2749" t="s">
        <v>27</v>
      </c>
      <c r="N2749" s="1">
        <v>18629</v>
      </c>
      <c r="O2749">
        <v>0</v>
      </c>
      <c r="P2749">
        <v>0</v>
      </c>
      <c r="Q2749" t="s">
        <v>28</v>
      </c>
      <c r="R2749" t="s">
        <v>38</v>
      </c>
      <c r="S2749" t="s">
        <v>30</v>
      </c>
      <c r="T2749" t="s">
        <v>31</v>
      </c>
    </row>
    <row r="2750" spans="1:20" x14ac:dyDescent="0.25">
      <c r="A2750" t="s">
        <v>6939</v>
      </c>
      <c r="B2750" t="str">
        <f>"5082"</f>
        <v>5082</v>
      </c>
      <c r="C2750" t="str">
        <f>"294785082"</f>
        <v>294785082</v>
      </c>
      <c r="D2750" t="s">
        <v>6940</v>
      </c>
      <c r="E2750" t="s">
        <v>619</v>
      </c>
      <c r="F2750" t="s">
        <v>28</v>
      </c>
      <c r="G2750" s="1">
        <v>25853</v>
      </c>
      <c r="H2750" s="1">
        <v>40315</v>
      </c>
      <c r="I2750" t="str">
        <f>"41"</f>
        <v>41</v>
      </c>
      <c r="J2750" t="s">
        <v>24</v>
      </c>
      <c r="K2750" t="s">
        <v>25</v>
      </c>
      <c r="L2750" t="s">
        <v>26</v>
      </c>
      <c r="M2750" t="s">
        <v>27</v>
      </c>
      <c r="N2750" s="1">
        <v>18629</v>
      </c>
      <c r="O2750">
        <v>0</v>
      </c>
      <c r="P2750">
        <v>0</v>
      </c>
      <c r="Q2750" t="s">
        <v>37</v>
      </c>
      <c r="R2750" t="s">
        <v>110</v>
      </c>
      <c r="S2750" t="s">
        <v>6877</v>
      </c>
      <c r="T2750" t="s">
        <v>6878</v>
      </c>
    </row>
    <row r="2751" spans="1:20" x14ac:dyDescent="0.25">
      <c r="A2751" t="s">
        <v>6941</v>
      </c>
      <c r="B2751" t="str">
        <f>"2651"</f>
        <v>2651</v>
      </c>
      <c r="C2751" t="str">
        <f>"096422651"</f>
        <v>096422651</v>
      </c>
      <c r="D2751" t="s">
        <v>2119</v>
      </c>
      <c r="E2751" t="s">
        <v>822</v>
      </c>
      <c r="F2751" t="s">
        <v>264</v>
      </c>
      <c r="G2751" s="1">
        <v>18246</v>
      </c>
      <c r="H2751" s="1">
        <v>40308</v>
      </c>
      <c r="I2751" t="str">
        <f>"41"</f>
        <v>41</v>
      </c>
      <c r="J2751" t="s">
        <v>24</v>
      </c>
      <c r="K2751" t="s">
        <v>25</v>
      </c>
      <c r="L2751" t="s">
        <v>26</v>
      </c>
      <c r="M2751" t="s">
        <v>27</v>
      </c>
      <c r="N2751" s="1">
        <v>18629</v>
      </c>
      <c r="O2751">
        <v>0</v>
      </c>
      <c r="P2751">
        <v>0</v>
      </c>
      <c r="Q2751" t="s">
        <v>37</v>
      </c>
      <c r="R2751" t="s">
        <v>258</v>
      </c>
      <c r="S2751" t="s">
        <v>331</v>
      </c>
      <c r="T2751" t="s">
        <v>332</v>
      </c>
    </row>
    <row r="2752" spans="1:20" x14ac:dyDescent="0.25">
      <c r="A2752" t="s">
        <v>6942</v>
      </c>
      <c r="B2752" t="str">
        <f>"1390"</f>
        <v>1390</v>
      </c>
      <c r="C2752" t="str">
        <f>"290501390"</f>
        <v>290501390</v>
      </c>
      <c r="D2752" t="s">
        <v>6943</v>
      </c>
      <c r="E2752" t="s">
        <v>6944</v>
      </c>
      <c r="F2752" t="s">
        <v>190</v>
      </c>
      <c r="G2752" s="1">
        <v>17900</v>
      </c>
      <c r="H2752" s="1">
        <v>40308</v>
      </c>
      <c r="I2752" t="str">
        <f>"33"</f>
        <v>33</v>
      </c>
      <c r="J2752" t="s">
        <v>45</v>
      </c>
      <c r="K2752" t="s">
        <v>25</v>
      </c>
      <c r="L2752" t="s">
        <v>26</v>
      </c>
      <c r="M2752" t="s">
        <v>27</v>
      </c>
      <c r="N2752" s="1">
        <v>18629</v>
      </c>
      <c r="O2752">
        <v>0</v>
      </c>
      <c r="P2752">
        <v>0</v>
      </c>
      <c r="Q2752" t="s">
        <v>37</v>
      </c>
      <c r="R2752" t="s">
        <v>29</v>
      </c>
      <c r="S2752" t="s">
        <v>594</v>
      </c>
      <c r="T2752" t="s">
        <v>595</v>
      </c>
    </row>
    <row r="2753" spans="1:20" x14ac:dyDescent="0.25">
      <c r="A2753" t="s">
        <v>6945</v>
      </c>
      <c r="B2753" t="str">
        <f>"2141"</f>
        <v>2141</v>
      </c>
      <c r="C2753" t="str">
        <f>"273482141"</f>
        <v>273482141</v>
      </c>
      <c r="D2753" t="s">
        <v>4994</v>
      </c>
      <c r="E2753" t="s">
        <v>463</v>
      </c>
      <c r="F2753" t="s">
        <v>282</v>
      </c>
      <c r="G2753" s="1">
        <v>20139</v>
      </c>
      <c r="H2753" s="1">
        <v>40304</v>
      </c>
      <c r="I2753" t="str">
        <f>"52"</f>
        <v>52</v>
      </c>
      <c r="J2753" t="s">
        <v>330</v>
      </c>
      <c r="K2753" t="s">
        <v>25</v>
      </c>
      <c r="L2753" t="s">
        <v>26</v>
      </c>
      <c r="M2753" t="s">
        <v>27</v>
      </c>
      <c r="N2753" s="1">
        <v>18629</v>
      </c>
      <c r="O2753">
        <v>0</v>
      </c>
      <c r="P2753">
        <v>0</v>
      </c>
      <c r="Q2753" t="s">
        <v>28</v>
      </c>
      <c r="R2753" t="s">
        <v>258</v>
      </c>
      <c r="S2753" t="s">
        <v>336</v>
      </c>
      <c r="T2753" t="s">
        <v>337</v>
      </c>
    </row>
    <row r="2754" spans="1:20" x14ac:dyDescent="0.25">
      <c r="A2754" t="s">
        <v>6946</v>
      </c>
      <c r="B2754" t="str">
        <f>"7179"</f>
        <v>7179</v>
      </c>
      <c r="C2754" t="str">
        <f>"290707179"</f>
        <v>290707179</v>
      </c>
      <c r="D2754" t="s">
        <v>6438</v>
      </c>
      <c r="E2754" t="s">
        <v>2246</v>
      </c>
      <c r="F2754" t="s">
        <v>93</v>
      </c>
      <c r="G2754" s="1">
        <v>25025</v>
      </c>
      <c r="H2754" s="1">
        <v>40301</v>
      </c>
      <c r="I2754" t="str">
        <f>"01"</f>
        <v>01</v>
      </c>
      <c r="J2754" t="s">
        <v>116</v>
      </c>
      <c r="K2754" t="s">
        <v>98</v>
      </c>
      <c r="L2754" t="s">
        <v>37</v>
      </c>
      <c r="M2754" t="s">
        <v>117</v>
      </c>
      <c r="N2754" s="1">
        <v>41617</v>
      </c>
      <c r="O2754">
        <v>4951.96</v>
      </c>
      <c r="P2754">
        <v>1237.8599999999999</v>
      </c>
      <c r="Q2754" t="s">
        <v>37</v>
      </c>
      <c r="R2754" t="s">
        <v>51</v>
      </c>
      <c r="S2754" t="s">
        <v>487</v>
      </c>
      <c r="T2754" t="s">
        <v>488</v>
      </c>
    </row>
    <row r="2755" spans="1:20" x14ac:dyDescent="0.25">
      <c r="A2755" t="s">
        <v>6947</v>
      </c>
      <c r="B2755" t="str">
        <f>"2101"</f>
        <v>2101</v>
      </c>
      <c r="C2755" t="str">
        <f>"300022101"</f>
        <v>300022101</v>
      </c>
      <c r="D2755" t="s">
        <v>6948</v>
      </c>
      <c r="E2755" t="s">
        <v>6949</v>
      </c>
      <c r="G2755" s="1">
        <v>26871</v>
      </c>
      <c r="H2755" s="1">
        <v>40301</v>
      </c>
      <c r="I2755" t="str">
        <f>"03"</f>
        <v>03</v>
      </c>
      <c r="J2755" t="s">
        <v>70</v>
      </c>
      <c r="K2755" t="s">
        <v>98</v>
      </c>
      <c r="L2755" t="s">
        <v>37</v>
      </c>
      <c r="M2755" t="s">
        <v>257</v>
      </c>
      <c r="N2755" s="1">
        <v>41869</v>
      </c>
      <c r="O2755">
        <v>10753.08</v>
      </c>
      <c r="P2755">
        <v>2688.4</v>
      </c>
      <c r="Q2755" t="s">
        <v>37</v>
      </c>
      <c r="R2755" t="s">
        <v>29</v>
      </c>
      <c r="S2755" t="s">
        <v>1137</v>
      </c>
      <c r="T2755" t="s">
        <v>1138</v>
      </c>
    </row>
    <row r="2756" spans="1:20" x14ac:dyDescent="0.25">
      <c r="A2756" t="s">
        <v>6950</v>
      </c>
      <c r="B2756" t="str">
        <f>"9045"</f>
        <v>9045</v>
      </c>
      <c r="C2756" t="str">
        <f>"134749045"</f>
        <v>134749045</v>
      </c>
      <c r="D2756" t="s">
        <v>6951</v>
      </c>
      <c r="E2756" t="s">
        <v>35</v>
      </c>
      <c r="G2756" s="1">
        <v>32283</v>
      </c>
      <c r="H2756" s="1">
        <v>40297</v>
      </c>
      <c r="I2756" t="str">
        <f>"41"</f>
        <v>41</v>
      </c>
      <c r="J2756" t="s">
        <v>24</v>
      </c>
      <c r="K2756" t="s">
        <v>25</v>
      </c>
      <c r="L2756" t="s">
        <v>26</v>
      </c>
      <c r="M2756" t="s">
        <v>27</v>
      </c>
      <c r="N2756" s="1">
        <v>18629</v>
      </c>
      <c r="O2756">
        <v>0</v>
      </c>
      <c r="P2756">
        <v>0</v>
      </c>
      <c r="Q2756" t="s">
        <v>28</v>
      </c>
      <c r="R2756" t="s">
        <v>71</v>
      </c>
      <c r="S2756" t="s">
        <v>923</v>
      </c>
      <c r="T2756" t="s">
        <v>924</v>
      </c>
    </row>
    <row r="2757" spans="1:20" x14ac:dyDescent="0.25">
      <c r="A2757" t="s">
        <v>6952</v>
      </c>
      <c r="B2757" t="str">
        <f>"2920"</f>
        <v>2920</v>
      </c>
      <c r="C2757" t="str">
        <f>"291682920"</f>
        <v>291682920</v>
      </c>
      <c r="D2757" t="s">
        <v>6953</v>
      </c>
      <c r="E2757" t="s">
        <v>6954</v>
      </c>
      <c r="F2757" t="s">
        <v>264</v>
      </c>
      <c r="G2757" s="1">
        <v>24202</v>
      </c>
      <c r="H2757" s="1">
        <v>40296</v>
      </c>
      <c r="I2757" t="str">
        <f>"52"</f>
        <v>52</v>
      </c>
      <c r="J2757" t="s">
        <v>330</v>
      </c>
      <c r="K2757" t="s">
        <v>25</v>
      </c>
      <c r="L2757" t="s">
        <v>26</v>
      </c>
      <c r="M2757" t="s">
        <v>27</v>
      </c>
      <c r="N2757" s="1">
        <v>18629</v>
      </c>
      <c r="O2757">
        <v>0</v>
      </c>
      <c r="P2757">
        <v>0</v>
      </c>
      <c r="Q2757" t="s">
        <v>28</v>
      </c>
      <c r="R2757" t="s">
        <v>258</v>
      </c>
      <c r="S2757" t="s">
        <v>331</v>
      </c>
      <c r="T2757" t="s">
        <v>332</v>
      </c>
    </row>
    <row r="2758" spans="1:20" x14ac:dyDescent="0.25">
      <c r="A2758" t="s">
        <v>6955</v>
      </c>
      <c r="B2758" t="str">
        <f>"8336"</f>
        <v>8336</v>
      </c>
      <c r="C2758" t="str">
        <f>"277708336"</f>
        <v>277708336</v>
      </c>
      <c r="D2758" t="s">
        <v>6956</v>
      </c>
      <c r="E2758" t="s">
        <v>430</v>
      </c>
      <c r="F2758" t="s">
        <v>106</v>
      </c>
      <c r="G2758" s="1">
        <v>26336</v>
      </c>
      <c r="H2758" s="1">
        <v>40287</v>
      </c>
      <c r="I2758" t="str">
        <f>"52"</f>
        <v>52</v>
      </c>
      <c r="J2758" t="s">
        <v>330</v>
      </c>
      <c r="K2758" t="s">
        <v>25</v>
      </c>
      <c r="L2758" t="s">
        <v>26</v>
      </c>
      <c r="M2758" t="s">
        <v>27</v>
      </c>
      <c r="N2758" s="1">
        <v>18629</v>
      </c>
      <c r="O2758">
        <v>0</v>
      </c>
      <c r="P2758">
        <v>0</v>
      </c>
      <c r="Q2758" t="s">
        <v>28</v>
      </c>
      <c r="R2758" t="s">
        <v>71</v>
      </c>
      <c r="S2758" t="s">
        <v>331</v>
      </c>
      <c r="T2758" t="s">
        <v>332</v>
      </c>
    </row>
    <row r="2759" spans="1:20" x14ac:dyDescent="0.25">
      <c r="A2759" t="s">
        <v>6957</v>
      </c>
      <c r="B2759" t="str">
        <f>"4159"</f>
        <v>4159</v>
      </c>
      <c r="C2759" t="str">
        <f>"285464159"</f>
        <v>285464159</v>
      </c>
      <c r="D2759" t="s">
        <v>6958</v>
      </c>
      <c r="E2759" t="s">
        <v>35</v>
      </c>
      <c r="F2759" t="s">
        <v>264</v>
      </c>
      <c r="G2759" s="1">
        <v>19018</v>
      </c>
      <c r="H2759" s="1">
        <v>40287</v>
      </c>
      <c r="I2759" t="str">
        <f>"52"</f>
        <v>52</v>
      </c>
      <c r="J2759" t="s">
        <v>330</v>
      </c>
      <c r="K2759" t="s">
        <v>25</v>
      </c>
      <c r="L2759" t="s">
        <v>26</v>
      </c>
      <c r="M2759" t="s">
        <v>27</v>
      </c>
      <c r="N2759" s="1">
        <v>18629</v>
      </c>
      <c r="O2759">
        <v>0</v>
      </c>
      <c r="P2759">
        <v>0</v>
      </c>
      <c r="Q2759" t="s">
        <v>28</v>
      </c>
      <c r="R2759" t="s">
        <v>258</v>
      </c>
      <c r="S2759" t="s">
        <v>5785</v>
      </c>
      <c r="T2759" t="s">
        <v>5786</v>
      </c>
    </row>
    <row r="2760" spans="1:20" x14ac:dyDescent="0.25">
      <c r="A2760" t="s">
        <v>6959</v>
      </c>
      <c r="B2760" t="str">
        <f>"1582"</f>
        <v>1582</v>
      </c>
      <c r="C2760" t="str">
        <f>"289541582"</f>
        <v>289541582</v>
      </c>
      <c r="D2760" t="s">
        <v>6960</v>
      </c>
      <c r="E2760" t="s">
        <v>3412</v>
      </c>
      <c r="F2760" t="s">
        <v>93</v>
      </c>
      <c r="G2760" s="1">
        <v>23039</v>
      </c>
      <c r="H2760" s="1">
        <v>40286</v>
      </c>
      <c r="I2760" t="str">
        <f>"41"</f>
        <v>41</v>
      </c>
      <c r="J2760" t="s">
        <v>24</v>
      </c>
      <c r="K2760" t="s">
        <v>25</v>
      </c>
      <c r="L2760" t="s">
        <v>26</v>
      </c>
      <c r="M2760" t="s">
        <v>27</v>
      </c>
      <c r="N2760" s="1">
        <v>18629</v>
      </c>
      <c r="O2760">
        <v>0</v>
      </c>
      <c r="P2760">
        <v>0</v>
      </c>
      <c r="Q2760" t="s">
        <v>28</v>
      </c>
      <c r="R2760" t="s">
        <v>258</v>
      </c>
      <c r="S2760" t="s">
        <v>402</v>
      </c>
      <c r="T2760" t="s">
        <v>403</v>
      </c>
    </row>
    <row r="2761" spans="1:20" x14ac:dyDescent="0.25">
      <c r="A2761" t="s">
        <v>6961</v>
      </c>
      <c r="B2761" t="str">
        <f>"4031"</f>
        <v>4031</v>
      </c>
      <c r="C2761" t="str">
        <f>"296484031"</f>
        <v>296484031</v>
      </c>
      <c r="D2761" t="s">
        <v>6962</v>
      </c>
      <c r="E2761" t="s">
        <v>1381</v>
      </c>
      <c r="F2761" t="s">
        <v>93</v>
      </c>
      <c r="G2761" s="1">
        <v>18056</v>
      </c>
      <c r="H2761" s="1">
        <v>40285</v>
      </c>
      <c r="I2761" t="str">
        <f>"52"</f>
        <v>52</v>
      </c>
      <c r="J2761" t="s">
        <v>330</v>
      </c>
      <c r="K2761" t="s">
        <v>25</v>
      </c>
      <c r="L2761" t="s">
        <v>26</v>
      </c>
      <c r="M2761" t="s">
        <v>27</v>
      </c>
      <c r="N2761" s="1">
        <v>18629</v>
      </c>
      <c r="O2761">
        <v>0</v>
      </c>
      <c r="P2761">
        <v>0</v>
      </c>
      <c r="Q2761" t="s">
        <v>28</v>
      </c>
      <c r="R2761" t="s">
        <v>71</v>
      </c>
      <c r="S2761" t="s">
        <v>331</v>
      </c>
      <c r="T2761" t="s">
        <v>332</v>
      </c>
    </row>
    <row r="2762" spans="1:20" x14ac:dyDescent="0.25">
      <c r="A2762" t="s">
        <v>6963</v>
      </c>
      <c r="B2762" t="str">
        <f>"2576"</f>
        <v>2576</v>
      </c>
      <c r="C2762" t="str">
        <f>"514442576"</f>
        <v>514442576</v>
      </c>
      <c r="D2762" t="s">
        <v>623</v>
      </c>
      <c r="E2762" t="s">
        <v>184</v>
      </c>
      <c r="G2762" s="1">
        <v>15734</v>
      </c>
      <c r="H2762" s="1">
        <v>40281</v>
      </c>
      <c r="I2762" t="str">
        <f>"52"</f>
        <v>52</v>
      </c>
      <c r="J2762" t="s">
        <v>330</v>
      </c>
      <c r="K2762" t="s">
        <v>25</v>
      </c>
      <c r="L2762" t="s">
        <v>26</v>
      </c>
      <c r="M2762" t="s">
        <v>27</v>
      </c>
      <c r="N2762" s="1">
        <v>18629</v>
      </c>
      <c r="O2762">
        <v>0</v>
      </c>
      <c r="P2762">
        <v>0</v>
      </c>
      <c r="Q2762" t="s">
        <v>37</v>
      </c>
      <c r="R2762" t="s">
        <v>51</v>
      </c>
      <c r="S2762" s="2" t="s">
        <v>362</v>
      </c>
      <c r="T2762" t="s">
        <v>363</v>
      </c>
    </row>
    <row r="2763" spans="1:20" x14ac:dyDescent="0.25">
      <c r="A2763" t="s">
        <v>6964</v>
      </c>
      <c r="B2763" t="str">
        <f>"8364"</f>
        <v>8364</v>
      </c>
      <c r="C2763" t="str">
        <f>"277528364"</f>
        <v>277528364</v>
      </c>
      <c r="D2763" t="s">
        <v>6965</v>
      </c>
      <c r="E2763" t="s">
        <v>6966</v>
      </c>
      <c r="F2763" t="s">
        <v>165</v>
      </c>
      <c r="G2763" s="1">
        <v>18985</v>
      </c>
      <c r="H2763" s="1">
        <v>40273</v>
      </c>
      <c r="I2763" t="str">
        <f>"01"</f>
        <v>01</v>
      </c>
      <c r="J2763" t="s">
        <v>116</v>
      </c>
      <c r="K2763" t="s">
        <v>98</v>
      </c>
      <c r="L2763" t="s">
        <v>37</v>
      </c>
      <c r="M2763" t="s">
        <v>257</v>
      </c>
      <c r="N2763" s="1">
        <v>41617</v>
      </c>
      <c r="O2763">
        <v>10753.08</v>
      </c>
      <c r="P2763">
        <v>2688.4</v>
      </c>
      <c r="Q2763" t="s">
        <v>28</v>
      </c>
      <c r="R2763" t="s">
        <v>110</v>
      </c>
      <c r="S2763" t="s">
        <v>3195</v>
      </c>
      <c r="T2763" t="s">
        <v>3196</v>
      </c>
    </row>
    <row r="2764" spans="1:20" x14ac:dyDescent="0.25">
      <c r="A2764" t="s">
        <v>6967</v>
      </c>
      <c r="B2764" t="str">
        <f>"2582"</f>
        <v>2582</v>
      </c>
      <c r="C2764" t="str">
        <f>"114542582"</f>
        <v>114542582</v>
      </c>
      <c r="D2764" t="s">
        <v>6968</v>
      </c>
      <c r="E2764" t="s">
        <v>2455</v>
      </c>
      <c r="G2764" s="1">
        <v>22322</v>
      </c>
      <c r="H2764" s="1">
        <v>40273</v>
      </c>
      <c r="I2764" t="str">
        <f>"12"</f>
        <v>12</v>
      </c>
      <c r="J2764" t="s">
        <v>245</v>
      </c>
      <c r="L2764" t="s">
        <v>37</v>
      </c>
      <c r="M2764" t="s">
        <v>143</v>
      </c>
      <c r="N2764" s="1">
        <v>41617</v>
      </c>
      <c r="O2764">
        <v>185.9</v>
      </c>
      <c r="P2764">
        <v>-185.9</v>
      </c>
      <c r="Q2764" t="s">
        <v>37</v>
      </c>
      <c r="R2764" t="s">
        <v>29</v>
      </c>
      <c r="S2764" t="s">
        <v>1182</v>
      </c>
      <c r="T2764" t="s">
        <v>1183</v>
      </c>
    </row>
    <row r="2765" spans="1:20" x14ac:dyDescent="0.25">
      <c r="A2765" t="s">
        <v>6969</v>
      </c>
      <c r="B2765" t="str">
        <f>"4539"</f>
        <v>4539</v>
      </c>
      <c r="C2765" t="str">
        <f>"301604539"</f>
        <v>301604539</v>
      </c>
      <c r="D2765" t="s">
        <v>6970</v>
      </c>
      <c r="E2765" t="s">
        <v>304</v>
      </c>
      <c r="G2765" s="1">
        <v>24769</v>
      </c>
      <c r="H2765" s="1">
        <v>40273</v>
      </c>
      <c r="I2765" t="str">
        <f>"42"</f>
        <v>42</v>
      </c>
      <c r="J2765" t="s">
        <v>367</v>
      </c>
      <c r="K2765" t="s">
        <v>25</v>
      </c>
      <c r="L2765" t="s">
        <v>26</v>
      </c>
      <c r="M2765" t="s">
        <v>27</v>
      </c>
      <c r="N2765" s="1">
        <v>18629</v>
      </c>
      <c r="O2765">
        <v>0</v>
      </c>
      <c r="P2765">
        <v>0</v>
      </c>
      <c r="Q2765" t="s">
        <v>28</v>
      </c>
      <c r="R2765" t="s">
        <v>29</v>
      </c>
      <c r="S2765" t="s">
        <v>982</v>
      </c>
      <c r="T2765" t="s">
        <v>983</v>
      </c>
    </row>
    <row r="2766" spans="1:20" x14ac:dyDescent="0.25">
      <c r="A2766" t="s">
        <v>6971</v>
      </c>
      <c r="B2766" t="str">
        <f>"5756"</f>
        <v>5756</v>
      </c>
      <c r="C2766" t="str">
        <f>"285585756"</f>
        <v>285585756</v>
      </c>
      <c r="D2766" t="s">
        <v>6972</v>
      </c>
      <c r="E2766" t="s">
        <v>231</v>
      </c>
      <c r="G2766" s="1">
        <v>22895</v>
      </c>
      <c r="H2766" s="1">
        <v>40272</v>
      </c>
      <c r="I2766" t="str">
        <f>"50"</f>
        <v>50</v>
      </c>
      <c r="J2766" t="s">
        <v>208</v>
      </c>
      <c r="K2766" t="s">
        <v>25</v>
      </c>
      <c r="L2766" t="s">
        <v>26</v>
      </c>
      <c r="M2766" t="s">
        <v>27</v>
      </c>
      <c r="N2766" s="1">
        <v>18629</v>
      </c>
      <c r="O2766">
        <v>0</v>
      </c>
      <c r="P2766">
        <v>0</v>
      </c>
      <c r="Q2766" t="s">
        <v>37</v>
      </c>
      <c r="R2766" t="s">
        <v>100</v>
      </c>
      <c r="S2766" t="s">
        <v>246</v>
      </c>
      <c r="T2766" t="s">
        <v>247</v>
      </c>
    </row>
    <row r="2767" spans="1:20" x14ac:dyDescent="0.25">
      <c r="A2767" t="s">
        <v>6973</v>
      </c>
      <c r="B2767" t="str">
        <f>"1110"</f>
        <v>1110</v>
      </c>
      <c r="C2767" t="str">
        <f>"374581110"</f>
        <v>374581110</v>
      </c>
      <c r="D2767" t="s">
        <v>352</v>
      </c>
      <c r="E2767" t="s">
        <v>106</v>
      </c>
      <c r="F2767" t="s">
        <v>28</v>
      </c>
      <c r="G2767" s="1">
        <v>19487</v>
      </c>
      <c r="H2767" s="1">
        <v>40266</v>
      </c>
      <c r="I2767" t="str">
        <f>"52"</f>
        <v>52</v>
      </c>
      <c r="J2767" t="s">
        <v>330</v>
      </c>
      <c r="K2767" t="s">
        <v>25</v>
      </c>
      <c r="L2767" t="s">
        <v>26</v>
      </c>
      <c r="M2767" t="s">
        <v>27</v>
      </c>
      <c r="N2767" s="1">
        <v>18629</v>
      </c>
      <c r="O2767">
        <v>0</v>
      </c>
      <c r="P2767">
        <v>0</v>
      </c>
      <c r="Q2767" t="s">
        <v>28</v>
      </c>
      <c r="R2767" t="s">
        <v>51</v>
      </c>
      <c r="S2767" s="2" t="s">
        <v>3548</v>
      </c>
      <c r="T2767" t="s">
        <v>3549</v>
      </c>
    </row>
    <row r="2768" spans="1:20" x14ac:dyDescent="0.25">
      <c r="A2768" t="s">
        <v>6974</v>
      </c>
      <c r="B2768" t="str">
        <f>"9894"</f>
        <v>9894</v>
      </c>
      <c r="C2768" t="str">
        <f>"276449894"</f>
        <v>276449894</v>
      </c>
      <c r="D2768" t="s">
        <v>6975</v>
      </c>
      <c r="E2768" t="s">
        <v>6976</v>
      </c>
      <c r="F2768" t="s">
        <v>28</v>
      </c>
      <c r="G2768" s="1">
        <v>19966</v>
      </c>
      <c r="H2768" s="1">
        <v>40266</v>
      </c>
      <c r="I2768" t="str">
        <f>"50"</f>
        <v>50</v>
      </c>
      <c r="J2768" t="s">
        <v>208</v>
      </c>
      <c r="K2768" t="s">
        <v>25</v>
      </c>
      <c r="L2768" t="s">
        <v>26</v>
      </c>
      <c r="M2768" t="s">
        <v>27</v>
      </c>
      <c r="N2768" s="1">
        <v>18629</v>
      </c>
      <c r="O2768">
        <v>0</v>
      </c>
      <c r="P2768">
        <v>0</v>
      </c>
      <c r="Q2768" t="s">
        <v>37</v>
      </c>
      <c r="R2768" t="s">
        <v>71</v>
      </c>
      <c r="S2768" t="s">
        <v>373</v>
      </c>
      <c r="T2768" t="s">
        <v>374</v>
      </c>
    </row>
    <row r="2769" spans="1:20" x14ac:dyDescent="0.25">
      <c r="A2769" t="s">
        <v>6977</v>
      </c>
      <c r="B2769" t="str">
        <f>"2180"</f>
        <v>2180</v>
      </c>
      <c r="C2769" t="str">
        <f>"282402180"</f>
        <v>282402180</v>
      </c>
      <c r="D2769" t="s">
        <v>4190</v>
      </c>
      <c r="E2769" t="s">
        <v>6978</v>
      </c>
      <c r="G2769" s="1">
        <v>15338</v>
      </c>
      <c r="H2769" s="1">
        <v>40262</v>
      </c>
      <c r="I2769" t="str">
        <f>"52"</f>
        <v>52</v>
      </c>
      <c r="J2769" t="s">
        <v>330</v>
      </c>
      <c r="K2769" t="s">
        <v>25</v>
      </c>
      <c r="L2769" t="s">
        <v>26</v>
      </c>
      <c r="M2769" t="s">
        <v>27</v>
      </c>
      <c r="N2769" s="1">
        <v>18629</v>
      </c>
      <c r="O2769">
        <v>0</v>
      </c>
      <c r="P2769">
        <v>0</v>
      </c>
      <c r="Q2769" t="s">
        <v>28</v>
      </c>
      <c r="R2769" t="s">
        <v>51</v>
      </c>
      <c r="S2769" t="s">
        <v>336</v>
      </c>
      <c r="T2769" t="s">
        <v>337</v>
      </c>
    </row>
    <row r="2770" spans="1:20" x14ac:dyDescent="0.25">
      <c r="A2770" t="s">
        <v>6979</v>
      </c>
      <c r="B2770" t="str">
        <f>"7444"</f>
        <v>7444</v>
      </c>
      <c r="C2770" t="str">
        <f>"284827444"</f>
        <v>284827444</v>
      </c>
      <c r="D2770" t="s">
        <v>6980</v>
      </c>
      <c r="E2770" t="s">
        <v>179</v>
      </c>
      <c r="G2770" s="1">
        <v>29985</v>
      </c>
      <c r="H2770" s="1">
        <v>40259</v>
      </c>
      <c r="I2770" t="str">
        <f>"31"</f>
        <v>31</v>
      </c>
      <c r="J2770" t="s">
        <v>3321</v>
      </c>
      <c r="K2770" t="s">
        <v>25</v>
      </c>
      <c r="L2770" t="s">
        <v>26</v>
      </c>
      <c r="M2770" t="s">
        <v>27</v>
      </c>
      <c r="N2770" s="1">
        <v>18629</v>
      </c>
      <c r="O2770">
        <v>0</v>
      </c>
      <c r="P2770">
        <v>0</v>
      </c>
      <c r="Q2770" t="s">
        <v>28</v>
      </c>
      <c r="R2770" t="s">
        <v>71</v>
      </c>
      <c r="S2770" t="s">
        <v>5842</v>
      </c>
      <c r="T2770" t="s">
        <v>5843</v>
      </c>
    </row>
    <row r="2771" spans="1:20" x14ac:dyDescent="0.25">
      <c r="A2771" t="s">
        <v>6981</v>
      </c>
      <c r="B2771" t="str">
        <f>"5434"</f>
        <v>5434</v>
      </c>
      <c r="C2771" t="str">
        <f>"288785434"</f>
        <v>288785434</v>
      </c>
      <c r="D2771" t="s">
        <v>6982</v>
      </c>
      <c r="E2771" t="s">
        <v>4531</v>
      </c>
      <c r="F2771" t="s">
        <v>6983</v>
      </c>
      <c r="G2771" s="1">
        <v>30022</v>
      </c>
      <c r="H2771" s="1">
        <v>40259</v>
      </c>
      <c r="I2771" t="str">
        <f>"30"</f>
        <v>30</v>
      </c>
      <c r="J2771" t="s">
        <v>50</v>
      </c>
      <c r="K2771" t="s">
        <v>25</v>
      </c>
      <c r="L2771" t="s">
        <v>26</v>
      </c>
      <c r="M2771" t="s">
        <v>27</v>
      </c>
      <c r="N2771" s="1">
        <v>18629</v>
      </c>
      <c r="O2771">
        <v>0</v>
      </c>
      <c r="P2771">
        <v>0</v>
      </c>
      <c r="Q2771" t="s">
        <v>28</v>
      </c>
      <c r="R2771" t="s">
        <v>29</v>
      </c>
      <c r="S2771" t="s">
        <v>3322</v>
      </c>
      <c r="T2771" t="s">
        <v>3323</v>
      </c>
    </row>
    <row r="2772" spans="1:20" x14ac:dyDescent="0.25">
      <c r="A2772" t="s">
        <v>6984</v>
      </c>
      <c r="B2772" t="str">
        <f>"6086"</f>
        <v>6086</v>
      </c>
      <c r="C2772" t="str">
        <f>"302466086"</f>
        <v>302466086</v>
      </c>
      <c r="D2772" t="s">
        <v>1323</v>
      </c>
      <c r="E2772" t="s">
        <v>6985</v>
      </c>
      <c r="G2772" s="1">
        <v>17977</v>
      </c>
      <c r="H2772" s="1">
        <v>40259</v>
      </c>
      <c r="I2772" t="str">
        <f>"31"</f>
        <v>31</v>
      </c>
      <c r="J2772" t="s">
        <v>3321</v>
      </c>
      <c r="K2772" t="s">
        <v>25</v>
      </c>
      <c r="L2772" t="s">
        <v>26</v>
      </c>
      <c r="M2772" t="s">
        <v>27</v>
      </c>
      <c r="N2772" s="1">
        <v>18629</v>
      </c>
      <c r="O2772">
        <v>0</v>
      </c>
      <c r="P2772">
        <v>0</v>
      </c>
      <c r="Q2772" t="s">
        <v>28</v>
      </c>
      <c r="R2772" t="s">
        <v>29</v>
      </c>
      <c r="S2772" t="s">
        <v>3322</v>
      </c>
      <c r="T2772" t="s">
        <v>3323</v>
      </c>
    </row>
    <row r="2773" spans="1:20" x14ac:dyDescent="0.25">
      <c r="A2773" t="s">
        <v>6986</v>
      </c>
      <c r="B2773" t="str">
        <f>"5647"</f>
        <v>5647</v>
      </c>
      <c r="C2773" t="str">
        <f>"092545647"</f>
        <v>092545647</v>
      </c>
      <c r="D2773" t="s">
        <v>5644</v>
      </c>
      <c r="E2773" t="s">
        <v>4259</v>
      </c>
      <c r="G2773" s="1">
        <v>21277</v>
      </c>
      <c r="H2773" s="1">
        <v>40259</v>
      </c>
      <c r="I2773" t="str">
        <f>"30"</f>
        <v>30</v>
      </c>
      <c r="J2773" t="s">
        <v>50</v>
      </c>
      <c r="K2773" t="s">
        <v>25</v>
      </c>
      <c r="L2773" t="s">
        <v>26</v>
      </c>
      <c r="M2773" t="s">
        <v>27</v>
      </c>
      <c r="N2773" s="1">
        <v>18629</v>
      </c>
      <c r="O2773">
        <v>0</v>
      </c>
      <c r="P2773">
        <v>0</v>
      </c>
      <c r="Q2773" t="s">
        <v>28</v>
      </c>
      <c r="R2773" t="s">
        <v>51</v>
      </c>
      <c r="S2773" s="2" t="s">
        <v>6987</v>
      </c>
      <c r="T2773" t="s">
        <v>6988</v>
      </c>
    </row>
    <row r="2774" spans="1:20" x14ac:dyDescent="0.25">
      <c r="A2774" t="s">
        <v>6989</v>
      </c>
      <c r="B2774" t="str">
        <f>"4102"</f>
        <v>4102</v>
      </c>
      <c r="C2774" t="str">
        <f>"277604102"</f>
        <v>277604102</v>
      </c>
      <c r="D2774" t="s">
        <v>6990</v>
      </c>
      <c r="E2774" t="s">
        <v>499</v>
      </c>
      <c r="F2774" t="s">
        <v>438</v>
      </c>
      <c r="G2774" s="1">
        <v>23154</v>
      </c>
      <c r="H2774" s="1">
        <v>40259</v>
      </c>
      <c r="I2774" t="str">
        <f>"08"</f>
        <v>08</v>
      </c>
      <c r="J2774" t="s">
        <v>265</v>
      </c>
      <c r="K2774" t="s">
        <v>510</v>
      </c>
      <c r="L2774" t="s">
        <v>37</v>
      </c>
      <c r="M2774" t="s">
        <v>257</v>
      </c>
      <c r="N2774" s="1">
        <v>41617</v>
      </c>
      <c r="O2774">
        <v>14110.72</v>
      </c>
      <c r="P2774">
        <v>3527.68</v>
      </c>
      <c r="Q2774" t="s">
        <v>28</v>
      </c>
      <c r="R2774" t="s">
        <v>71</v>
      </c>
      <c r="S2774" t="s">
        <v>5588</v>
      </c>
      <c r="T2774" t="s">
        <v>5589</v>
      </c>
    </row>
    <row r="2775" spans="1:20" x14ac:dyDescent="0.25">
      <c r="A2775" t="s">
        <v>6991</v>
      </c>
      <c r="B2775" t="str">
        <f>"5104"</f>
        <v>5104</v>
      </c>
      <c r="C2775" t="str">
        <f>"270765104"</f>
        <v>270765104</v>
      </c>
      <c r="D2775" t="s">
        <v>6992</v>
      </c>
      <c r="E2775" t="s">
        <v>6993</v>
      </c>
      <c r="F2775" t="s">
        <v>28</v>
      </c>
      <c r="G2775" s="1">
        <v>23575</v>
      </c>
      <c r="H2775" s="1">
        <v>40259</v>
      </c>
      <c r="I2775" t="str">
        <f>"30"</f>
        <v>30</v>
      </c>
      <c r="J2775" t="s">
        <v>50</v>
      </c>
      <c r="K2775" t="s">
        <v>25</v>
      </c>
      <c r="L2775" t="s">
        <v>26</v>
      </c>
      <c r="M2775" t="s">
        <v>27</v>
      </c>
      <c r="N2775" s="1">
        <v>18629</v>
      </c>
      <c r="O2775">
        <v>0</v>
      </c>
      <c r="P2775">
        <v>0</v>
      </c>
      <c r="Q2775" t="s">
        <v>28</v>
      </c>
      <c r="R2775" t="s">
        <v>71</v>
      </c>
      <c r="S2775" t="s">
        <v>5842</v>
      </c>
      <c r="T2775" t="s">
        <v>5843</v>
      </c>
    </row>
    <row r="2776" spans="1:20" x14ac:dyDescent="0.25">
      <c r="A2776" t="s">
        <v>6994</v>
      </c>
      <c r="B2776" t="str">
        <f>"5531"</f>
        <v>5531</v>
      </c>
      <c r="C2776" t="str">
        <f>"300785531"</f>
        <v>300785531</v>
      </c>
      <c r="D2776" t="s">
        <v>6995</v>
      </c>
      <c r="E2776" t="s">
        <v>122</v>
      </c>
      <c r="F2776" t="s">
        <v>556</v>
      </c>
      <c r="G2776" s="1">
        <v>24112</v>
      </c>
      <c r="H2776" s="1">
        <v>40259</v>
      </c>
      <c r="I2776" t="str">
        <f>"30"</f>
        <v>30</v>
      </c>
      <c r="J2776" t="s">
        <v>50</v>
      </c>
      <c r="K2776" t="s">
        <v>25</v>
      </c>
      <c r="L2776" t="s">
        <v>26</v>
      </c>
      <c r="M2776" t="s">
        <v>27</v>
      </c>
      <c r="N2776" s="1">
        <v>18629</v>
      </c>
      <c r="O2776">
        <v>0</v>
      </c>
      <c r="P2776">
        <v>0</v>
      </c>
      <c r="Q2776" t="s">
        <v>28</v>
      </c>
      <c r="R2776" t="s">
        <v>29</v>
      </c>
      <c r="S2776" t="s">
        <v>3322</v>
      </c>
      <c r="T2776" t="s">
        <v>3323</v>
      </c>
    </row>
    <row r="2777" spans="1:20" x14ac:dyDescent="0.25">
      <c r="A2777" t="s">
        <v>6996</v>
      </c>
      <c r="B2777" t="str">
        <f>"8933"</f>
        <v>8933</v>
      </c>
      <c r="C2777" t="str">
        <f>"284828933"</f>
        <v>284828933</v>
      </c>
      <c r="D2777" t="s">
        <v>4782</v>
      </c>
      <c r="E2777" t="s">
        <v>3714</v>
      </c>
      <c r="F2777" t="s">
        <v>264</v>
      </c>
      <c r="G2777" s="1">
        <v>26236</v>
      </c>
      <c r="H2777" s="1">
        <v>40259</v>
      </c>
      <c r="I2777" t="str">
        <f>"30"</f>
        <v>30</v>
      </c>
      <c r="J2777" t="s">
        <v>50</v>
      </c>
      <c r="K2777" t="s">
        <v>25</v>
      </c>
      <c r="L2777" t="s">
        <v>26</v>
      </c>
      <c r="M2777" t="s">
        <v>27</v>
      </c>
      <c r="N2777" s="1">
        <v>18629</v>
      </c>
      <c r="O2777">
        <v>0</v>
      </c>
      <c r="P2777">
        <v>0</v>
      </c>
      <c r="Q2777" t="s">
        <v>28</v>
      </c>
      <c r="R2777" t="s">
        <v>29</v>
      </c>
      <c r="S2777" t="s">
        <v>3322</v>
      </c>
      <c r="T2777" t="s">
        <v>3323</v>
      </c>
    </row>
    <row r="2778" spans="1:20" x14ac:dyDescent="0.25">
      <c r="A2778" t="s">
        <v>6997</v>
      </c>
      <c r="B2778" t="str">
        <f>"1417"</f>
        <v>1417</v>
      </c>
      <c r="C2778" t="str">
        <f>"296421417"</f>
        <v>296421417</v>
      </c>
      <c r="D2778" t="s">
        <v>6998</v>
      </c>
      <c r="E2778" t="s">
        <v>1353</v>
      </c>
      <c r="F2778" t="s">
        <v>28</v>
      </c>
      <c r="G2778" s="1">
        <v>22123</v>
      </c>
      <c r="H2778" s="1">
        <v>40259</v>
      </c>
      <c r="I2778" t="str">
        <f>"12"</f>
        <v>12</v>
      </c>
      <c r="J2778" t="s">
        <v>245</v>
      </c>
      <c r="K2778" t="s">
        <v>98</v>
      </c>
      <c r="L2778" t="s">
        <v>37</v>
      </c>
      <c r="M2778" t="s">
        <v>117</v>
      </c>
      <c r="N2778" s="1">
        <v>41617</v>
      </c>
      <c r="O2778">
        <v>4951.96</v>
      </c>
      <c r="P2778">
        <v>1237.8599999999999</v>
      </c>
      <c r="Q2778" t="s">
        <v>37</v>
      </c>
      <c r="R2778" t="s">
        <v>110</v>
      </c>
      <c r="S2778" t="s">
        <v>482</v>
      </c>
      <c r="T2778" t="s">
        <v>483</v>
      </c>
    </row>
    <row r="2779" spans="1:20" x14ac:dyDescent="0.25">
      <c r="A2779" t="s">
        <v>6999</v>
      </c>
      <c r="B2779" t="str">
        <f>"8362"</f>
        <v>8362</v>
      </c>
      <c r="C2779" t="str">
        <f>"295888362"</f>
        <v>295888362</v>
      </c>
      <c r="D2779" t="s">
        <v>834</v>
      </c>
      <c r="E2779" t="s">
        <v>7000</v>
      </c>
      <c r="F2779" t="s">
        <v>219</v>
      </c>
      <c r="G2779" s="1">
        <v>26114</v>
      </c>
      <c r="H2779" s="1">
        <v>40259</v>
      </c>
      <c r="I2779" t="str">
        <f>"31"</f>
        <v>31</v>
      </c>
      <c r="J2779" t="s">
        <v>3321</v>
      </c>
      <c r="K2779" t="s">
        <v>25</v>
      </c>
      <c r="L2779" t="s">
        <v>26</v>
      </c>
      <c r="M2779" t="s">
        <v>27</v>
      </c>
      <c r="N2779" s="1">
        <v>18629</v>
      </c>
      <c r="O2779">
        <v>0</v>
      </c>
      <c r="P2779">
        <v>0</v>
      </c>
      <c r="Q2779" t="s">
        <v>37</v>
      </c>
      <c r="R2779" t="s">
        <v>29</v>
      </c>
      <c r="S2779" t="s">
        <v>3322</v>
      </c>
      <c r="T2779" t="s">
        <v>3323</v>
      </c>
    </row>
    <row r="2780" spans="1:20" x14ac:dyDescent="0.25">
      <c r="A2780" t="s">
        <v>7001</v>
      </c>
      <c r="B2780" t="str">
        <f>"2110"</f>
        <v>2110</v>
      </c>
      <c r="C2780" t="str">
        <f>"276662110"</f>
        <v>276662110</v>
      </c>
      <c r="D2780" t="s">
        <v>7002</v>
      </c>
      <c r="E2780" t="s">
        <v>7003</v>
      </c>
      <c r="F2780" t="s">
        <v>231</v>
      </c>
      <c r="G2780" s="1">
        <v>22498</v>
      </c>
      <c r="H2780" s="1">
        <v>40259</v>
      </c>
      <c r="I2780" t="str">
        <f>"51"</f>
        <v>51</v>
      </c>
      <c r="J2780" t="s">
        <v>471</v>
      </c>
      <c r="K2780" t="s">
        <v>25</v>
      </c>
      <c r="L2780" t="s">
        <v>26</v>
      </c>
      <c r="M2780" t="s">
        <v>27</v>
      </c>
      <c r="N2780" s="1">
        <v>18629</v>
      </c>
      <c r="O2780">
        <v>0</v>
      </c>
      <c r="P2780">
        <v>0</v>
      </c>
      <c r="Q2780" t="s">
        <v>37</v>
      </c>
      <c r="R2780" t="s">
        <v>29</v>
      </c>
      <c r="S2780" t="s">
        <v>1887</v>
      </c>
      <c r="T2780" t="s">
        <v>1888</v>
      </c>
    </row>
    <row r="2781" spans="1:20" x14ac:dyDescent="0.25">
      <c r="A2781" t="s">
        <v>7004</v>
      </c>
      <c r="B2781" t="str">
        <f>"1490"</f>
        <v>1490</v>
      </c>
      <c r="C2781" t="str">
        <f>"290501490"</f>
        <v>290501490</v>
      </c>
      <c r="D2781" t="s">
        <v>114</v>
      </c>
      <c r="E2781" t="s">
        <v>2027</v>
      </c>
      <c r="G2781" s="1">
        <v>18700</v>
      </c>
      <c r="H2781" s="1">
        <v>40259</v>
      </c>
      <c r="I2781" t="str">
        <f>"33"</f>
        <v>33</v>
      </c>
      <c r="J2781" t="s">
        <v>45</v>
      </c>
      <c r="K2781" t="s">
        <v>25</v>
      </c>
      <c r="L2781" t="s">
        <v>26</v>
      </c>
      <c r="M2781" t="s">
        <v>27</v>
      </c>
      <c r="N2781" s="1">
        <v>18629</v>
      </c>
      <c r="O2781">
        <v>0</v>
      </c>
      <c r="P2781">
        <v>0</v>
      </c>
      <c r="Q2781" t="s">
        <v>28</v>
      </c>
      <c r="R2781" t="s">
        <v>51</v>
      </c>
      <c r="S2781" t="s">
        <v>795</v>
      </c>
      <c r="T2781" t="s">
        <v>796</v>
      </c>
    </row>
    <row r="2782" spans="1:20" x14ac:dyDescent="0.25">
      <c r="A2782" t="s">
        <v>7005</v>
      </c>
      <c r="B2782" t="str">
        <f>"5728"</f>
        <v>5728</v>
      </c>
      <c r="C2782" t="str">
        <f>"465545728"</f>
        <v>465545728</v>
      </c>
      <c r="D2782" t="s">
        <v>7006</v>
      </c>
      <c r="E2782" t="s">
        <v>3056</v>
      </c>
      <c r="F2782" t="s">
        <v>1031</v>
      </c>
      <c r="G2782" s="1">
        <v>13848</v>
      </c>
      <c r="H2782" s="1">
        <v>40257</v>
      </c>
      <c r="I2782" t="str">
        <f>"51"</f>
        <v>51</v>
      </c>
      <c r="J2782" t="s">
        <v>471</v>
      </c>
      <c r="K2782" t="s">
        <v>25</v>
      </c>
      <c r="L2782" t="s">
        <v>26</v>
      </c>
      <c r="M2782" t="s">
        <v>27</v>
      </c>
      <c r="N2782" s="1">
        <v>18629</v>
      </c>
      <c r="O2782">
        <v>0</v>
      </c>
      <c r="P2782">
        <v>0</v>
      </c>
      <c r="Q2782" t="s">
        <v>28</v>
      </c>
      <c r="R2782" t="s">
        <v>71</v>
      </c>
      <c r="S2782" t="s">
        <v>180</v>
      </c>
      <c r="T2782" t="s">
        <v>181</v>
      </c>
    </row>
    <row r="2783" spans="1:20" x14ac:dyDescent="0.25">
      <c r="A2783" t="s">
        <v>7007</v>
      </c>
      <c r="B2783" t="str">
        <f>"9069"</f>
        <v>9069</v>
      </c>
      <c r="C2783" t="str">
        <f>"269849069"</f>
        <v>269849069</v>
      </c>
      <c r="D2783" t="s">
        <v>6805</v>
      </c>
      <c r="E2783" t="s">
        <v>1350</v>
      </c>
      <c r="F2783" t="s">
        <v>165</v>
      </c>
      <c r="G2783" s="1">
        <v>30938</v>
      </c>
      <c r="H2783" s="1">
        <v>40257</v>
      </c>
      <c r="I2783" t="str">
        <f>"41"</f>
        <v>41</v>
      </c>
      <c r="J2783" t="s">
        <v>24</v>
      </c>
      <c r="K2783" t="s">
        <v>25</v>
      </c>
      <c r="L2783" t="s">
        <v>26</v>
      </c>
      <c r="M2783" t="s">
        <v>27</v>
      </c>
      <c r="N2783" s="1">
        <v>18629</v>
      </c>
      <c r="O2783">
        <v>0</v>
      </c>
      <c r="P2783">
        <v>0</v>
      </c>
      <c r="Q2783" t="s">
        <v>37</v>
      </c>
      <c r="R2783" t="s">
        <v>51</v>
      </c>
      <c r="S2783" s="2" t="s">
        <v>6987</v>
      </c>
      <c r="T2783" t="s">
        <v>6988</v>
      </c>
    </row>
    <row r="2784" spans="1:20" x14ac:dyDescent="0.25">
      <c r="A2784" t="s">
        <v>7008</v>
      </c>
      <c r="B2784" t="str">
        <f>"9857"</f>
        <v>9857</v>
      </c>
      <c r="C2784" t="str">
        <f>"270649857"</f>
        <v>270649857</v>
      </c>
      <c r="D2784" t="s">
        <v>7009</v>
      </c>
      <c r="E2784" t="s">
        <v>2339</v>
      </c>
      <c r="F2784" t="s">
        <v>44</v>
      </c>
      <c r="G2784" s="1">
        <v>21644</v>
      </c>
      <c r="H2784" s="1">
        <v>40252</v>
      </c>
      <c r="I2784" t="str">
        <f>"31"</f>
        <v>31</v>
      </c>
      <c r="J2784" t="s">
        <v>3321</v>
      </c>
      <c r="K2784" t="s">
        <v>25</v>
      </c>
      <c r="L2784" t="s">
        <v>26</v>
      </c>
      <c r="M2784" t="s">
        <v>27</v>
      </c>
      <c r="N2784" s="1">
        <v>18629</v>
      </c>
      <c r="O2784">
        <v>0</v>
      </c>
      <c r="P2784">
        <v>0</v>
      </c>
      <c r="Q2784" t="s">
        <v>37</v>
      </c>
      <c r="R2784" t="s">
        <v>29</v>
      </c>
      <c r="S2784" t="s">
        <v>3986</v>
      </c>
      <c r="T2784" t="s">
        <v>3987</v>
      </c>
    </row>
    <row r="2785" spans="1:20" x14ac:dyDescent="0.25">
      <c r="A2785" t="s">
        <v>7010</v>
      </c>
      <c r="B2785" t="str">
        <f>"8798"</f>
        <v>8798</v>
      </c>
      <c r="C2785" t="str">
        <f>"302708798"</f>
        <v>302708798</v>
      </c>
      <c r="D2785" t="s">
        <v>356</v>
      </c>
      <c r="E2785" t="s">
        <v>35</v>
      </c>
      <c r="F2785" t="s">
        <v>69</v>
      </c>
      <c r="G2785" s="1">
        <v>28041</v>
      </c>
      <c r="H2785" s="1">
        <v>40252</v>
      </c>
      <c r="I2785" t="str">
        <f>"41"</f>
        <v>41</v>
      </c>
      <c r="J2785" t="s">
        <v>24</v>
      </c>
      <c r="K2785" t="s">
        <v>25</v>
      </c>
      <c r="L2785" t="s">
        <v>26</v>
      </c>
      <c r="M2785" t="s">
        <v>27</v>
      </c>
      <c r="N2785" s="1">
        <v>18629</v>
      </c>
      <c r="O2785">
        <v>0</v>
      </c>
      <c r="P2785">
        <v>0</v>
      </c>
      <c r="Q2785" t="s">
        <v>28</v>
      </c>
      <c r="R2785" t="s">
        <v>51</v>
      </c>
      <c r="S2785" s="2" t="s">
        <v>2496</v>
      </c>
      <c r="T2785" t="s">
        <v>2497</v>
      </c>
    </row>
    <row r="2786" spans="1:20" x14ac:dyDescent="0.25">
      <c r="A2786" t="s">
        <v>7011</v>
      </c>
      <c r="B2786" t="str">
        <f>"9294"</f>
        <v>9294</v>
      </c>
      <c r="C2786" t="str">
        <f>"283949294"</f>
        <v>283949294</v>
      </c>
      <c r="D2786" t="s">
        <v>7012</v>
      </c>
      <c r="E2786" t="s">
        <v>7013</v>
      </c>
      <c r="F2786" t="s">
        <v>556</v>
      </c>
      <c r="G2786" s="1">
        <v>32951</v>
      </c>
      <c r="H2786" s="1">
        <v>40252</v>
      </c>
      <c r="I2786" t="str">
        <f>"41"</f>
        <v>41</v>
      </c>
      <c r="J2786" t="s">
        <v>24</v>
      </c>
      <c r="K2786" t="s">
        <v>25</v>
      </c>
      <c r="L2786" t="s">
        <v>26</v>
      </c>
      <c r="M2786" t="s">
        <v>27</v>
      </c>
      <c r="N2786" s="1">
        <v>18629</v>
      </c>
      <c r="O2786">
        <v>0</v>
      </c>
      <c r="P2786">
        <v>0</v>
      </c>
      <c r="Q2786" t="s">
        <v>37</v>
      </c>
      <c r="R2786" t="s">
        <v>71</v>
      </c>
      <c r="S2786" t="s">
        <v>505</v>
      </c>
      <c r="T2786" t="s">
        <v>506</v>
      </c>
    </row>
    <row r="2787" spans="1:20" x14ac:dyDescent="0.25">
      <c r="A2787" t="s">
        <v>7014</v>
      </c>
      <c r="B2787" t="str">
        <f>"4125"</f>
        <v>4125</v>
      </c>
      <c r="C2787" t="str">
        <f>"270604125"</f>
        <v>270604125</v>
      </c>
      <c r="D2787" t="s">
        <v>7015</v>
      </c>
      <c r="E2787" t="s">
        <v>430</v>
      </c>
      <c r="F2787" t="s">
        <v>944</v>
      </c>
      <c r="G2787" s="1">
        <v>23138</v>
      </c>
      <c r="H2787" s="1">
        <v>40246</v>
      </c>
      <c r="I2787" t="str">
        <f>"41"</f>
        <v>41</v>
      </c>
      <c r="J2787" t="s">
        <v>24</v>
      </c>
      <c r="K2787" t="s">
        <v>25</v>
      </c>
      <c r="L2787" t="s">
        <v>26</v>
      </c>
      <c r="M2787" t="s">
        <v>27</v>
      </c>
      <c r="N2787" s="1">
        <v>18629</v>
      </c>
      <c r="O2787">
        <v>0</v>
      </c>
      <c r="P2787">
        <v>0</v>
      </c>
      <c r="Q2787" t="s">
        <v>28</v>
      </c>
      <c r="R2787" t="s">
        <v>71</v>
      </c>
      <c r="S2787" t="s">
        <v>402</v>
      </c>
      <c r="T2787" t="s">
        <v>403</v>
      </c>
    </row>
    <row r="2788" spans="1:20" x14ac:dyDescent="0.25">
      <c r="A2788" t="s">
        <v>7016</v>
      </c>
      <c r="B2788" t="str">
        <f>"8001"</f>
        <v>8001</v>
      </c>
      <c r="C2788" t="str">
        <f>"276828001"</f>
        <v>276828001</v>
      </c>
      <c r="D2788" t="s">
        <v>7017</v>
      </c>
      <c r="E2788" t="s">
        <v>569</v>
      </c>
      <c r="G2788" s="1">
        <v>24730</v>
      </c>
      <c r="H2788" s="1">
        <v>40245</v>
      </c>
      <c r="I2788" t="str">
        <f>"05"</f>
        <v>05</v>
      </c>
      <c r="J2788" t="s">
        <v>58</v>
      </c>
      <c r="K2788" t="s">
        <v>98</v>
      </c>
      <c r="L2788" t="s">
        <v>37</v>
      </c>
      <c r="M2788" t="s">
        <v>99</v>
      </c>
      <c r="N2788" s="1">
        <v>41617</v>
      </c>
      <c r="O2788">
        <v>14801.8</v>
      </c>
      <c r="P2788">
        <v>3700.32</v>
      </c>
      <c r="Q2788" t="s">
        <v>28</v>
      </c>
      <c r="R2788" t="s">
        <v>71</v>
      </c>
      <c r="S2788" t="s">
        <v>5842</v>
      </c>
      <c r="T2788" t="s">
        <v>5843</v>
      </c>
    </row>
    <row r="2789" spans="1:20" x14ac:dyDescent="0.25">
      <c r="A2789" t="s">
        <v>7018</v>
      </c>
      <c r="B2789" t="str">
        <f>"6380"</f>
        <v>6380</v>
      </c>
      <c r="C2789" t="str">
        <f>"296486380"</f>
        <v>296486380</v>
      </c>
      <c r="D2789" t="s">
        <v>7019</v>
      </c>
      <c r="E2789" t="s">
        <v>2027</v>
      </c>
      <c r="G2789" s="1">
        <v>18581</v>
      </c>
      <c r="H2789" s="1">
        <v>40245</v>
      </c>
      <c r="I2789" t="str">
        <f>"50"</f>
        <v>50</v>
      </c>
      <c r="J2789" t="s">
        <v>208</v>
      </c>
      <c r="K2789" t="s">
        <v>25</v>
      </c>
      <c r="L2789" t="s">
        <v>26</v>
      </c>
      <c r="M2789" t="s">
        <v>27</v>
      </c>
      <c r="N2789" s="1">
        <v>18629</v>
      </c>
      <c r="O2789">
        <v>0</v>
      </c>
      <c r="P2789">
        <v>0</v>
      </c>
      <c r="Q2789" t="s">
        <v>28</v>
      </c>
      <c r="R2789" t="s">
        <v>71</v>
      </c>
      <c r="S2789" t="s">
        <v>246</v>
      </c>
      <c r="T2789" t="s">
        <v>247</v>
      </c>
    </row>
    <row r="2790" spans="1:20" x14ac:dyDescent="0.25">
      <c r="A2790" t="s">
        <v>7020</v>
      </c>
      <c r="B2790" t="str">
        <f>"3104"</f>
        <v>3104</v>
      </c>
      <c r="C2790" t="str">
        <f>"302483104"</f>
        <v>302483104</v>
      </c>
      <c r="D2790" t="s">
        <v>3898</v>
      </c>
      <c r="E2790" t="s">
        <v>3605</v>
      </c>
      <c r="F2790" t="s">
        <v>93</v>
      </c>
      <c r="G2790" s="1">
        <v>18181</v>
      </c>
      <c r="H2790" s="1">
        <v>40245</v>
      </c>
      <c r="I2790" t="str">
        <f>"05"</f>
        <v>05</v>
      </c>
      <c r="J2790" t="s">
        <v>58</v>
      </c>
      <c r="K2790" t="s">
        <v>98</v>
      </c>
      <c r="L2790" t="s">
        <v>37</v>
      </c>
      <c r="M2790" t="s">
        <v>257</v>
      </c>
      <c r="N2790" s="1">
        <v>41617</v>
      </c>
      <c r="O2790">
        <v>10753.08</v>
      </c>
      <c r="P2790">
        <v>2688.4</v>
      </c>
      <c r="Q2790" t="s">
        <v>37</v>
      </c>
      <c r="R2790" t="s">
        <v>29</v>
      </c>
      <c r="S2790" t="s">
        <v>717</v>
      </c>
      <c r="T2790" t="s">
        <v>718</v>
      </c>
    </row>
    <row r="2791" spans="1:20" x14ac:dyDescent="0.25">
      <c r="A2791" t="s">
        <v>7021</v>
      </c>
      <c r="B2791" t="str">
        <f>"5334"</f>
        <v>5334</v>
      </c>
      <c r="C2791" t="str">
        <f>"273465334"</f>
        <v>273465334</v>
      </c>
      <c r="D2791" t="s">
        <v>2109</v>
      </c>
      <c r="E2791" t="s">
        <v>812</v>
      </c>
      <c r="F2791" t="s">
        <v>28</v>
      </c>
      <c r="G2791" s="1">
        <v>18047</v>
      </c>
      <c r="H2791" s="1">
        <v>40245</v>
      </c>
      <c r="I2791" t="str">
        <f>"15"</f>
        <v>15</v>
      </c>
      <c r="J2791" t="s">
        <v>36</v>
      </c>
      <c r="K2791" t="s">
        <v>175</v>
      </c>
      <c r="L2791" t="s">
        <v>37</v>
      </c>
      <c r="M2791" t="s">
        <v>117</v>
      </c>
      <c r="N2791" s="1">
        <v>41617</v>
      </c>
      <c r="O2791">
        <v>5288.66</v>
      </c>
      <c r="P2791">
        <v>1322.1</v>
      </c>
      <c r="Q2791" t="s">
        <v>37</v>
      </c>
      <c r="R2791" t="s">
        <v>110</v>
      </c>
      <c r="S2791" t="s">
        <v>4707</v>
      </c>
      <c r="T2791" t="s">
        <v>4708</v>
      </c>
    </row>
    <row r="2792" spans="1:20" x14ac:dyDescent="0.25">
      <c r="A2792" t="s">
        <v>7022</v>
      </c>
      <c r="B2792" t="str">
        <f>"6423"</f>
        <v>6423</v>
      </c>
      <c r="C2792" t="str">
        <f>"298526423"</f>
        <v>298526423</v>
      </c>
      <c r="D2792" t="s">
        <v>7023</v>
      </c>
      <c r="E2792" t="s">
        <v>2618</v>
      </c>
      <c r="F2792" t="s">
        <v>93</v>
      </c>
      <c r="G2792" s="1">
        <v>19226</v>
      </c>
      <c r="H2792" s="1">
        <v>40245</v>
      </c>
      <c r="I2792" t="str">
        <f>"05"</f>
        <v>05</v>
      </c>
      <c r="J2792" t="s">
        <v>58</v>
      </c>
      <c r="K2792" t="s">
        <v>98</v>
      </c>
      <c r="L2792" t="s">
        <v>37</v>
      </c>
      <c r="M2792" t="s">
        <v>117</v>
      </c>
      <c r="N2792" s="1">
        <v>41617</v>
      </c>
      <c r="O2792">
        <v>4951.96</v>
      </c>
      <c r="P2792">
        <v>1237.8599999999999</v>
      </c>
      <c r="Q2792" t="s">
        <v>37</v>
      </c>
      <c r="R2792" t="s">
        <v>71</v>
      </c>
      <c r="S2792" t="s">
        <v>3003</v>
      </c>
      <c r="T2792" t="s">
        <v>3004</v>
      </c>
    </row>
    <row r="2793" spans="1:20" x14ac:dyDescent="0.25">
      <c r="A2793" t="s">
        <v>7024</v>
      </c>
      <c r="B2793" t="str">
        <f>"5350"</f>
        <v>5350</v>
      </c>
      <c r="C2793" t="str">
        <f>"296585350"</f>
        <v>296585350</v>
      </c>
      <c r="D2793" t="s">
        <v>753</v>
      </c>
      <c r="E2793" t="s">
        <v>609</v>
      </c>
      <c r="F2793" t="s">
        <v>93</v>
      </c>
      <c r="G2793" s="1">
        <v>20951</v>
      </c>
      <c r="H2793" s="1">
        <v>40240</v>
      </c>
      <c r="I2793" t="str">
        <f>"52"</f>
        <v>52</v>
      </c>
      <c r="J2793" t="s">
        <v>330</v>
      </c>
      <c r="K2793" t="s">
        <v>25</v>
      </c>
      <c r="L2793" t="s">
        <v>26</v>
      </c>
      <c r="M2793" t="s">
        <v>27</v>
      </c>
      <c r="N2793" s="1">
        <v>18629</v>
      </c>
      <c r="O2793">
        <v>0</v>
      </c>
      <c r="P2793">
        <v>0</v>
      </c>
      <c r="Q2793" t="s">
        <v>28</v>
      </c>
      <c r="R2793" t="s">
        <v>258</v>
      </c>
      <c r="S2793" t="s">
        <v>331</v>
      </c>
      <c r="T2793" t="s">
        <v>332</v>
      </c>
    </row>
    <row r="2794" spans="1:20" x14ac:dyDescent="0.25">
      <c r="A2794" t="s">
        <v>7025</v>
      </c>
      <c r="B2794" t="str">
        <f>"8889"</f>
        <v>8889</v>
      </c>
      <c r="C2794" t="str">
        <f>"276648889"</f>
        <v>276648889</v>
      </c>
      <c r="D2794" t="s">
        <v>7026</v>
      </c>
      <c r="E2794" t="s">
        <v>2152</v>
      </c>
      <c r="G2794" s="1">
        <v>22067</v>
      </c>
      <c r="H2794" s="1">
        <v>40238</v>
      </c>
      <c r="I2794" t="str">
        <f>"01"</f>
        <v>01</v>
      </c>
      <c r="J2794" t="s">
        <v>116</v>
      </c>
      <c r="K2794" t="s">
        <v>98</v>
      </c>
      <c r="L2794" t="s">
        <v>37</v>
      </c>
      <c r="M2794" t="s">
        <v>257</v>
      </c>
      <c r="N2794" s="1">
        <v>41617</v>
      </c>
      <c r="O2794">
        <v>10753.08</v>
      </c>
      <c r="P2794">
        <v>2688.4</v>
      </c>
      <c r="Q2794" t="s">
        <v>37</v>
      </c>
      <c r="R2794" t="s">
        <v>110</v>
      </c>
      <c r="S2794" t="s">
        <v>2858</v>
      </c>
      <c r="T2794" t="s">
        <v>2859</v>
      </c>
    </row>
    <row r="2795" spans="1:20" x14ac:dyDescent="0.25">
      <c r="A2795" t="s">
        <v>7027</v>
      </c>
      <c r="B2795" t="str">
        <f>"5307"</f>
        <v>5307</v>
      </c>
      <c r="C2795" t="str">
        <f>"296685307"</f>
        <v>296685307</v>
      </c>
      <c r="D2795" t="s">
        <v>7028</v>
      </c>
      <c r="E2795" t="s">
        <v>5135</v>
      </c>
      <c r="F2795" t="s">
        <v>93</v>
      </c>
      <c r="G2795" s="1">
        <v>21922</v>
      </c>
      <c r="H2795" s="1">
        <v>40233</v>
      </c>
      <c r="I2795" t="str">
        <f>"52"</f>
        <v>52</v>
      </c>
      <c r="J2795" t="s">
        <v>330</v>
      </c>
      <c r="K2795" t="s">
        <v>25</v>
      </c>
      <c r="L2795" t="s">
        <v>26</v>
      </c>
      <c r="M2795" t="s">
        <v>27</v>
      </c>
      <c r="N2795" s="1">
        <v>18629</v>
      </c>
      <c r="O2795">
        <v>0</v>
      </c>
      <c r="P2795">
        <v>0</v>
      </c>
      <c r="Q2795" t="s">
        <v>28</v>
      </c>
      <c r="R2795" t="s">
        <v>258</v>
      </c>
      <c r="S2795" t="s">
        <v>336</v>
      </c>
      <c r="T2795" t="s">
        <v>337</v>
      </c>
    </row>
    <row r="2796" spans="1:20" x14ac:dyDescent="0.25">
      <c r="A2796" t="s">
        <v>7029</v>
      </c>
      <c r="B2796" t="str">
        <f>"7961"</f>
        <v>7961</v>
      </c>
      <c r="C2796" t="str">
        <f>"293567961"</f>
        <v>293567961</v>
      </c>
      <c r="D2796" t="s">
        <v>334</v>
      </c>
      <c r="E2796" t="s">
        <v>905</v>
      </c>
      <c r="G2796" s="1">
        <v>20622</v>
      </c>
      <c r="H2796" s="1">
        <v>40233</v>
      </c>
      <c r="I2796" t="str">
        <f>"33"</f>
        <v>33</v>
      </c>
      <c r="J2796" t="s">
        <v>45</v>
      </c>
      <c r="K2796" t="s">
        <v>25</v>
      </c>
      <c r="L2796" t="s">
        <v>26</v>
      </c>
      <c r="M2796" t="s">
        <v>27</v>
      </c>
      <c r="N2796" s="1">
        <v>18629</v>
      </c>
      <c r="O2796">
        <v>0</v>
      </c>
      <c r="P2796">
        <v>0</v>
      </c>
      <c r="Q2796" t="s">
        <v>37</v>
      </c>
      <c r="R2796" t="s">
        <v>71</v>
      </c>
      <c r="S2796" t="s">
        <v>955</v>
      </c>
      <c r="T2796" t="s">
        <v>956</v>
      </c>
    </row>
    <row r="2797" spans="1:20" x14ac:dyDescent="0.25">
      <c r="A2797" t="s">
        <v>7030</v>
      </c>
      <c r="B2797" t="str">
        <f>"4693"</f>
        <v>4693</v>
      </c>
      <c r="C2797" t="str">
        <f>"297504693"</f>
        <v>297504693</v>
      </c>
      <c r="D2797" t="s">
        <v>5369</v>
      </c>
      <c r="E2797" t="s">
        <v>642</v>
      </c>
      <c r="G2797" s="1">
        <v>19661</v>
      </c>
      <c r="H2797" s="1">
        <v>40232</v>
      </c>
      <c r="I2797" t="str">
        <f>"52"</f>
        <v>52</v>
      </c>
      <c r="J2797" t="s">
        <v>330</v>
      </c>
      <c r="K2797" t="s">
        <v>25</v>
      </c>
      <c r="L2797" t="s">
        <v>26</v>
      </c>
      <c r="M2797" t="s">
        <v>27</v>
      </c>
      <c r="N2797" s="1">
        <v>18629</v>
      </c>
      <c r="O2797">
        <v>0</v>
      </c>
      <c r="P2797">
        <v>0</v>
      </c>
      <c r="Q2797" t="s">
        <v>28</v>
      </c>
      <c r="R2797" t="s">
        <v>258</v>
      </c>
      <c r="S2797" t="s">
        <v>336</v>
      </c>
      <c r="T2797" t="s">
        <v>337</v>
      </c>
    </row>
    <row r="2798" spans="1:20" x14ac:dyDescent="0.25">
      <c r="A2798" t="s">
        <v>7031</v>
      </c>
      <c r="B2798" t="str">
        <f>"2029"</f>
        <v>2029</v>
      </c>
      <c r="C2798" t="str">
        <f>"284502029"</f>
        <v>284502029</v>
      </c>
      <c r="D2798" t="s">
        <v>6982</v>
      </c>
      <c r="E2798" t="s">
        <v>1294</v>
      </c>
      <c r="G2798" s="1">
        <v>19076</v>
      </c>
      <c r="H2798" s="1">
        <v>40231</v>
      </c>
      <c r="I2798" t="str">
        <f>"41"</f>
        <v>41</v>
      </c>
      <c r="J2798" t="s">
        <v>24</v>
      </c>
      <c r="K2798" t="s">
        <v>25</v>
      </c>
      <c r="L2798" t="s">
        <v>26</v>
      </c>
      <c r="M2798" t="s">
        <v>27</v>
      </c>
      <c r="N2798" s="1">
        <v>18629</v>
      </c>
      <c r="O2798">
        <v>0</v>
      </c>
      <c r="P2798">
        <v>0</v>
      </c>
      <c r="Q2798" t="s">
        <v>28</v>
      </c>
      <c r="R2798" t="s">
        <v>29</v>
      </c>
      <c r="S2798" t="s">
        <v>2066</v>
      </c>
      <c r="T2798" t="s">
        <v>2067</v>
      </c>
    </row>
    <row r="2799" spans="1:20" x14ac:dyDescent="0.25">
      <c r="A2799" t="s">
        <v>7032</v>
      </c>
      <c r="B2799" t="str">
        <f>"1030"</f>
        <v>1030</v>
      </c>
      <c r="C2799" t="str">
        <f>"292661030"</f>
        <v>292661030</v>
      </c>
      <c r="D2799" t="s">
        <v>782</v>
      </c>
      <c r="E2799" t="s">
        <v>214</v>
      </c>
      <c r="F2799" t="s">
        <v>97</v>
      </c>
      <c r="G2799" s="1">
        <v>22458</v>
      </c>
      <c r="H2799" s="1">
        <v>40231</v>
      </c>
      <c r="I2799" t="str">
        <f>"52"</f>
        <v>52</v>
      </c>
      <c r="J2799" t="s">
        <v>330</v>
      </c>
      <c r="K2799" t="s">
        <v>25</v>
      </c>
      <c r="L2799" t="s">
        <v>26</v>
      </c>
      <c r="M2799" t="s">
        <v>27</v>
      </c>
      <c r="N2799" s="1">
        <v>18629</v>
      </c>
      <c r="O2799">
        <v>0</v>
      </c>
      <c r="P2799">
        <v>0</v>
      </c>
      <c r="Q2799" t="s">
        <v>28</v>
      </c>
      <c r="R2799" t="s">
        <v>71</v>
      </c>
      <c r="S2799" t="s">
        <v>377</v>
      </c>
      <c r="T2799" t="s">
        <v>378</v>
      </c>
    </row>
    <row r="2800" spans="1:20" x14ac:dyDescent="0.25">
      <c r="A2800" t="s">
        <v>7033</v>
      </c>
      <c r="B2800" t="str">
        <f>"7327"</f>
        <v>7327</v>
      </c>
      <c r="C2800" t="str">
        <f>"275847327"</f>
        <v>275847327</v>
      </c>
      <c r="D2800" t="s">
        <v>7034</v>
      </c>
      <c r="E2800" t="s">
        <v>588</v>
      </c>
      <c r="F2800" t="s">
        <v>97</v>
      </c>
      <c r="G2800" s="1">
        <v>30355</v>
      </c>
      <c r="H2800" s="1">
        <v>40231</v>
      </c>
      <c r="I2800" t="str">
        <f>"41"</f>
        <v>41</v>
      </c>
      <c r="J2800" t="s">
        <v>24</v>
      </c>
      <c r="K2800" t="s">
        <v>25</v>
      </c>
      <c r="L2800" t="s">
        <v>26</v>
      </c>
      <c r="M2800" t="s">
        <v>27</v>
      </c>
      <c r="N2800" s="1">
        <v>18629</v>
      </c>
      <c r="O2800">
        <v>0</v>
      </c>
      <c r="P2800">
        <v>0</v>
      </c>
      <c r="Q2800" t="s">
        <v>28</v>
      </c>
      <c r="R2800" t="s">
        <v>51</v>
      </c>
      <c r="S2800" s="2" t="s">
        <v>2496</v>
      </c>
      <c r="T2800" t="s">
        <v>2497</v>
      </c>
    </row>
    <row r="2801" spans="1:20" x14ac:dyDescent="0.25">
      <c r="A2801" t="s">
        <v>7035</v>
      </c>
      <c r="B2801" t="str">
        <f>"9684"</f>
        <v>9684</v>
      </c>
      <c r="C2801" t="str">
        <f>"290549684"</f>
        <v>290549684</v>
      </c>
      <c r="D2801" t="s">
        <v>42</v>
      </c>
      <c r="E2801" t="s">
        <v>1886</v>
      </c>
      <c r="G2801" s="1">
        <v>20106</v>
      </c>
      <c r="H2801" s="1">
        <v>40231</v>
      </c>
      <c r="I2801" t="str">
        <f>"12"</f>
        <v>12</v>
      </c>
      <c r="J2801" t="s">
        <v>245</v>
      </c>
      <c r="K2801" t="s">
        <v>98</v>
      </c>
      <c r="L2801" t="s">
        <v>37</v>
      </c>
      <c r="M2801" t="s">
        <v>117</v>
      </c>
      <c r="N2801" s="1">
        <v>41617</v>
      </c>
      <c r="O2801">
        <v>4951.96</v>
      </c>
      <c r="P2801">
        <v>1237.8599999999999</v>
      </c>
      <c r="Q2801" t="s">
        <v>37</v>
      </c>
      <c r="R2801" t="s">
        <v>71</v>
      </c>
      <c r="S2801" t="s">
        <v>3844</v>
      </c>
      <c r="T2801" t="s">
        <v>3845</v>
      </c>
    </row>
    <row r="2802" spans="1:20" x14ac:dyDescent="0.25">
      <c r="A2802" t="s">
        <v>7036</v>
      </c>
      <c r="B2802" t="str">
        <f>"6804"</f>
        <v>6804</v>
      </c>
      <c r="C2802" t="str">
        <f>"232726804"</f>
        <v>232726804</v>
      </c>
      <c r="D2802" t="s">
        <v>7037</v>
      </c>
      <c r="E2802" t="s">
        <v>856</v>
      </c>
      <c r="G2802" s="1">
        <v>16489</v>
      </c>
      <c r="H2802" s="1">
        <v>40229</v>
      </c>
      <c r="I2802" t="str">
        <f>"52"</f>
        <v>52</v>
      </c>
      <c r="J2802" t="s">
        <v>330</v>
      </c>
      <c r="K2802" t="s">
        <v>25</v>
      </c>
      <c r="L2802" t="s">
        <v>26</v>
      </c>
      <c r="M2802" t="s">
        <v>27</v>
      </c>
      <c r="N2802" s="1">
        <v>18629</v>
      </c>
      <c r="O2802">
        <v>0</v>
      </c>
      <c r="P2802">
        <v>0</v>
      </c>
      <c r="Q2802" t="s">
        <v>37</v>
      </c>
      <c r="R2802" t="s">
        <v>29</v>
      </c>
      <c r="S2802" t="s">
        <v>283</v>
      </c>
      <c r="T2802" t="s">
        <v>284</v>
      </c>
    </row>
    <row r="2803" spans="1:20" x14ac:dyDescent="0.25">
      <c r="A2803" t="s">
        <v>7038</v>
      </c>
      <c r="B2803" t="str">
        <f>"4644"</f>
        <v>4644</v>
      </c>
      <c r="C2803" t="str">
        <f>"276664644"</f>
        <v>276664644</v>
      </c>
      <c r="D2803" t="s">
        <v>7039</v>
      </c>
      <c r="E2803" t="s">
        <v>598</v>
      </c>
      <c r="F2803" t="s">
        <v>2075</v>
      </c>
      <c r="G2803" s="1">
        <v>21471</v>
      </c>
      <c r="H2803" s="1">
        <v>40224</v>
      </c>
      <c r="I2803" t="str">
        <f>"20"</f>
        <v>20</v>
      </c>
      <c r="J2803" t="s">
        <v>123</v>
      </c>
      <c r="K2803" t="s">
        <v>175</v>
      </c>
      <c r="L2803" t="s">
        <v>37</v>
      </c>
      <c r="M2803" t="s">
        <v>257</v>
      </c>
      <c r="N2803" s="1">
        <v>41631</v>
      </c>
      <c r="O2803">
        <v>11847.88</v>
      </c>
      <c r="P2803">
        <v>2962.08</v>
      </c>
      <c r="Q2803" t="s">
        <v>37</v>
      </c>
      <c r="R2803" t="s">
        <v>71</v>
      </c>
      <c r="S2803" t="s">
        <v>209</v>
      </c>
      <c r="T2803" t="s">
        <v>210</v>
      </c>
    </row>
    <row r="2804" spans="1:20" x14ac:dyDescent="0.25">
      <c r="A2804" t="s">
        <v>7040</v>
      </c>
      <c r="B2804" t="str">
        <f>"8623"</f>
        <v>8623</v>
      </c>
      <c r="C2804" t="str">
        <f>"543728623"</f>
        <v>543728623</v>
      </c>
      <c r="D2804" t="s">
        <v>7041</v>
      </c>
      <c r="E2804" t="s">
        <v>82</v>
      </c>
      <c r="G2804" s="1">
        <v>23203</v>
      </c>
      <c r="H2804" s="1">
        <v>40224</v>
      </c>
      <c r="I2804" t="str">
        <f>"50"</f>
        <v>50</v>
      </c>
      <c r="J2804" t="s">
        <v>208</v>
      </c>
      <c r="K2804" t="s">
        <v>25</v>
      </c>
      <c r="L2804" t="s">
        <v>26</v>
      </c>
      <c r="M2804" t="s">
        <v>27</v>
      </c>
      <c r="N2804" s="1">
        <v>18629</v>
      </c>
      <c r="O2804">
        <v>0</v>
      </c>
      <c r="P2804">
        <v>0</v>
      </c>
      <c r="Q2804" t="s">
        <v>37</v>
      </c>
      <c r="R2804" t="s">
        <v>29</v>
      </c>
      <c r="S2804" t="s">
        <v>5192</v>
      </c>
      <c r="T2804" t="s">
        <v>5193</v>
      </c>
    </row>
    <row r="2805" spans="1:20" x14ac:dyDescent="0.25">
      <c r="A2805" t="s">
        <v>7042</v>
      </c>
      <c r="B2805" t="str">
        <f>"4862"</f>
        <v>4862</v>
      </c>
      <c r="C2805" t="str">
        <f>"300904862"</f>
        <v>300904862</v>
      </c>
      <c r="D2805" t="s">
        <v>7043</v>
      </c>
      <c r="E2805" t="s">
        <v>4167</v>
      </c>
      <c r="F2805" t="s">
        <v>93</v>
      </c>
      <c r="G2805" s="1">
        <v>31564</v>
      </c>
      <c r="H2805" s="1">
        <v>40217</v>
      </c>
      <c r="I2805" t="str">
        <f>"41"</f>
        <v>41</v>
      </c>
      <c r="J2805" t="s">
        <v>24</v>
      </c>
      <c r="K2805" t="s">
        <v>25</v>
      </c>
      <c r="L2805" t="s">
        <v>26</v>
      </c>
      <c r="M2805" t="s">
        <v>27</v>
      </c>
      <c r="N2805" s="1">
        <v>18629</v>
      </c>
      <c r="O2805">
        <v>0</v>
      </c>
      <c r="P2805">
        <v>0</v>
      </c>
      <c r="Q2805" t="s">
        <v>28</v>
      </c>
      <c r="R2805" t="s">
        <v>29</v>
      </c>
      <c r="S2805" t="s">
        <v>2820</v>
      </c>
      <c r="T2805" t="s">
        <v>2821</v>
      </c>
    </row>
    <row r="2806" spans="1:20" x14ac:dyDescent="0.25">
      <c r="A2806" t="s">
        <v>7044</v>
      </c>
      <c r="B2806" t="str">
        <f>"2568"</f>
        <v>2568</v>
      </c>
      <c r="C2806" t="str">
        <f>"281622568"</f>
        <v>281622568</v>
      </c>
      <c r="D2806" t="s">
        <v>7045</v>
      </c>
      <c r="E2806" t="s">
        <v>944</v>
      </c>
      <c r="F2806" t="s">
        <v>93</v>
      </c>
      <c r="G2806" s="1">
        <v>21148</v>
      </c>
      <c r="H2806" s="1">
        <v>40217</v>
      </c>
      <c r="I2806" t="str">
        <f>"52"</f>
        <v>52</v>
      </c>
      <c r="J2806" t="s">
        <v>330</v>
      </c>
      <c r="K2806" t="s">
        <v>25</v>
      </c>
      <c r="L2806" t="s">
        <v>26</v>
      </c>
      <c r="M2806" t="s">
        <v>27</v>
      </c>
      <c r="N2806" s="1">
        <v>18629</v>
      </c>
      <c r="O2806">
        <v>0</v>
      </c>
      <c r="P2806">
        <v>0</v>
      </c>
      <c r="Q2806" t="s">
        <v>28</v>
      </c>
      <c r="R2806" t="s">
        <v>258</v>
      </c>
      <c r="S2806" t="s">
        <v>7046</v>
      </c>
      <c r="T2806" t="s">
        <v>7047</v>
      </c>
    </row>
    <row r="2807" spans="1:20" x14ac:dyDescent="0.25">
      <c r="A2807" t="s">
        <v>7048</v>
      </c>
      <c r="B2807" t="str">
        <f>"2196"</f>
        <v>2196</v>
      </c>
      <c r="C2807" t="str">
        <f>"223982196"</f>
        <v>223982196</v>
      </c>
      <c r="D2807" t="s">
        <v>1715</v>
      </c>
      <c r="E2807" t="s">
        <v>2950</v>
      </c>
      <c r="G2807" s="1">
        <v>26875</v>
      </c>
      <c r="H2807" s="1">
        <v>40217</v>
      </c>
      <c r="I2807" t="str">
        <f>"20"</f>
        <v>20</v>
      </c>
      <c r="J2807" t="s">
        <v>123</v>
      </c>
      <c r="K2807" t="s">
        <v>98</v>
      </c>
      <c r="L2807" t="s">
        <v>37</v>
      </c>
      <c r="M2807" t="s">
        <v>99</v>
      </c>
      <c r="N2807" s="1">
        <v>41631</v>
      </c>
      <c r="O2807">
        <v>14801.82</v>
      </c>
      <c r="P2807">
        <v>3700.4</v>
      </c>
      <c r="Q2807" t="s">
        <v>37</v>
      </c>
      <c r="R2807" t="s">
        <v>29</v>
      </c>
      <c r="S2807" t="s">
        <v>185</v>
      </c>
      <c r="T2807" t="s">
        <v>186</v>
      </c>
    </row>
    <row r="2808" spans="1:20" x14ac:dyDescent="0.25">
      <c r="A2808" t="s">
        <v>7049</v>
      </c>
      <c r="B2808" t="str">
        <f>"7097"</f>
        <v>7097</v>
      </c>
      <c r="C2808" t="str">
        <f>"269727097"</f>
        <v>269727097</v>
      </c>
      <c r="D2808" t="s">
        <v>2730</v>
      </c>
      <c r="E2808" t="s">
        <v>7050</v>
      </c>
      <c r="G2808" s="1">
        <v>25930</v>
      </c>
      <c r="H2808" s="1">
        <v>40217</v>
      </c>
      <c r="I2808" t="str">
        <f>"20"</f>
        <v>20</v>
      </c>
      <c r="J2808" t="s">
        <v>123</v>
      </c>
      <c r="K2808" t="s">
        <v>98</v>
      </c>
      <c r="L2808" t="s">
        <v>37</v>
      </c>
      <c r="M2808" t="s">
        <v>117</v>
      </c>
      <c r="N2808" s="1">
        <v>41631</v>
      </c>
      <c r="O2808">
        <v>4951.9799999999996</v>
      </c>
      <c r="P2808">
        <v>1237.94</v>
      </c>
      <c r="Q2808" t="s">
        <v>37</v>
      </c>
      <c r="R2808" t="s">
        <v>51</v>
      </c>
      <c r="S2808" s="2" t="s">
        <v>683</v>
      </c>
      <c r="T2808" t="s">
        <v>684</v>
      </c>
    </row>
    <row r="2809" spans="1:20" x14ac:dyDescent="0.25">
      <c r="A2809" t="s">
        <v>7051</v>
      </c>
      <c r="B2809" t="str">
        <f>"5935"</f>
        <v>5935</v>
      </c>
      <c r="C2809" t="str">
        <f>"268565935"</f>
        <v>268565935</v>
      </c>
      <c r="D2809" t="s">
        <v>5392</v>
      </c>
      <c r="E2809" t="s">
        <v>335</v>
      </c>
      <c r="F2809" t="s">
        <v>233</v>
      </c>
      <c r="G2809" s="1">
        <v>20114</v>
      </c>
      <c r="H2809" s="1">
        <v>40217</v>
      </c>
      <c r="I2809" t="str">
        <f>"52"</f>
        <v>52</v>
      </c>
      <c r="J2809" t="s">
        <v>330</v>
      </c>
      <c r="K2809" t="s">
        <v>25</v>
      </c>
      <c r="L2809" t="s">
        <v>26</v>
      </c>
      <c r="M2809" t="s">
        <v>27</v>
      </c>
      <c r="N2809" s="1">
        <v>18629</v>
      </c>
      <c r="O2809">
        <v>0</v>
      </c>
      <c r="P2809">
        <v>0</v>
      </c>
      <c r="Q2809" t="s">
        <v>28</v>
      </c>
      <c r="R2809" t="s">
        <v>258</v>
      </c>
      <c r="S2809" t="s">
        <v>331</v>
      </c>
      <c r="T2809" t="s">
        <v>332</v>
      </c>
    </row>
    <row r="2810" spans="1:20" x14ac:dyDescent="0.25">
      <c r="A2810" t="s">
        <v>7052</v>
      </c>
      <c r="B2810" t="str">
        <f>"7165"</f>
        <v>7165</v>
      </c>
      <c r="C2810" t="str">
        <f>"282787165"</f>
        <v>282787165</v>
      </c>
      <c r="D2810" t="s">
        <v>7053</v>
      </c>
      <c r="E2810" t="s">
        <v>6929</v>
      </c>
      <c r="F2810" t="s">
        <v>97</v>
      </c>
      <c r="G2810" s="1">
        <v>29938</v>
      </c>
      <c r="H2810" s="1">
        <v>40217</v>
      </c>
      <c r="I2810" t="str">
        <f>"41"</f>
        <v>41</v>
      </c>
      <c r="J2810" t="s">
        <v>24</v>
      </c>
      <c r="K2810" t="s">
        <v>25</v>
      </c>
      <c r="L2810" t="s">
        <v>26</v>
      </c>
      <c r="M2810" t="s">
        <v>27</v>
      </c>
      <c r="N2810" s="1">
        <v>18629</v>
      </c>
      <c r="O2810">
        <v>0</v>
      </c>
      <c r="P2810">
        <v>0</v>
      </c>
      <c r="Q2810" t="s">
        <v>28</v>
      </c>
      <c r="R2810" t="s">
        <v>71</v>
      </c>
      <c r="S2810" t="s">
        <v>7054</v>
      </c>
      <c r="T2810" t="s">
        <v>7055</v>
      </c>
    </row>
    <row r="2811" spans="1:20" x14ac:dyDescent="0.25">
      <c r="A2811" t="s">
        <v>7056</v>
      </c>
      <c r="B2811" t="str">
        <f>"8048"</f>
        <v>8048</v>
      </c>
      <c r="C2811" t="str">
        <f>"290588048"</f>
        <v>290588048</v>
      </c>
      <c r="D2811" t="s">
        <v>7057</v>
      </c>
      <c r="E2811" t="s">
        <v>7058</v>
      </c>
      <c r="F2811" t="s">
        <v>174</v>
      </c>
      <c r="G2811" s="1">
        <v>20967</v>
      </c>
      <c r="H2811" s="1">
        <v>40217</v>
      </c>
      <c r="I2811" t="str">
        <f>"07"</f>
        <v>07</v>
      </c>
      <c r="J2811" t="s">
        <v>1018</v>
      </c>
      <c r="L2811" t="s">
        <v>37</v>
      </c>
      <c r="M2811" t="s">
        <v>143</v>
      </c>
      <c r="N2811" s="1">
        <v>41617</v>
      </c>
      <c r="O2811">
        <v>185.9</v>
      </c>
      <c r="P2811">
        <v>-185.9</v>
      </c>
      <c r="Q2811" t="s">
        <v>28</v>
      </c>
      <c r="R2811" t="s">
        <v>71</v>
      </c>
      <c r="S2811" t="s">
        <v>6245</v>
      </c>
      <c r="T2811" t="s">
        <v>6246</v>
      </c>
    </row>
    <row r="2812" spans="1:20" x14ac:dyDescent="0.25">
      <c r="A2812" t="s">
        <v>7059</v>
      </c>
      <c r="B2812" t="str">
        <f>"1542"</f>
        <v>1542</v>
      </c>
      <c r="C2812" t="str">
        <f>"272601542"</f>
        <v>272601542</v>
      </c>
      <c r="D2812" t="s">
        <v>7060</v>
      </c>
      <c r="E2812" t="s">
        <v>1067</v>
      </c>
      <c r="F2812" t="s">
        <v>93</v>
      </c>
      <c r="G2812" s="1">
        <v>21228</v>
      </c>
      <c r="H2812" s="1">
        <v>40217</v>
      </c>
      <c r="I2812" t="str">
        <f>"07"</f>
        <v>07</v>
      </c>
      <c r="J2812" t="s">
        <v>1018</v>
      </c>
      <c r="K2812" t="s">
        <v>98</v>
      </c>
      <c r="L2812" t="s">
        <v>37</v>
      </c>
      <c r="M2812" t="s">
        <v>99</v>
      </c>
      <c r="N2812" s="1">
        <v>41617</v>
      </c>
      <c r="O2812">
        <v>14801.8</v>
      </c>
      <c r="P2812">
        <v>3700.32</v>
      </c>
      <c r="Q2812" t="s">
        <v>28</v>
      </c>
      <c r="R2812" t="s">
        <v>29</v>
      </c>
      <c r="S2812" t="s">
        <v>6245</v>
      </c>
      <c r="T2812" t="s">
        <v>6246</v>
      </c>
    </row>
    <row r="2813" spans="1:20" x14ac:dyDescent="0.25">
      <c r="A2813" t="s">
        <v>7061</v>
      </c>
      <c r="B2813" t="str">
        <f>"5222"</f>
        <v>5222</v>
      </c>
      <c r="C2813" t="str">
        <f>"279545222"</f>
        <v>279545222</v>
      </c>
      <c r="D2813" t="s">
        <v>7062</v>
      </c>
      <c r="E2813" t="s">
        <v>430</v>
      </c>
      <c r="G2813" s="1">
        <v>23621</v>
      </c>
      <c r="H2813" s="1">
        <v>40211</v>
      </c>
      <c r="I2813" t="str">
        <f>"20"</f>
        <v>20</v>
      </c>
      <c r="J2813" t="s">
        <v>123</v>
      </c>
      <c r="K2813" t="s">
        <v>98</v>
      </c>
      <c r="L2813" t="s">
        <v>37</v>
      </c>
      <c r="M2813" t="s">
        <v>99</v>
      </c>
      <c r="N2813" s="1">
        <v>41631</v>
      </c>
      <c r="O2813">
        <v>14801.82</v>
      </c>
      <c r="P2813">
        <v>3700.4</v>
      </c>
      <c r="Q2813" t="s">
        <v>28</v>
      </c>
      <c r="R2813" t="s">
        <v>71</v>
      </c>
      <c r="S2813" t="s">
        <v>209</v>
      </c>
      <c r="T2813" t="s">
        <v>210</v>
      </c>
    </row>
    <row r="2814" spans="1:20" x14ac:dyDescent="0.25">
      <c r="A2814" t="s">
        <v>7063</v>
      </c>
      <c r="B2814" t="str">
        <f>"9815"</f>
        <v>9815</v>
      </c>
      <c r="C2814" t="str">
        <f>"272569815"</f>
        <v>272569815</v>
      </c>
      <c r="D2814" t="s">
        <v>7064</v>
      </c>
      <c r="E2814" t="s">
        <v>22</v>
      </c>
      <c r="F2814" t="s">
        <v>197</v>
      </c>
      <c r="G2814" s="1">
        <v>20253</v>
      </c>
      <c r="H2814" s="1">
        <v>40210</v>
      </c>
      <c r="I2814" t="str">
        <f>"52"</f>
        <v>52</v>
      </c>
      <c r="J2814" t="s">
        <v>330</v>
      </c>
      <c r="K2814" t="s">
        <v>25</v>
      </c>
      <c r="L2814" t="s">
        <v>26</v>
      </c>
      <c r="M2814" t="s">
        <v>27</v>
      </c>
      <c r="N2814" s="1">
        <v>18629</v>
      </c>
      <c r="O2814">
        <v>0</v>
      </c>
      <c r="P2814">
        <v>0</v>
      </c>
      <c r="Q2814" t="s">
        <v>28</v>
      </c>
      <c r="R2814" t="s">
        <v>29</v>
      </c>
      <c r="S2814" t="s">
        <v>1235</v>
      </c>
      <c r="T2814" t="s">
        <v>1236</v>
      </c>
    </row>
    <row r="2815" spans="1:20" x14ac:dyDescent="0.25">
      <c r="A2815" t="s">
        <v>7065</v>
      </c>
      <c r="B2815" t="str">
        <f>"6646"</f>
        <v>6646</v>
      </c>
      <c r="C2815" t="str">
        <f>"372196646"</f>
        <v>372196646</v>
      </c>
      <c r="D2815" t="s">
        <v>5247</v>
      </c>
      <c r="E2815" t="s">
        <v>933</v>
      </c>
      <c r="F2815" t="s">
        <v>165</v>
      </c>
      <c r="G2815" s="1">
        <v>28725</v>
      </c>
      <c r="H2815" s="1">
        <v>40210</v>
      </c>
      <c r="I2815" t="str">
        <f>"51"</f>
        <v>51</v>
      </c>
      <c r="J2815" t="s">
        <v>471</v>
      </c>
      <c r="K2815" t="s">
        <v>25</v>
      </c>
      <c r="L2815" t="s">
        <v>26</v>
      </c>
      <c r="M2815" t="s">
        <v>27</v>
      </c>
      <c r="N2815" s="1">
        <v>18629</v>
      </c>
      <c r="O2815">
        <v>0</v>
      </c>
      <c r="P2815">
        <v>0</v>
      </c>
      <c r="Q2815" t="s">
        <v>28</v>
      </c>
      <c r="R2815" t="s">
        <v>51</v>
      </c>
      <c r="S2815" s="2" t="s">
        <v>2202</v>
      </c>
      <c r="T2815" t="s">
        <v>2203</v>
      </c>
    </row>
    <row r="2816" spans="1:20" x14ac:dyDescent="0.25">
      <c r="A2816" t="s">
        <v>7066</v>
      </c>
      <c r="B2816" t="str">
        <f>"8703"</f>
        <v>8703</v>
      </c>
      <c r="C2816" t="str">
        <f>"286548703"</f>
        <v>286548703</v>
      </c>
      <c r="D2816" t="s">
        <v>7067</v>
      </c>
      <c r="E2816" t="s">
        <v>122</v>
      </c>
      <c r="F2816" t="s">
        <v>264</v>
      </c>
      <c r="G2816" s="1">
        <v>20869</v>
      </c>
      <c r="H2816" s="1">
        <v>40210</v>
      </c>
      <c r="I2816" t="str">
        <f>"52"</f>
        <v>52</v>
      </c>
      <c r="J2816" t="s">
        <v>330</v>
      </c>
      <c r="K2816" t="s">
        <v>25</v>
      </c>
      <c r="L2816" t="s">
        <v>26</v>
      </c>
      <c r="M2816" t="s">
        <v>27</v>
      </c>
      <c r="N2816" s="1">
        <v>18629</v>
      </c>
      <c r="O2816">
        <v>0</v>
      </c>
      <c r="P2816">
        <v>0</v>
      </c>
      <c r="Q2816" t="s">
        <v>28</v>
      </c>
      <c r="R2816" t="s">
        <v>258</v>
      </c>
      <c r="S2816" t="s">
        <v>1235</v>
      </c>
      <c r="T2816" t="s">
        <v>1236</v>
      </c>
    </row>
    <row r="2817" spans="1:20" x14ac:dyDescent="0.25">
      <c r="A2817" t="s">
        <v>7068</v>
      </c>
      <c r="B2817" t="str">
        <f>"8204"</f>
        <v>8204</v>
      </c>
      <c r="C2817" t="str">
        <f>"286548204"</f>
        <v>286548204</v>
      </c>
      <c r="D2817" t="s">
        <v>7069</v>
      </c>
      <c r="E2817" t="s">
        <v>2385</v>
      </c>
      <c r="F2817" t="s">
        <v>28</v>
      </c>
      <c r="G2817" s="1">
        <v>25402</v>
      </c>
      <c r="H2817" s="1">
        <v>40210</v>
      </c>
      <c r="I2817" t="str">
        <f>"30"</f>
        <v>30</v>
      </c>
      <c r="J2817" t="s">
        <v>50</v>
      </c>
      <c r="K2817" t="s">
        <v>25</v>
      </c>
      <c r="L2817" t="s">
        <v>26</v>
      </c>
      <c r="M2817" t="s">
        <v>27</v>
      </c>
      <c r="N2817" s="1">
        <v>18629</v>
      </c>
      <c r="O2817">
        <v>0</v>
      </c>
      <c r="P2817">
        <v>0</v>
      </c>
      <c r="Q2817" t="s">
        <v>37</v>
      </c>
      <c r="R2817" t="s">
        <v>71</v>
      </c>
      <c r="S2817" t="s">
        <v>955</v>
      </c>
      <c r="T2817" t="s">
        <v>956</v>
      </c>
    </row>
    <row r="2818" spans="1:20" x14ac:dyDescent="0.25">
      <c r="A2818" t="s">
        <v>7070</v>
      </c>
      <c r="B2818" t="str">
        <f>"6665"</f>
        <v>6665</v>
      </c>
      <c r="C2818" t="str">
        <f>"275706665"</f>
        <v>275706665</v>
      </c>
      <c r="D2818" t="s">
        <v>1383</v>
      </c>
      <c r="E2818" t="s">
        <v>179</v>
      </c>
      <c r="F2818" t="s">
        <v>165</v>
      </c>
      <c r="G2818" s="1">
        <v>27735</v>
      </c>
      <c r="H2818" s="1">
        <v>40203</v>
      </c>
      <c r="I2818" t="str">
        <f>"52"</f>
        <v>52</v>
      </c>
      <c r="J2818" t="s">
        <v>330</v>
      </c>
      <c r="K2818" t="s">
        <v>25</v>
      </c>
      <c r="L2818" t="s">
        <v>26</v>
      </c>
      <c r="M2818" t="s">
        <v>27</v>
      </c>
      <c r="N2818" s="1">
        <v>18629</v>
      </c>
      <c r="O2818">
        <v>0</v>
      </c>
      <c r="P2818">
        <v>0</v>
      </c>
      <c r="Q2818" t="s">
        <v>28</v>
      </c>
      <c r="R2818" t="s">
        <v>71</v>
      </c>
      <c r="S2818" t="s">
        <v>402</v>
      </c>
      <c r="T2818" t="s">
        <v>403</v>
      </c>
    </row>
    <row r="2819" spans="1:20" x14ac:dyDescent="0.25">
      <c r="A2819" t="s">
        <v>7071</v>
      </c>
      <c r="B2819" t="str">
        <f>"0524"</f>
        <v>0524</v>
      </c>
      <c r="C2819" t="str">
        <f>"272880524"</f>
        <v>272880524</v>
      </c>
      <c r="D2819" t="s">
        <v>7072</v>
      </c>
      <c r="E2819" t="s">
        <v>304</v>
      </c>
      <c r="F2819" t="s">
        <v>649</v>
      </c>
      <c r="G2819" s="1">
        <v>26679</v>
      </c>
      <c r="H2819" s="1">
        <v>40203</v>
      </c>
      <c r="I2819" t="str">
        <f>"41"</f>
        <v>41</v>
      </c>
      <c r="J2819" t="s">
        <v>24</v>
      </c>
      <c r="K2819" t="s">
        <v>25</v>
      </c>
      <c r="L2819" t="s">
        <v>26</v>
      </c>
      <c r="M2819" t="s">
        <v>27</v>
      </c>
      <c r="N2819" s="1">
        <v>18629</v>
      </c>
      <c r="O2819">
        <v>0</v>
      </c>
      <c r="P2819">
        <v>0</v>
      </c>
      <c r="Q2819" t="s">
        <v>28</v>
      </c>
      <c r="R2819" t="s">
        <v>71</v>
      </c>
      <c r="S2819" t="s">
        <v>402</v>
      </c>
      <c r="T2819" t="s">
        <v>403</v>
      </c>
    </row>
    <row r="2820" spans="1:20" x14ac:dyDescent="0.25">
      <c r="A2820" t="s">
        <v>7073</v>
      </c>
      <c r="B2820" t="str">
        <f>"7388"</f>
        <v>7388</v>
      </c>
      <c r="C2820" t="str">
        <f>"268747388"</f>
        <v>268747388</v>
      </c>
      <c r="D2820" t="s">
        <v>7074</v>
      </c>
      <c r="E2820" t="s">
        <v>448</v>
      </c>
      <c r="F2820" t="s">
        <v>28</v>
      </c>
      <c r="G2820" s="1">
        <v>25379</v>
      </c>
      <c r="H2820" s="1">
        <v>40203</v>
      </c>
      <c r="I2820" t="str">
        <f>"41"</f>
        <v>41</v>
      </c>
      <c r="J2820" t="s">
        <v>24</v>
      </c>
      <c r="K2820" t="s">
        <v>25</v>
      </c>
      <c r="L2820" t="s">
        <v>26</v>
      </c>
      <c r="M2820" t="s">
        <v>27</v>
      </c>
      <c r="N2820" s="1">
        <v>18629</v>
      </c>
      <c r="O2820">
        <v>0</v>
      </c>
      <c r="P2820">
        <v>0</v>
      </c>
      <c r="Q2820" t="s">
        <v>37</v>
      </c>
      <c r="R2820" t="s">
        <v>71</v>
      </c>
      <c r="S2820" t="s">
        <v>4743</v>
      </c>
      <c r="T2820" t="s">
        <v>4744</v>
      </c>
    </row>
    <row r="2821" spans="1:20" x14ac:dyDescent="0.25">
      <c r="A2821" t="s">
        <v>7075</v>
      </c>
      <c r="B2821" t="str">
        <f>"8981"</f>
        <v>8981</v>
      </c>
      <c r="C2821" t="str">
        <f>"298848981"</f>
        <v>298848981</v>
      </c>
      <c r="D2821" t="s">
        <v>2119</v>
      </c>
      <c r="E2821" t="s">
        <v>2329</v>
      </c>
      <c r="F2821" t="s">
        <v>329</v>
      </c>
      <c r="G2821" s="1">
        <v>30255</v>
      </c>
      <c r="H2821" s="1">
        <v>40203</v>
      </c>
      <c r="I2821" t="str">
        <f>"41"</f>
        <v>41</v>
      </c>
      <c r="J2821" t="s">
        <v>24</v>
      </c>
      <c r="K2821" t="s">
        <v>25</v>
      </c>
      <c r="L2821" t="s">
        <v>26</v>
      </c>
      <c r="M2821" t="s">
        <v>27</v>
      </c>
      <c r="N2821" s="1">
        <v>18629</v>
      </c>
      <c r="O2821">
        <v>0</v>
      </c>
      <c r="P2821">
        <v>0</v>
      </c>
      <c r="Q2821" t="s">
        <v>28</v>
      </c>
      <c r="R2821" t="s">
        <v>71</v>
      </c>
      <c r="S2821" t="s">
        <v>402</v>
      </c>
      <c r="T2821" t="s">
        <v>403</v>
      </c>
    </row>
    <row r="2822" spans="1:20" x14ac:dyDescent="0.25">
      <c r="A2822" t="s">
        <v>7076</v>
      </c>
      <c r="B2822" t="str">
        <f>"1190"</f>
        <v>1190</v>
      </c>
      <c r="C2822" t="str">
        <f>"086741190"</f>
        <v>086741190</v>
      </c>
      <c r="D2822" t="s">
        <v>6054</v>
      </c>
      <c r="E2822" t="s">
        <v>322</v>
      </c>
      <c r="F2822" t="s">
        <v>219</v>
      </c>
      <c r="G2822" s="1">
        <v>30952</v>
      </c>
      <c r="H2822" s="1">
        <v>40203</v>
      </c>
      <c r="I2822" t="str">
        <f>"52"</f>
        <v>52</v>
      </c>
      <c r="J2822" t="s">
        <v>330</v>
      </c>
      <c r="K2822" t="s">
        <v>25</v>
      </c>
      <c r="L2822" t="s">
        <v>26</v>
      </c>
      <c r="M2822" t="s">
        <v>27</v>
      </c>
      <c r="N2822" s="1">
        <v>18629</v>
      </c>
      <c r="O2822">
        <v>0</v>
      </c>
      <c r="P2822">
        <v>0</v>
      </c>
      <c r="Q2822" t="s">
        <v>37</v>
      </c>
      <c r="R2822" t="s">
        <v>71</v>
      </c>
      <c r="S2822" t="s">
        <v>4000</v>
      </c>
      <c r="T2822" t="s">
        <v>4001</v>
      </c>
    </row>
    <row r="2823" spans="1:20" x14ac:dyDescent="0.25">
      <c r="A2823" t="s">
        <v>7077</v>
      </c>
      <c r="B2823" t="str">
        <f>"9268"</f>
        <v>9268</v>
      </c>
      <c r="C2823" t="str">
        <f>"275569268"</f>
        <v>275569268</v>
      </c>
      <c r="D2823" t="s">
        <v>7078</v>
      </c>
      <c r="E2823" t="s">
        <v>1104</v>
      </c>
      <c r="F2823" t="s">
        <v>264</v>
      </c>
      <c r="G2823" s="1">
        <v>21163</v>
      </c>
      <c r="H2823" s="1">
        <v>40203</v>
      </c>
      <c r="I2823" t="str">
        <f>"52"</f>
        <v>52</v>
      </c>
      <c r="J2823" t="s">
        <v>330</v>
      </c>
      <c r="K2823" t="s">
        <v>25</v>
      </c>
      <c r="L2823" t="s">
        <v>26</v>
      </c>
      <c r="M2823" t="s">
        <v>27</v>
      </c>
      <c r="N2823" s="1">
        <v>18629</v>
      </c>
      <c r="O2823">
        <v>0</v>
      </c>
      <c r="P2823">
        <v>0</v>
      </c>
      <c r="Q2823" t="s">
        <v>28</v>
      </c>
      <c r="R2823" t="s">
        <v>71</v>
      </c>
      <c r="S2823" t="s">
        <v>377</v>
      </c>
      <c r="T2823" t="s">
        <v>378</v>
      </c>
    </row>
    <row r="2824" spans="1:20" x14ac:dyDescent="0.25">
      <c r="A2824" t="s">
        <v>7079</v>
      </c>
      <c r="B2824" t="str">
        <f>"0094"</f>
        <v>0094</v>
      </c>
      <c r="C2824" t="str">
        <f>"301660094"</f>
        <v>301660094</v>
      </c>
      <c r="D2824" t="s">
        <v>7080</v>
      </c>
      <c r="E2824" t="s">
        <v>7081</v>
      </c>
      <c r="F2824" t="s">
        <v>37</v>
      </c>
      <c r="G2824" s="1">
        <v>22676</v>
      </c>
      <c r="H2824" s="1">
        <v>40203</v>
      </c>
      <c r="I2824" t="str">
        <f>"52"</f>
        <v>52</v>
      </c>
      <c r="J2824" t="s">
        <v>330</v>
      </c>
      <c r="K2824" t="s">
        <v>25</v>
      </c>
      <c r="L2824" t="s">
        <v>26</v>
      </c>
      <c r="M2824" t="s">
        <v>27</v>
      </c>
      <c r="N2824" s="1">
        <v>18629</v>
      </c>
      <c r="O2824">
        <v>0</v>
      </c>
      <c r="P2824">
        <v>0</v>
      </c>
      <c r="Q2824" t="s">
        <v>28</v>
      </c>
      <c r="R2824" t="s">
        <v>29</v>
      </c>
      <c r="S2824" t="s">
        <v>4000</v>
      </c>
      <c r="T2824" t="s">
        <v>4001</v>
      </c>
    </row>
    <row r="2825" spans="1:20" x14ac:dyDescent="0.25">
      <c r="A2825" t="s">
        <v>7082</v>
      </c>
      <c r="B2825" t="str">
        <f>"8982"</f>
        <v>8982</v>
      </c>
      <c r="C2825" t="str">
        <f>"275568982"</f>
        <v>275568982</v>
      </c>
      <c r="D2825" t="s">
        <v>7083</v>
      </c>
      <c r="E2825" t="s">
        <v>7084</v>
      </c>
      <c r="F2825" t="s">
        <v>264</v>
      </c>
      <c r="G2825" s="1">
        <v>25664</v>
      </c>
      <c r="H2825" s="1">
        <v>40203</v>
      </c>
      <c r="I2825" t="str">
        <f>"51"</f>
        <v>51</v>
      </c>
      <c r="J2825" t="s">
        <v>471</v>
      </c>
      <c r="K2825" t="s">
        <v>25</v>
      </c>
      <c r="L2825" t="s">
        <v>26</v>
      </c>
      <c r="M2825" t="s">
        <v>27</v>
      </c>
      <c r="N2825" s="1">
        <v>18629</v>
      </c>
      <c r="O2825">
        <v>0</v>
      </c>
      <c r="P2825">
        <v>0</v>
      </c>
      <c r="Q2825" t="s">
        <v>28</v>
      </c>
      <c r="R2825" t="s">
        <v>71</v>
      </c>
      <c r="S2825" t="s">
        <v>4000</v>
      </c>
      <c r="T2825" t="s">
        <v>4001</v>
      </c>
    </row>
    <row r="2826" spans="1:20" x14ac:dyDescent="0.25">
      <c r="A2826" t="s">
        <v>7085</v>
      </c>
      <c r="B2826" t="str">
        <f>"4656"</f>
        <v>4656</v>
      </c>
      <c r="C2826" t="str">
        <f>"271864656"</f>
        <v>271864656</v>
      </c>
      <c r="D2826" t="s">
        <v>7086</v>
      </c>
      <c r="E2826" t="s">
        <v>2643</v>
      </c>
      <c r="G2826" s="1">
        <v>30374</v>
      </c>
      <c r="H2826" s="1">
        <v>40203</v>
      </c>
      <c r="I2826" t="str">
        <f>"41"</f>
        <v>41</v>
      </c>
      <c r="J2826" t="s">
        <v>24</v>
      </c>
      <c r="K2826" t="s">
        <v>25</v>
      </c>
      <c r="L2826" t="s">
        <v>26</v>
      </c>
      <c r="M2826" t="s">
        <v>27</v>
      </c>
      <c r="N2826" s="1">
        <v>18629</v>
      </c>
      <c r="O2826">
        <v>0</v>
      </c>
      <c r="P2826">
        <v>0</v>
      </c>
      <c r="Q2826" t="s">
        <v>28</v>
      </c>
      <c r="R2826" t="s">
        <v>71</v>
      </c>
      <c r="S2826" t="s">
        <v>402</v>
      </c>
      <c r="T2826" t="s">
        <v>403</v>
      </c>
    </row>
    <row r="2827" spans="1:20" x14ac:dyDescent="0.25">
      <c r="A2827" t="s">
        <v>7087</v>
      </c>
      <c r="B2827" t="str">
        <f>"0524"</f>
        <v>0524</v>
      </c>
      <c r="C2827" t="str">
        <f>"299680524"</f>
        <v>299680524</v>
      </c>
      <c r="D2827" t="s">
        <v>6103</v>
      </c>
      <c r="E2827" t="s">
        <v>944</v>
      </c>
      <c r="F2827" t="s">
        <v>69</v>
      </c>
      <c r="G2827" s="1">
        <v>25516</v>
      </c>
      <c r="H2827" s="1">
        <v>40203</v>
      </c>
      <c r="I2827" t="str">
        <f>"52"</f>
        <v>52</v>
      </c>
      <c r="J2827" t="s">
        <v>330</v>
      </c>
      <c r="K2827" t="s">
        <v>25</v>
      </c>
      <c r="L2827" t="s">
        <v>26</v>
      </c>
      <c r="M2827" t="s">
        <v>27</v>
      </c>
      <c r="N2827" s="1">
        <v>18629</v>
      </c>
      <c r="O2827">
        <v>0</v>
      </c>
      <c r="P2827">
        <v>0</v>
      </c>
      <c r="Q2827" t="s">
        <v>28</v>
      </c>
      <c r="R2827" t="s">
        <v>71</v>
      </c>
      <c r="S2827" t="s">
        <v>377</v>
      </c>
      <c r="T2827" t="s">
        <v>378</v>
      </c>
    </row>
    <row r="2828" spans="1:20" x14ac:dyDescent="0.25">
      <c r="A2828" t="s">
        <v>7088</v>
      </c>
      <c r="B2828" t="str">
        <f>"9013"</f>
        <v>9013</v>
      </c>
      <c r="C2828" t="str">
        <f>"278549013"</f>
        <v>278549013</v>
      </c>
      <c r="D2828" t="s">
        <v>760</v>
      </c>
      <c r="E2828" t="s">
        <v>197</v>
      </c>
      <c r="F2828" t="s">
        <v>28</v>
      </c>
      <c r="G2828" s="1">
        <v>21560</v>
      </c>
      <c r="H2828" s="1">
        <v>40203</v>
      </c>
      <c r="I2828" t="str">
        <f>"52"</f>
        <v>52</v>
      </c>
      <c r="J2828" t="s">
        <v>330</v>
      </c>
      <c r="K2828" t="s">
        <v>25</v>
      </c>
      <c r="L2828" t="s">
        <v>26</v>
      </c>
      <c r="M2828" t="s">
        <v>27</v>
      </c>
      <c r="N2828" s="1">
        <v>18629</v>
      </c>
      <c r="O2828">
        <v>0</v>
      </c>
      <c r="P2828">
        <v>0</v>
      </c>
      <c r="Q2828" t="s">
        <v>28</v>
      </c>
      <c r="R2828" t="s">
        <v>71</v>
      </c>
      <c r="S2828" t="s">
        <v>377</v>
      </c>
      <c r="T2828" t="s">
        <v>378</v>
      </c>
    </row>
    <row r="2829" spans="1:20" x14ac:dyDescent="0.25">
      <c r="A2829" t="s">
        <v>7089</v>
      </c>
      <c r="B2829" t="str">
        <f>"6085"</f>
        <v>6085</v>
      </c>
      <c r="C2829" t="str">
        <f>"292526085"</f>
        <v>292526085</v>
      </c>
      <c r="D2829" t="s">
        <v>2684</v>
      </c>
      <c r="E2829" t="s">
        <v>1247</v>
      </c>
      <c r="F2829" t="s">
        <v>7090</v>
      </c>
      <c r="G2829" s="1">
        <v>19289</v>
      </c>
      <c r="H2829" s="1">
        <v>40203</v>
      </c>
      <c r="I2829" t="str">
        <f>"52"</f>
        <v>52</v>
      </c>
      <c r="J2829" t="s">
        <v>330</v>
      </c>
      <c r="K2829" t="s">
        <v>25</v>
      </c>
      <c r="L2829" t="s">
        <v>26</v>
      </c>
      <c r="M2829" t="s">
        <v>27</v>
      </c>
      <c r="N2829" s="1">
        <v>18629</v>
      </c>
      <c r="O2829">
        <v>0</v>
      </c>
      <c r="P2829">
        <v>0</v>
      </c>
      <c r="Q2829" t="s">
        <v>28</v>
      </c>
      <c r="R2829" t="s">
        <v>71</v>
      </c>
      <c r="S2829" t="s">
        <v>377</v>
      </c>
      <c r="T2829" t="s">
        <v>378</v>
      </c>
    </row>
    <row r="2830" spans="1:20" x14ac:dyDescent="0.25">
      <c r="A2830" t="s">
        <v>7091</v>
      </c>
      <c r="B2830" t="str">
        <f>"8645"</f>
        <v>8645</v>
      </c>
      <c r="C2830" t="str">
        <f>"271488645"</f>
        <v>271488645</v>
      </c>
      <c r="D2830" t="s">
        <v>7092</v>
      </c>
      <c r="E2830" t="s">
        <v>122</v>
      </c>
      <c r="G2830" s="1">
        <v>18306</v>
      </c>
      <c r="H2830" s="1">
        <v>40203</v>
      </c>
      <c r="I2830" t="str">
        <f>"52"</f>
        <v>52</v>
      </c>
      <c r="J2830" t="s">
        <v>330</v>
      </c>
      <c r="K2830" t="s">
        <v>25</v>
      </c>
      <c r="L2830" t="s">
        <v>26</v>
      </c>
      <c r="M2830" t="s">
        <v>27</v>
      </c>
      <c r="N2830" s="1">
        <v>18629</v>
      </c>
      <c r="O2830">
        <v>0</v>
      </c>
      <c r="P2830">
        <v>0</v>
      </c>
      <c r="Q2830" t="s">
        <v>28</v>
      </c>
      <c r="R2830" t="s">
        <v>258</v>
      </c>
      <c r="S2830" t="s">
        <v>402</v>
      </c>
      <c r="T2830" t="s">
        <v>403</v>
      </c>
    </row>
    <row r="2831" spans="1:20" x14ac:dyDescent="0.25">
      <c r="A2831" t="s">
        <v>7093</v>
      </c>
      <c r="B2831" t="str">
        <f>"8685"</f>
        <v>8685</v>
      </c>
      <c r="C2831" t="str">
        <f>"299748685"</f>
        <v>299748685</v>
      </c>
      <c r="D2831" t="s">
        <v>7094</v>
      </c>
      <c r="E2831" t="s">
        <v>3646</v>
      </c>
      <c r="F2831" t="s">
        <v>93</v>
      </c>
      <c r="G2831" s="1">
        <v>28749</v>
      </c>
      <c r="H2831" s="1">
        <v>40203</v>
      </c>
      <c r="I2831" t="str">
        <f>"41"</f>
        <v>41</v>
      </c>
      <c r="J2831" t="s">
        <v>24</v>
      </c>
      <c r="K2831" t="s">
        <v>25</v>
      </c>
      <c r="L2831" t="s">
        <v>26</v>
      </c>
      <c r="M2831" t="s">
        <v>27</v>
      </c>
      <c r="N2831" s="1">
        <v>18629</v>
      </c>
      <c r="O2831">
        <v>0</v>
      </c>
      <c r="P2831">
        <v>0</v>
      </c>
      <c r="Q2831" t="s">
        <v>28</v>
      </c>
      <c r="R2831" t="s">
        <v>258</v>
      </c>
      <c r="S2831" t="s">
        <v>402</v>
      </c>
      <c r="T2831" t="s">
        <v>403</v>
      </c>
    </row>
    <row r="2832" spans="1:20" x14ac:dyDescent="0.25">
      <c r="A2832" t="s">
        <v>7095</v>
      </c>
      <c r="B2832" t="str">
        <f>"7985"</f>
        <v>7985</v>
      </c>
      <c r="C2832" t="str">
        <f>"302827985"</f>
        <v>302827985</v>
      </c>
      <c r="D2832" t="s">
        <v>7096</v>
      </c>
      <c r="E2832" t="s">
        <v>1172</v>
      </c>
      <c r="F2832" t="s">
        <v>430</v>
      </c>
      <c r="G2832" s="1">
        <v>28219</v>
      </c>
      <c r="H2832" s="1">
        <v>40203</v>
      </c>
      <c r="I2832" t="str">
        <f>"41"</f>
        <v>41</v>
      </c>
      <c r="J2832" t="s">
        <v>24</v>
      </c>
      <c r="K2832" t="s">
        <v>25</v>
      </c>
      <c r="L2832" t="s">
        <v>26</v>
      </c>
      <c r="M2832" t="s">
        <v>27</v>
      </c>
      <c r="N2832" s="1">
        <v>18629</v>
      </c>
      <c r="O2832">
        <v>0</v>
      </c>
      <c r="P2832">
        <v>0</v>
      </c>
      <c r="Q2832" t="s">
        <v>28</v>
      </c>
      <c r="R2832" t="s">
        <v>71</v>
      </c>
      <c r="S2832" t="s">
        <v>402</v>
      </c>
      <c r="T2832" t="s">
        <v>403</v>
      </c>
    </row>
    <row r="2833" spans="1:20" x14ac:dyDescent="0.25">
      <c r="A2833" t="s">
        <v>7097</v>
      </c>
      <c r="B2833" t="str">
        <f>"2424"</f>
        <v>2424</v>
      </c>
      <c r="C2833" t="str">
        <f>"297642424"</f>
        <v>297642424</v>
      </c>
      <c r="D2833" t="s">
        <v>7098</v>
      </c>
      <c r="E2833" t="s">
        <v>33</v>
      </c>
      <c r="F2833" t="s">
        <v>5245</v>
      </c>
      <c r="G2833" s="1">
        <v>21246</v>
      </c>
      <c r="H2833" s="1">
        <v>40203</v>
      </c>
      <c r="I2833" t="str">
        <f>"52"</f>
        <v>52</v>
      </c>
      <c r="J2833" t="s">
        <v>330</v>
      </c>
      <c r="K2833" t="s">
        <v>25</v>
      </c>
      <c r="L2833" t="s">
        <v>26</v>
      </c>
      <c r="M2833" t="s">
        <v>27</v>
      </c>
      <c r="N2833" s="1">
        <v>18629</v>
      </c>
      <c r="O2833">
        <v>0</v>
      </c>
      <c r="P2833">
        <v>0</v>
      </c>
      <c r="Q2833" t="s">
        <v>28</v>
      </c>
      <c r="R2833" t="s">
        <v>71</v>
      </c>
      <c r="S2833" t="s">
        <v>377</v>
      </c>
      <c r="T2833" t="s">
        <v>378</v>
      </c>
    </row>
    <row r="2834" spans="1:20" x14ac:dyDescent="0.25">
      <c r="A2834" t="s">
        <v>7099</v>
      </c>
      <c r="B2834" t="str">
        <f>"9073"</f>
        <v>9073</v>
      </c>
      <c r="C2834" t="str">
        <f>"370569073"</f>
        <v>370569073</v>
      </c>
      <c r="D2834" t="s">
        <v>7100</v>
      </c>
      <c r="E2834" t="s">
        <v>184</v>
      </c>
      <c r="F2834" t="s">
        <v>2075</v>
      </c>
      <c r="G2834" s="1">
        <v>19018</v>
      </c>
      <c r="H2834" s="1">
        <v>40203</v>
      </c>
      <c r="I2834" t="str">
        <f>"52"</f>
        <v>52</v>
      </c>
      <c r="J2834" t="s">
        <v>330</v>
      </c>
      <c r="K2834" t="s">
        <v>25</v>
      </c>
      <c r="L2834" t="s">
        <v>26</v>
      </c>
      <c r="M2834" t="s">
        <v>27</v>
      </c>
      <c r="N2834" s="1">
        <v>18629</v>
      </c>
      <c r="O2834">
        <v>0</v>
      </c>
      <c r="P2834">
        <v>0</v>
      </c>
      <c r="Q2834" t="s">
        <v>37</v>
      </c>
      <c r="R2834" t="s">
        <v>51</v>
      </c>
      <c r="S2834" t="s">
        <v>4000</v>
      </c>
      <c r="T2834" t="s">
        <v>4001</v>
      </c>
    </row>
    <row r="2835" spans="1:20" x14ac:dyDescent="0.25">
      <c r="A2835" t="s">
        <v>7101</v>
      </c>
      <c r="B2835" t="str">
        <f>"7209"</f>
        <v>7209</v>
      </c>
      <c r="C2835" t="str">
        <f>"296907209"</f>
        <v>296907209</v>
      </c>
      <c r="D2835" t="s">
        <v>7102</v>
      </c>
      <c r="E2835" t="s">
        <v>7103</v>
      </c>
      <c r="G2835" s="1">
        <v>14883</v>
      </c>
      <c r="H2835" s="1">
        <v>40203</v>
      </c>
      <c r="I2835" t="str">
        <f>"52"</f>
        <v>52</v>
      </c>
      <c r="J2835" t="s">
        <v>330</v>
      </c>
      <c r="K2835" t="s">
        <v>25</v>
      </c>
      <c r="L2835" t="s">
        <v>26</v>
      </c>
      <c r="M2835" t="s">
        <v>27</v>
      </c>
      <c r="N2835" s="1">
        <v>18629</v>
      </c>
      <c r="O2835">
        <v>0</v>
      </c>
      <c r="P2835">
        <v>0</v>
      </c>
      <c r="Q2835" t="s">
        <v>28</v>
      </c>
      <c r="R2835" t="s">
        <v>51</v>
      </c>
      <c r="S2835" t="s">
        <v>4000</v>
      </c>
      <c r="T2835" t="s">
        <v>4001</v>
      </c>
    </row>
    <row r="2836" spans="1:20" x14ac:dyDescent="0.25">
      <c r="A2836" t="s">
        <v>7104</v>
      </c>
      <c r="B2836" t="str">
        <f>"4750"</f>
        <v>4750</v>
      </c>
      <c r="C2836" t="str">
        <f>"280644750"</f>
        <v>280644750</v>
      </c>
      <c r="D2836" t="s">
        <v>716</v>
      </c>
      <c r="E2836" t="s">
        <v>335</v>
      </c>
      <c r="F2836" t="s">
        <v>5693</v>
      </c>
      <c r="G2836" s="1">
        <v>23145</v>
      </c>
      <c r="H2836" s="1">
        <v>40203</v>
      </c>
      <c r="I2836" t="str">
        <f>"52"</f>
        <v>52</v>
      </c>
      <c r="J2836" t="s">
        <v>330</v>
      </c>
      <c r="K2836" t="s">
        <v>25</v>
      </c>
      <c r="L2836" t="s">
        <v>26</v>
      </c>
      <c r="M2836" t="s">
        <v>27</v>
      </c>
      <c r="N2836" s="1">
        <v>18629</v>
      </c>
      <c r="O2836">
        <v>0</v>
      </c>
      <c r="P2836">
        <v>0</v>
      </c>
      <c r="Q2836" t="s">
        <v>28</v>
      </c>
      <c r="R2836" t="s">
        <v>71</v>
      </c>
      <c r="S2836" t="s">
        <v>377</v>
      </c>
      <c r="T2836" t="s">
        <v>378</v>
      </c>
    </row>
    <row r="2837" spans="1:20" x14ac:dyDescent="0.25">
      <c r="A2837" t="s">
        <v>7105</v>
      </c>
      <c r="B2837" t="str">
        <f>"2141"</f>
        <v>2141</v>
      </c>
      <c r="C2837" t="str">
        <f>"272422141"</f>
        <v>272422141</v>
      </c>
      <c r="D2837" t="s">
        <v>7106</v>
      </c>
      <c r="E2837" t="s">
        <v>7107</v>
      </c>
      <c r="F2837" t="s">
        <v>26</v>
      </c>
      <c r="G2837" s="1">
        <v>16474</v>
      </c>
      <c r="H2837" s="1">
        <v>40203</v>
      </c>
      <c r="I2837" t="str">
        <f>"52"</f>
        <v>52</v>
      </c>
      <c r="J2837" t="s">
        <v>330</v>
      </c>
      <c r="K2837" t="s">
        <v>25</v>
      </c>
      <c r="L2837" t="s">
        <v>26</v>
      </c>
      <c r="M2837" t="s">
        <v>27</v>
      </c>
      <c r="N2837" s="1">
        <v>18629</v>
      </c>
      <c r="O2837">
        <v>0</v>
      </c>
      <c r="P2837">
        <v>0</v>
      </c>
      <c r="Q2837" t="s">
        <v>28</v>
      </c>
      <c r="R2837" t="s">
        <v>29</v>
      </c>
      <c r="S2837" t="s">
        <v>4000</v>
      </c>
      <c r="T2837" t="s">
        <v>4001</v>
      </c>
    </row>
    <row r="2838" spans="1:20" x14ac:dyDescent="0.25">
      <c r="A2838" t="s">
        <v>7108</v>
      </c>
      <c r="B2838" t="str">
        <f>"3886"</f>
        <v>3886</v>
      </c>
      <c r="C2838" t="str">
        <f>"299863886"</f>
        <v>299863886</v>
      </c>
      <c r="D2838" t="s">
        <v>6617</v>
      </c>
      <c r="E2838" t="s">
        <v>178</v>
      </c>
      <c r="F2838" t="s">
        <v>26</v>
      </c>
      <c r="G2838" s="1">
        <v>28018</v>
      </c>
      <c r="H2838" s="1">
        <v>40203</v>
      </c>
      <c r="I2838" t="str">
        <f>"20"</f>
        <v>20</v>
      </c>
      <c r="J2838" t="s">
        <v>123</v>
      </c>
      <c r="K2838" t="s">
        <v>98</v>
      </c>
      <c r="L2838" t="s">
        <v>37</v>
      </c>
      <c r="M2838" t="s">
        <v>117</v>
      </c>
      <c r="N2838" s="1">
        <v>41631</v>
      </c>
      <c r="O2838">
        <v>4951.9799999999996</v>
      </c>
      <c r="P2838">
        <v>1237.94</v>
      </c>
      <c r="Q2838" t="s">
        <v>28</v>
      </c>
      <c r="R2838" t="s">
        <v>51</v>
      </c>
      <c r="S2838" s="2" t="s">
        <v>683</v>
      </c>
      <c r="T2838" t="s">
        <v>684</v>
      </c>
    </row>
    <row r="2839" spans="1:20" x14ac:dyDescent="0.25">
      <c r="A2839" t="s">
        <v>7109</v>
      </c>
      <c r="B2839" t="str">
        <f>"2717"</f>
        <v>2717</v>
      </c>
      <c r="C2839" t="str">
        <f>"277602717"</f>
        <v>277602717</v>
      </c>
      <c r="D2839" t="s">
        <v>5434</v>
      </c>
      <c r="E2839" t="s">
        <v>1081</v>
      </c>
      <c r="F2839" t="s">
        <v>438</v>
      </c>
      <c r="G2839" s="1">
        <v>21162</v>
      </c>
      <c r="H2839" s="1">
        <v>40203</v>
      </c>
      <c r="I2839" t="str">
        <f>"52"</f>
        <v>52</v>
      </c>
      <c r="J2839" t="s">
        <v>330</v>
      </c>
      <c r="K2839" t="s">
        <v>25</v>
      </c>
      <c r="L2839" t="s">
        <v>26</v>
      </c>
      <c r="M2839" t="s">
        <v>27</v>
      </c>
      <c r="N2839" s="1">
        <v>18629</v>
      </c>
      <c r="O2839">
        <v>0</v>
      </c>
      <c r="P2839">
        <v>0</v>
      </c>
      <c r="Q2839" t="s">
        <v>28</v>
      </c>
      <c r="R2839" t="s">
        <v>258</v>
      </c>
      <c r="S2839" t="s">
        <v>331</v>
      </c>
      <c r="T2839" t="s">
        <v>332</v>
      </c>
    </row>
    <row r="2840" spans="1:20" x14ac:dyDescent="0.25">
      <c r="A2840" t="s">
        <v>7110</v>
      </c>
      <c r="B2840" t="str">
        <f>"2909"</f>
        <v>2909</v>
      </c>
      <c r="C2840" t="str">
        <f>"298902909"</f>
        <v>298902909</v>
      </c>
      <c r="D2840" t="s">
        <v>7111</v>
      </c>
      <c r="E2840" t="s">
        <v>164</v>
      </c>
      <c r="F2840" t="s">
        <v>97</v>
      </c>
      <c r="G2840" s="1">
        <v>30654</v>
      </c>
      <c r="H2840" s="1">
        <v>40203</v>
      </c>
      <c r="I2840" t="str">
        <f>"52"</f>
        <v>52</v>
      </c>
      <c r="J2840" t="s">
        <v>330</v>
      </c>
      <c r="K2840" t="s">
        <v>25</v>
      </c>
      <c r="L2840" t="s">
        <v>26</v>
      </c>
      <c r="M2840" t="s">
        <v>27</v>
      </c>
      <c r="N2840" s="1">
        <v>18629</v>
      </c>
      <c r="O2840">
        <v>0</v>
      </c>
      <c r="P2840">
        <v>0</v>
      </c>
      <c r="Q2840" t="s">
        <v>37</v>
      </c>
      <c r="R2840" t="s">
        <v>71</v>
      </c>
      <c r="S2840" t="s">
        <v>4000</v>
      </c>
      <c r="T2840" t="s">
        <v>4001</v>
      </c>
    </row>
    <row r="2841" spans="1:20" x14ac:dyDescent="0.25">
      <c r="A2841" t="s">
        <v>7112</v>
      </c>
      <c r="B2841" t="str">
        <f>"8912"</f>
        <v>8912</v>
      </c>
      <c r="C2841" t="str">
        <f>"272568912"</f>
        <v>272568912</v>
      </c>
      <c r="D2841" t="s">
        <v>6934</v>
      </c>
      <c r="E2841" t="s">
        <v>304</v>
      </c>
      <c r="F2841" t="s">
        <v>93</v>
      </c>
      <c r="G2841" s="1">
        <v>20545</v>
      </c>
      <c r="H2841" s="1">
        <v>40203</v>
      </c>
      <c r="I2841" t="str">
        <f>"41"</f>
        <v>41</v>
      </c>
      <c r="J2841" t="s">
        <v>24</v>
      </c>
      <c r="K2841" t="s">
        <v>25</v>
      </c>
      <c r="L2841" t="s">
        <v>26</v>
      </c>
      <c r="M2841" t="s">
        <v>27</v>
      </c>
      <c r="N2841" s="1">
        <v>18629</v>
      </c>
      <c r="O2841">
        <v>0</v>
      </c>
      <c r="P2841">
        <v>0</v>
      </c>
      <c r="Q2841" t="s">
        <v>28</v>
      </c>
      <c r="R2841" t="s">
        <v>71</v>
      </c>
      <c r="S2841" t="s">
        <v>402</v>
      </c>
      <c r="T2841" t="s">
        <v>403</v>
      </c>
    </row>
    <row r="2842" spans="1:20" x14ac:dyDescent="0.25">
      <c r="A2842" t="s">
        <v>7113</v>
      </c>
      <c r="B2842" t="str">
        <f>"4706"</f>
        <v>4706</v>
      </c>
      <c r="C2842" t="str">
        <f>"286504706"</f>
        <v>286504706</v>
      </c>
      <c r="D2842" t="s">
        <v>7114</v>
      </c>
      <c r="E2842" t="s">
        <v>304</v>
      </c>
      <c r="F2842" t="s">
        <v>22</v>
      </c>
      <c r="G2842" s="1">
        <v>19076</v>
      </c>
      <c r="H2842" s="1">
        <v>40203</v>
      </c>
      <c r="I2842" t="str">
        <f>"52"</f>
        <v>52</v>
      </c>
      <c r="J2842" t="s">
        <v>330</v>
      </c>
      <c r="K2842" t="s">
        <v>25</v>
      </c>
      <c r="L2842" t="s">
        <v>26</v>
      </c>
      <c r="M2842" t="s">
        <v>27</v>
      </c>
      <c r="N2842" s="1">
        <v>18629</v>
      </c>
      <c r="O2842">
        <v>0</v>
      </c>
      <c r="P2842">
        <v>0</v>
      </c>
      <c r="Q2842" t="s">
        <v>28</v>
      </c>
      <c r="R2842" t="s">
        <v>71</v>
      </c>
      <c r="S2842" t="s">
        <v>402</v>
      </c>
      <c r="T2842" t="s">
        <v>403</v>
      </c>
    </row>
    <row r="2843" spans="1:20" x14ac:dyDescent="0.25">
      <c r="A2843" t="s">
        <v>7115</v>
      </c>
      <c r="B2843" t="str">
        <f>"5770"</f>
        <v>5770</v>
      </c>
      <c r="C2843" t="str">
        <f>"285585770"</f>
        <v>285585770</v>
      </c>
      <c r="D2843" t="s">
        <v>7116</v>
      </c>
      <c r="E2843" t="s">
        <v>7117</v>
      </c>
      <c r="F2843" t="s">
        <v>93</v>
      </c>
      <c r="G2843" s="1">
        <v>19804</v>
      </c>
      <c r="H2843" s="1">
        <v>40197</v>
      </c>
      <c r="I2843" t="str">
        <f>"41"</f>
        <v>41</v>
      </c>
      <c r="J2843" t="s">
        <v>24</v>
      </c>
      <c r="K2843" t="s">
        <v>25</v>
      </c>
      <c r="L2843" t="s">
        <v>26</v>
      </c>
      <c r="M2843" t="s">
        <v>27</v>
      </c>
      <c r="N2843" s="1">
        <v>18629</v>
      </c>
      <c r="O2843">
        <v>0</v>
      </c>
      <c r="P2843">
        <v>0</v>
      </c>
      <c r="Q2843" t="s">
        <v>37</v>
      </c>
      <c r="R2843" t="s">
        <v>29</v>
      </c>
      <c r="S2843" t="s">
        <v>818</v>
      </c>
      <c r="T2843" t="s">
        <v>819</v>
      </c>
    </row>
    <row r="2844" spans="1:20" x14ac:dyDescent="0.25">
      <c r="A2844" t="s">
        <v>7118</v>
      </c>
      <c r="B2844" t="str">
        <f>"8018"</f>
        <v>8018</v>
      </c>
      <c r="C2844" t="str">
        <f>"285628018"</f>
        <v>285628018</v>
      </c>
      <c r="D2844" t="s">
        <v>6853</v>
      </c>
      <c r="E2844" t="s">
        <v>48</v>
      </c>
      <c r="F2844" t="s">
        <v>97</v>
      </c>
      <c r="G2844" s="1">
        <v>25370</v>
      </c>
      <c r="H2844" s="1">
        <v>40190</v>
      </c>
      <c r="I2844" t="str">
        <f>"50"</f>
        <v>50</v>
      </c>
      <c r="J2844" t="s">
        <v>208</v>
      </c>
      <c r="K2844" t="s">
        <v>25</v>
      </c>
      <c r="L2844" t="s">
        <v>26</v>
      </c>
      <c r="M2844" t="s">
        <v>27</v>
      </c>
      <c r="N2844" s="1">
        <v>18629</v>
      </c>
      <c r="O2844">
        <v>0</v>
      </c>
      <c r="P2844">
        <v>0</v>
      </c>
      <c r="Q2844" t="s">
        <v>37</v>
      </c>
      <c r="R2844" t="s">
        <v>71</v>
      </c>
      <c r="S2844" t="s">
        <v>373</v>
      </c>
      <c r="T2844" t="s">
        <v>374</v>
      </c>
    </row>
    <row r="2845" spans="1:20" x14ac:dyDescent="0.25">
      <c r="A2845" t="s">
        <v>7119</v>
      </c>
      <c r="B2845" t="str">
        <f>"3213"</f>
        <v>3213</v>
      </c>
      <c r="C2845" t="str">
        <f>"278783213"</f>
        <v>278783213</v>
      </c>
      <c r="D2845" t="s">
        <v>1032</v>
      </c>
      <c r="E2845" t="s">
        <v>944</v>
      </c>
      <c r="F2845" t="s">
        <v>7120</v>
      </c>
      <c r="G2845" s="1">
        <v>25639</v>
      </c>
      <c r="H2845" s="1">
        <v>40189</v>
      </c>
      <c r="I2845" t="str">
        <f>"09"</f>
        <v>09</v>
      </c>
      <c r="J2845" t="s">
        <v>4483</v>
      </c>
      <c r="K2845" t="s">
        <v>175</v>
      </c>
      <c r="L2845" t="s">
        <v>37</v>
      </c>
      <c r="M2845" t="s">
        <v>257</v>
      </c>
      <c r="N2845" s="1">
        <v>41617</v>
      </c>
      <c r="O2845">
        <v>11847.94</v>
      </c>
      <c r="P2845">
        <v>2961.92</v>
      </c>
      <c r="Q2845" t="s">
        <v>28</v>
      </c>
      <c r="R2845" t="s">
        <v>29</v>
      </c>
      <c r="S2845" t="s">
        <v>3986</v>
      </c>
      <c r="T2845" t="s">
        <v>3987</v>
      </c>
    </row>
    <row r="2846" spans="1:20" x14ac:dyDescent="0.25">
      <c r="A2846" t="s">
        <v>7121</v>
      </c>
      <c r="B2846" t="str">
        <f>"6610"</f>
        <v>6610</v>
      </c>
      <c r="C2846" t="str">
        <f>"268786610"</f>
        <v>268786610</v>
      </c>
      <c r="D2846" t="s">
        <v>7122</v>
      </c>
      <c r="E2846" t="s">
        <v>7123</v>
      </c>
      <c r="F2846" t="s">
        <v>7124</v>
      </c>
      <c r="G2846" s="1">
        <v>29701</v>
      </c>
      <c r="H2846" s="1">
        <v>40189</v>
      </c>
      <c r="I2846" t="str">
        <f>"31"</f>
        <v>31</v>
      </c>
      <c r="J2846" t="s">
        <v>3321</v>
      </c>
      <c r="K2846" t="s">
        <v>25</v>
      </c>
      <c r="L2846" t="s">
        <v>26</v>
      </c>
      <c r="M2846" t="s">
        <v>27</v>
      </c>
      <c r="N2846" s="1">
        <v>18629</v>
      </c>
      <c r="O2846">
        <v>0</v>
      </c>
      <c r="P2846">
        <v>0</v>
      </c>
      <c r="Q2846" t="s">
        <v>37</v>
      </c>
      <c r="R2846" t="s">
        <v>29</v>
      </c>
      <c r="S2846" t="s">
        <v>3986</v>
      </c>
      <c r="T2846" t="s">
        <v>3987</v>
      </c>
    </row>
    <row r="2847" spans="1:20" x14ac:dyDescent="0.25">
      <c r="A2847" t="s">
        <v>7125</v>
      </c>
      <c r="B2847" t="str">
        <f>"5839"</f>
        <v>5839</v>
      </c>
      <c r="C2847" t="str">
        <f>"519905839"</f>
        <v>519905839</v>
      </c>
      <c r="D2847" t="s">
        <v>7126</v>
      </c>
      <c r="E2847" t="s">
        <v>2290</v>
      </c>
      <c r="F2847" t="s">
        <v>438</v>
      </c>
      <c r="G2847" s="1">
        <v>22471</v>
      </c>
      <c r="H2847" s="1">
        <v>40188</v>
      </c>
      <c r="I2847" t="str">
        <f t="shared" ref="I2847:I2891" si="57">"51"</f>
        <v>51</v>
      </c>
      <c r="J2847" t="s">
        <v>471</v>
      </c>
      <c r="K2847" t="s">
        <v>25</v>
      </c>
      <c r="L2847" t="s">
        <v>26</v>
      </c>
      <c r="M2847" t="s">
        <v>27</v>
      </c>
      <c r="N2847" s="1">
        <v>18629</v>
      </c>
      <c r="O2847">
        <v>0</v>
      </c>
      <c r="P2847">
        <v>0</v>
      </c>
      <c r="Q2847" t="s">
        <v>37</v>
      </c>
      <c r="R2847" t="s">
        <v>71</v>
      </c>
      <c r="S2847" t="s">
        <v>2634</v>
      </c>
      <c r="T2847" t="s">
        <v>2635</v>
      </c>
    </row>
    <row r="2848" spans="1:20" x14ac:dyDescent="0.25">
      <c r="A2848" t="s">
        <v>7127</v>
      </c>
      <c r="B2848" t="str">
        <f>"5028"</f>
        <v>5028</v>
      </c>
      <c r="C2848" t="str">
        <f>"289745028"</f>
        <v>289745028</v>
      </c>
      <c r="D2848" t="s">
        <v>7128</v>
      </c>
      <c r="E2848" t="s">
        <v>499</v>
      </c>
      <c r="F2848" t="s">
        <v>438</v>
      </c>
      <c r="G2848" s="1">
        <v>25223</v>
      </c>
      <c r="H2848" s="1">
        <v>40188</v>
      </c>
      <c r="I2848" t="str">
        <f t="shared" si="57"/>
        <v>51</v>
      </c>
      <c r="J2848" t="s">
        <v>471</v>
      </c>
      <c r="K2848" t="s">
        <v>25</v>
      </c>
      <c r="L2848" t="s">
        <v>26</v>
      </c>
      <c r="M2848" t="s">
        <v>27</v>
      </c>
      <c r="N2848" s="1">
        <v>18629</v>
      </c>
      <c r="O2848">
        <v>0</v>
      </c>
      <c r="P2848">
        <v>0</v>
      </c>
      <c r="Q2848" t="s">
        <v>28</v>
      </c>
      <c r="R2848" t="s">
        <v>71</v>
      </c>
      <c r="S2848" t="s">
        <v>6172</v>
      </c>
      <c r="T2848" t="s">
        <v>6173</v>
      </c>
    </row>
    <row r="2849" spans="1:20" x14ac:dyDescent="0.25">
      <c r="A2849" t="s">
        <v>7129</v>
      </c>
      <c r="B2849" t="str">
        <f>"4271"</f>
        <v>4271</v>
      </c>
      <c r="C2849" t="str">
        <f>"274084271"</f>
        <v>274084271</v>
      </c>
      <c r="D2849" t="s">
        <v>7130</v>
      </c>
      <c r="E2849" t="s">
        <v>7131</v>
      </c>
      <c r="G2849" s="1">
        <v>27894</v>
      </c>
      <c r="H2849" s="1">
        <v>40187</v>
      </c>
      <c r="I2849" t="str">
        <f t="shared" si="57"/>
        <v>51</v>
      </c>
      <c r="J2849" t="s">
        <v>471</v>
      </c>
      <c r="K2849" t="s">
        <v>25</v>
      </c>
      <c r="L2849" t="s">
        <v>26</v>
      </c>
      <c r="M2849" t="s">
        <v>27</v>
      </c>
      <c r="N2849" s="1">
        <v>18629</v>
      </c>
      <c r="O2849">
        <v>0</v>
      </c>
      <c r="P2849">
        <v>0</v>
      </c>
      <c r="Q2849" t="s">
        <v>37</v>
      </c>
      <c r="R2849" t="s">
        <v>71</v>
      </c>
      <c r="S2849" t="s">
        <v>790</v>
      </c>
      <c r="T2849" t="s">
        <v>791</v>
      </c>
    </row>
    <row r="2850" spans="1:20" x14ac:dyDescent="0.25">
      <c r="A2850" t="s">
        <v>7132</v>
      </c>
      <c r="B2850" t="str">
        <f>"1437"</f>
        <v>1437</v>
      </c>
      <c r="C2850" t="str">
        <f>"270721437"</f>
        <v>270721437</v>
      </c>
      <c r="D2850" t="s">
        <v>1032</v>
      </c>
      <c r="E2850" t="s">
        <v>2674</v>
      </c>
      <c r="F2850" t="s">
        <v>456</v>
      </c>
      <c r="G2850" s="1">
        <v>26238</v>
      </c>
      <c r="H2850" s="1">
        <v>40187</v>
      </c>
      <c r="I2850" t="str">
        <f t="shared" si="57"/>
        <v>51</v>
      </c>
      <c r="J2850" t="s">
        <v>471</v>
      </c>
      <c r="K2850" t="s">
        <v>25</v>
      </c>
      <c r="L2850" t="s">
        <v>26</v>
      </c>
      <c r="M2850" t="s">
        <v>27</v>
      </c>
      <c r="N2850" s="1">
        <v>18629</v>
      </c>
      <c r="O2850">
        <v>0</v>
      </c>
      <c r="P2850">
        <v>0</v>
      </c>
      <c r="Q2850" t="s">
        <v>28</v>
      </c>
      <c r="R2850" t="s">
        <v>29</v>
      </c>
      <c r="S2850" t="s">
        <v>1555</v>
      </c>
      <c r="T2850" t="s">
        <v>1556</v>
      </c>
    </row>
    <row r="2851" spans="1:20" x14ac:dyDescent="0.25">
      <c r="A2851" t="s">
        <v>7133</v>
      </c>
      <c r="B2851" t="str">
        <f>"0258"</f>
        <v>0258</v>
      </c>
      <c r="C2851" t="str">
        <f>"499800258"</f>
        <v>499800258</v>
      </c>
      <c r="D2851" t="s">
        <v>1032</v>
      </c>
      <c r="E2851" t="s">
        <v>7134</v>
      </c>
      <c r="F2851" t="s">
        <v>438</v>
      </c>
      <c r="G2851" s="1">
        <v>28714</v>
      </c>
      <c r="H2851" s="1">
        <v>40187</v>
      </c>
      <c r="I2851" t="str">
        <f t="shared" si="57"/>
        <v>51</v>
      </c>
      <c r="J2851" t="s">
        <v>471</v>
      </c>
      <c r="K2851" t="s">
        <v>25</v>
      </c>
      <c r="L2851" t="s">
        <v>26</v>
      </c>
      <c r="M2851" t="s">
        <v>27</v>
      </c>
      <c r="N2851" s="1">
        <v>18629</v>
      </c>
      <c r="O2851">
        <v>0</v>
      </c>
      <c r="P2851">
        <v>0</v>
      </c>
      <c r="Q2851" t="s">
        <v>37</v>
      </c>
      <c r="R2851" t="s">
        <v>51</v>
      </c>
      <c r="S2851" s="2" t="s">
        <v>5505</v>
      </c>
      <c r="T2851" t="s">
        <v>5506</v>
      </c>
    </row>
    <row r="2852" spans="1:20" x14ac:dyDescent="0.25">
      <c r="A2852" t="s">
        <v>7135</v>
      </c>
      <c r="B2852" t="str">
        <f>"9370"</f>
        <v>9370</v>
      </c>
      <c r="C2852" t="str">
        <f>"290589370"</f>
        <v>290589370</v>
      </c>
      <c r="D2852" t="s">
        <v>121</v>
      </c>
      <c r="E2852" t="s">
        <v>6481</v>
      </c>
      <c r="F2852" t="s">
        <v>93</v>
      </c>
      <c r="G2852" s="1">
        <v>23581</v>
      </c>
      <c r="H2852" s="1">
        <v>40187</v>
      </c>
      <c r="I2852" t="str">
        <f t="shared" si="57"/>
        <v>51</v>
      </c>
      <c r="J2852" t="s">
        <v>471</v>
      </c>
      <c r="K2852" t="s">
        <v>25</v>
      </c>
      <c r="L2852" t="s">
        <v>26</v>
      </c>
      <c r="M2852" t="s">
        <v>27</v>
      </c>
      <c r="N2852" s="1">
        <v>18629</v>
      </c>
      <c r="O2852">
        <v>0</v>
      </c>
      <c r="P2852">
        <v>0</v>
      </c>
      <c r="Q2852" t="s">
        <v>37</v>
      </c>
      <c r="R2852" t="s">
        <v>71</v>
      </c>
      <c r="S2852" t="s">
        <v>5022</v>
      </c>
      <c r="T2852" t="s">
        <v>5023</v>
      </c>
    </row>
    <row r="2853" spans="1:20" x14ac:dyDescent="0.25">
      <c r="A2853" t="s">
        <v>7136</v>
      </c>
      <c r="B2853" t="str">
        <f>"2902"</f>
        <v>2902</v>
      </c>
      <c r="C2853" t="str">
        <f>"268862902"</f>
        <v>268862902</v>
      </c>
      <c r="D2853" t="s">
        <v>7137</v>
      </c>
      <c r="E2853" t="s">
        <v>1453</v>
      </c>
      <c r="F2853" t="s">
        <v>93</v>
      </c>
      <c r="G2853" s="1">
        <v>29440</v>
      </c>
      <c r="H2853" s="1">
        <v>40187</v>
      </c>
      <c r="I2853" t="str">
        <f t="shared" si="57"/>
        <v>51</v>
      </c>
      <c r="J2853" t="s">
        <v>471</v>
      </c>
      <c r="K2853" t="s">
        <v>25</v>
      </c>
      <c r="L2853" t="s">
        <v>26</v>
      </c>
      <c r="M2853" t="s">
        <v>27</v>
      </c>
      <c r="N2853" s="1">
        <v>18629</v>
      </c>
      <c r="O2853">
        <v>0</v>
      </c>
      <c r="P2853">
        <v>0</v>
      </c>
      <c r="Q2853" t="s">
        <v>28</v>
      </c>
      <c r="R2853" t="s">
        <v>71</v>
      </c>
      <c r="S2853" t="s">
        <v>923</v>
      </c>
      <c r="T2853" t="s">
        <v>924</v>
      </c>
    </row>
    <row r="2854" spans="1:20" x14ac:dyDescent="0.25">
      <c r="A2854" t="s">
        <v>7138</v>
      </c>
      <c r="B2854" t="str">
        <f>"1322"</f>
        <v>1322</v>
      </c>
      <c r="C2854" t="str">
        <f>"271941322"</f>
        <v>271941322</v>
      </c>
      <c r="D2854" t="s">
        <v>7139</v>
      </c>
      <c r="E2854" t="s">
        <v>7140</v>
      </c>
      <c r="G2854" s="1">
        <v>21179</v>
      </c>
      <c r="H2854" s="1">
        <v>40187</v>
      </c>
      <c r="I2854" t="str">
        <f t="shared" si="57"/>
        <v>51</v>
      </c>
      <c r="J2854" t="s">
        <v>471</v>
      </c>
      <c r="K2854" t="s">
        <v>25</v>
      </c>
      <c r="L2854" t="s">
        <v>26</v>
      </c>
      <c r="M2854" t="s">
        <v>27</v>
      </c>
      <c r="N2854" s="1">
        <v>18629</v>
      </c>
      <c r="O2854">
        <v>0</v>
      </c>
      <c r="P2854">
        <v>0</v>
      </c>
      <c r="Q2854" t="s">
        <v>28</v>
      </c>
      <c r="R2854" t="s">
        <v>71</v>
      </c>
      <c r="S2854" t="s">
        <v>790</v>
      </c>
      <c r="T2854" t="s">
        <v>791</v>
      </c>
    </row>
    <row r="2855" spans="1:20" x14ac:dyDescent="0.25">
      <c r="A2855" t="s">
        <v>7141</v>
      </c>
      <c r="B2855" t="str">
        <f>"2352"</f>
        <v>2352</v>
      </c>
      <c r="C2855" t="str">
        <f>"289622352"</f>
        <v>289622352</v>
      </c>
      <c r="D2855" t="s">
        <v>7142</v>
      </c>
      <c r="E2855" t="s">
        <v>109</v>
      </c>
      <c r="F2855" t="s">
        <v>97</v>
      </c>
      <c r="G2855" s="1">
        <v>24868</v>
      </c>
      <c r="H2855" s="1">
        <v>40187</v>
      </c>
      <c r="I2855" t="str">
        <f t="shared" si="57"/>
        <v>51</v>
      </c>
      <c r="J2855" t="s">
        <v>471</v>
      </c>
      <c r="K2855" t="s">
        <v>25</v>
      </c>
      <c r="L2855" t="s">
        <v>26</v>
      </c>
      <c r="M2855" t="s">
        <v>27</v>
      </c>
      <c r="N2855" s="1">
        <v>18629</v>
      </c>
      <c r="O2855">
        <v>0</v>
      </c>
      <c r="P2855">
        <v>0</v>
      </c>
      <c r="Q2855" t="s">
        <v>37</v>
      </c>
      <c r="R2855" t="s">
        <v>71</v>
      </c>
      <c r="S2855" t="s">
        <v>808</v>
      </c>
      <c r="T2855" t="s">
        <v>809</v>
      </c>
    </row>
    <row r="2856" spans="1:20" x14ac:dyDescent="0.25">
      <c r="A2856" t="s">
        <v>7143</v>
      </c>
      <c r="B2856" t="str">
        <f>"8307"</f>
        <v>8307</v>
      </c>
      <c r="C2856" t="str">
        <f>"300588307"</f>
        <v>300588307</v>
      </c>
      <c r="D2856" t="s">
        <v>5598</v>
      </c>
      <c r="E2856" t="s">
        <v>1071</v>
      </c>
      <c r="F2856" t="s">
        <v>28</v>
      </c>
      <c r="G2856" s="1">
        <v>23545</v>
      </c>
      <c r="H2856" s="1">
        <v>40187</v>
      </c>
      <c r="I2856" t="str">
        <f t="shared" si="57"/>
        <v>51</v>
      </c>
      <c r="J2856" t="s">
        <v>471</v>
      </c>
      <c r="K2856" t="s">
        <v>25</v>
      </c>
      <c r="L2856" t="s">
        <v>26</v>
      </c>
      <c r="M2856" t="s">
        <v>27</v>
      </c>
      <c r="N2856" s="1">
        <v>18629</v>
      </c>
      <c r="O2856">
        <v>0</v>
      </c>
      <c r="P2856">
        <v>0</v>
      </c>
      <c r="Q2856" t="s">
        <v>37</v>
      </c>
      <c r="R2856" t="s">
        <v>51</v>
      </c>
      <c r="S2856" t="s">
        <v>2732</v>
      </c>
      <c r="T2856" t="s">
        <v>2733</v>
      </c>
    </row>
    <row r="2857" spans="1:20" x14ac:dyDescent="0.25">
      <c r="A2857" t="s">
        <v>7144</v>
      </c>
      <c r="B2857" t="str">
        <f>"4112"</f>
        <v>4112</v>
      </c>
      <c r="C2857" t="str">
        <f>"291744112"</f>
        <v>291744112</v>
      </c>
      <c r="D2857" t="s">
        <v>7145</v>
      </c>
      <c r="E2857" t="s">
        <v>1666</v>
      </c>
      <c r="F2857" t="s">
        <v>93</v>
      </c>
      <c r="G2857" s="1">
        <v>23458</v>
      </c>
      <c r="H2857" s="1">
        <v>40187</v>
      </c>
      <c r="I2857" t="str">
        <f t="shared" si="57"/>
        <v>51</v>
      </c>
      <c r="J2857" t="s">
        <v>471</v>
      </c>
      <c r="K2857" t="s">
        <v>25</v>
      </c>
      <c r="L2857" t="s">
        <v>26</v>
      </c>
      <c r="M2857" t="s">
        <v>27</v>
      </c>
      <c r="N2857" s="1">
        <v>18629</v>
      </c>
      <c r="O2857">
        <v>0</v>
      </c>
      <c r="P2857">
        <v>0</v>
      </c>
      <c r="Q2857" t="s">
        <v>37</v>
      </c>
      <c r="R2857" t="s">
        <v>29</v>
      </c>
      <c r="S2857" t="s">
        <v>6647</v>
      </c>
      <c r="T2857" t="s">
        <v>6648</v>
      </c>
    </row>
    <row r="2858" spans="1:20" x14ac:dyDescent="0.25">
      <c r="A2858" t="s">
        <v>7146</v>
      </c>
      <c r="B2858" t="str">
        <f>"7427"</f>
        <v>7427</v>
      </c>
      <c r="C2858" t="str">
        <f>"032607427"</f>
        <v>032607427</v>
      </c>
      <c r="D2858" t="s">
        <v>7147</v>
      </c>
      <c r="E2858" t="s">
        <v>1377</v>
      </c>
      <c r="F2858" t="s">
        <v>28</v>
      </c>
      <c r="G2858" s="1">
        <v>23584</v>
      </c>
      <c r="H2858" s="1">
        <v>40187</v>
      </c>
      <c r="I2858" t="str">
        <f t="shared" si="57"/>
        <v>51</v>
      </c>
      <c r="J2858" t="s">
        <v>471</v>
      </c>
      <c r="K2858" t="s">
        <v>25</v>
      </c>
      <c r="L2858" t="s">
        <v>26</v>
      </c>
      <c r="M2858" t="s">
        <v>27</v>
      </c>
      <c r="N2858" s="1">
        <v>18629</v>
      </c>
      <c r="O2858">
        <v>0</v>
      </c>
      <c r="P2858">
        <v>0</v>
      </c>
      <c r="Q2858" t="s">
        <v>37</v>
      </c>
      <c r="R2858" t="s">
        <v>29</v>
      </c>
      <c r="S2858" t="s">
        <v>3017</v>
      </c>
      <c r="T2858" t="s">
        <v>3018</v>
      </c>
    </row>
    <row r="2859" spans="1:20" x14ac:dyDescent="0.25">
      <c r="A2859" t="s">
        <v>7148</v>
      </c>
      <c r="B2859" t="str">
        <f>"4951"</f>
        <v>4951</v>
      </c>
      <c r="C2859" t="str">
        <f>"282744951"</f>
        <v>282744951</v>
      </c>
      <c r="D2859" t="s">
        <v>4032</v>
      </c>
      <c r="E2859" t="s">
        <v>7149</v>
      </c>
      <c r="F2859" t="s">
        <v>345</v>
      </c>
      <c r="G2859" s="1">
        <v>27499</v>
      </c>
      <c r="H2859" s="1">
        <v>40187</v>
      </c>
      <c r="I2859" t="str">
        <f t="shared" si="57"/>
        <v>51</v>
      </c>
      <c r="J2859" t="s">
        <v>471</v>
      </c>
      <c r="K2859" t="s">
        <v>25</v>
      </c>
      <c r="L2859" t="s">
        <v>26</v>
      </c>
      <c r="M2859" t="s">
        <v>27</v>
      </c>
      <c r="N2859" s="1">
        <v>18629</v>
      </c>
      <c r="O2859">
        <v>0</v>
      </c>
      <c r="P2859">
        <v>0</v>
      </c>
      <c r="Q2859" t="s">
        <v>28</v>
      </c>
      <c r="R2859" t="s">
        <v>51</v>
      </c>
      <c r="S2859" t="s">
        <v>2355</v>
      </c>
      <c r="T2859" t="s">
        <v>2356</v>
      </c>
    </row>
    <row r="2860" spans="1:20" x14ac:dyDescent="0.25">
      <c r="A2860" t="s">
        <v>7150</v>
      </c>
      <c r="B2860" t="str">
        <f>"8098"</f>
        <v>8098</v>
      </c>
      <c r="C2860" t="str">
        <f>"270728098"</f>
        <v>270728098</v>
      </c>
      <c r="D2860" t="s">
        <v>7151</v>
      </c>
      <c r="E2860" t="s">
        <v>7152</v>
      </c>
      <c r="F2860" t="s">
        <v>93</v>
      </c>
      <c r="G2860" s="1">
        <v>26667</v>
      </c>
      <c r="H2860" s="1">
        <v>40187</v>
      </c>
      <c r="I2860" t="str">
        <f t="shared" si="57"/>
        <v>51</v>
      </c>
      <c r="J2860" t="s">
        <v>471</v>
      </c>
      <c r="K2860" t="s">
        <v>25</v>
      </c>
      <c r="L2860" t="s">
        <v>26</v>
      </c>
      <c r="M2860" t="s">
        <v>27</v>
      </c>
      <c r="N2860" s="1">
        <v>18629</v>
      </c>
      <c r="O2860">
        <v>0</v>
      </c>
      <c r="P2860">
        <v>0</v>
      </c>
      <c r="Q2860" t="s">
        <v>28</v>
      </c>
      <c r="R2860" t="s">
        <v>71</v>
      </c>
      <c r="S2860" t="s">
        <v>6181</v>
      </c>
      <c r="T2860" t="s">
        <v>6182</v>
      </c>
    </row>
    <row r="2861" spans="1:20" x14ac:dyDescent="0.25">
      <c r="A2861" t="s">
        <v>7153</v>
      </c>
      <c r="B2861" t="str">
        <f>"1336"</f>
        <v>1336</v>
      </c>
      <c r="C2861" t="str">
        <f>"283681336"</f>
        <v>283681336</v>
      </c>
      <c r="D2861" t="s">
        <v>7154</v>
      </c>
      <c r="E2861" t="s">
        <v>1350</v>
      </c>
      <c r="F2861" t="s">
        <v>44</v>
      </c>
      <c r="G2861" s="1">
        <v>21885</v>
      </c>
      <c r="H2861" s="1">
        <v>40187</v>
      </c>
      <c r="I2861" t="str">
        <f t="shared" si="57"/>
        <v>51</v>
      </c>
      <c r="J2861" t="s">
        <v>471</v>
      </c>
      <c r="K2861" t="s">
        <v>25</v>
      </c>
      <c r="L2861" t="s">
        <v>26</v>
      </c>
      <c r="M2861" t="s">
        <v>27</v>
      </c>
      <c r="N2861" s="1">
        <v>18629</v>
      </c>
      <c r="O2861">
        <v>0</v>
      </c>
      <c r="P2861">
        <v>0</v>
      </c>
      <c r="Q2861" t="s">
        <v>37</v>
      </c>
      <c r="R2861" t="s">
        <v>71</v>
      </c>
      <c r="S2861" t="s">
        <v>790</v>
      </c>
      <c r="T2861" t="s">
        <v>791</v>
      </c>
    </row>
    <row r="2862" spans="1:20" x14ac:dyDescent="0.25">
      <c r="A2862" t="s">
        <v>7155</v>
      </c>
      <c r="B2862" t="str">
        <f>"6927"</f>
        <v>6927</v>
      </c>
      <c r="C2862" t="str">
        <f>"277466927"</f>
        <v>277466927</v>
      </c>
      <c r="D2862" t="s">
        <v>7156</v>
      </c>
      <c r="E2862" t="s">
        <v>7157</v>
      </c>
      <c r="G2862" s="1">
        <v>17917</v>
      </c>
      <c r="H2862" s="1">
        <v>40187</v>
      </c>
      <c r="I2862" t="str">
        <f t="shared" si="57"/>
        <v>51</v>
      </c>
      <c r="J2862" t="s">
        <v>471</v>
      </c>
      <c r="K2862" t="s">
        <v>25</v>
      </c>
      <c r="L2862" t="s">
        <v>26</v>
      </c>
      <c r="M2862" t="s">
        <v>27</v>
      </c>
      <c r="N2862" s="1">
        <v>18629</v>
      </c>
      <c r="O2862">
        <v>0</v>
      </c>
      <c r="P2862">
        <v>0</v>
      </c>
      <c r="Q2862" t="s">
        <v>28</v>
      </c>
      <c r="R2862" t="s">
        <v>71</v>
      </c>
      <c r="S2862" t="s">
        <v>305</v>
      </c>
      <c r="T2862" t="s">
        <v>306</v>
      </c>
    </row>
    <row r="2863" spans="1:20" x14ac:dyDescent="0.25">
      <c r="A2863" t="s">
        <v>7158</v>
      </c>
      <c r="B2863" t="str">
        <f>"0954"</f>
        <v>0954</v>
      </c>
      <c r="C2863" t="str">
        <f>"144700954"</f>
        <v>144700954</v>
      </c>
      <c r="D2863" t="s">
        <v>7159</v>
      </c>
      <c r="E2863" t="s">
        <v>1287</v>
      </c>
      <c r="G2863" s="1">
        <v>26526</v>
      </c>
      <c r="H2863" s="1">
        <v>40187</v>
      </c>
      <c r="I2863" t="str">
        <f t="shared" si="57"/>
        <v>51</v>
      </c>
      <c r="J2863" t="s">
        <v>471</v>
      </c>
      <c r="K2863" t="s">
        <v>25</v>
      </c>
      <c r="L2863" t="s">
        <v>26</v>
      </c>
      <c r="M2863" t="s">
        <v>27</v>
      </c>
      <c r="N2863" s="1">
        <v>18629</v>
      </c>
      <c r="O2863">
        <v>0</v>
      </c>
      <c r="P2863">
        <v>0</v>
      </c>
      <c r="Q2863" t="s">
        <v>37</v>
      </c>
      <c r="R2863" t="s">
        <v>71</v>
      </c>
      <c r="S2863" t="s">
        <v>5125</v>
      </c>
      <c r="T2863" t="s">
        <v>5126</v>
      </c>
    </row>
    <row r="2864" spans="1:20" x14ac:dyDescent="0.25">
      <c r="A2864" t="s">
        <v>7160</v>
      </c>
      <c r="B2864" t="str">
        <f>"5785"</f>
        <v>5785</v>
      </c>
      <c r="C2864" t="str">
        <f>"129585785"</f>
        <v>129585785</v>
      </c>
      <c r="D2864" t="s">
        <v>7161</v>
      </c>
      <c r="E2864" t="s">
        <v>109</v>
      </c>
      <c r="F2864" t="s">
        <v>629</v>
      </c>
      <c r="G2864" s="1">
        <v>28023</v>
      </c>
      <c r="H2864" s="1">
        <v>40187</v>
      </c>
      <c r="I2864" t="str">
        <f t="shared" si="57"/>
        <v>51</v>
      </c>
      <c r="J2864" t="s">
        <v>471</v>
      </c>
      <c r="K2864" t="s">
        <v>25</v>
      </c>
      <c r="L2864" t="s">
        <v>26</v>
      </c>
      <c r="M2864" t="s">
        <v>27</v>
      </c>
      <c r="N2864" s="1">
        <v>18629</v>
      </c>
      <c r="O2864">
        <v>0</v>
      </c>
      <c r="P2864">
        <v>0</v>
      </c>
      <c r="Q2864" t="s">
        <v>37</v>
      </c>
      <c r="R2864" t="s">
        <v>51</v>
      </c>
      <c r="S2864" s="2" t="s">
        <v>3730</v>
      </c>
      <c r="T2864" t="s">
        <v>3731</v>
      </c>
    </row>
    <row r="2865" spans="1:20" x14ac:dyDescent="0.25">
      <c r="A2865" t="s">
        <v>7162</v>
      </c>
      <c r="B2865" t="str">
        <f>"4759"</f>
        <v>4759</v>
      </c>
      <c r="C2865" t="str">
        <f>"278824759"</f>
        <v>278824759</v>
      </c>
      <c r="D2865" t="s">
        <v>7163</v>
      </c>
      <c r="E2865" t="s">
        <v>7164</v>
      </c>
      <c r="F2865" t="s">
        <v>264</v>
      </c>
      <c r="G2865" s="1">
        <v>27464</v>
      </c>
      <c r="H2865" s="1">
        <v>40187</v>
      </c>
      <c r="I2865" t="str">
        <f t="shared" si="57"/>
        <v>51</v>
      </c>
      <c r="J2865" t="s">
        <v>471</v>
      </c>
      <c r="K2865" t="s">
        <v>25</v>
      </c>
      <c r="L2865" t="s">
        <v>26</v>
      </c>
      <c r="M2865" t="s">
        <v>27</v>
      </c>
      <c r="N2865" s="1">
        <v>18629</v>
      </c>
      <c r="O2865">
        <v>0</v>
      </c>
      <c r="P2865">
        <v>0</v>
      </c>
      <c r="Q2865" t="s">
        <v>37</v>
      </c>
      <c r="R2865" t="s">
        <v>29</v>
      </c>
      <c r="S2865" t="s">
        <v>138</v>
      </c>
      <c r="T2865" t="s">
        <v>139</v>
      </c>
    </row>
    <row r="2866" spans="1:20" x14ac:dyDescent="0.25">
      <c r="A2866" t="s">
        <v>7165</v>
      </c>
      <c r="B2866" t="str">
        <f>"3160"</f>
        <v>3160</v>
      </c>
      <c r="C2866" t="str">
        <f>"276703160"</f>
        <v>276703160</v>
      </c>
      <c r="D2866" t="s">
        <v>7166</v>
      </c>
      <c r="E2866" t="s">
        <v>682</v>
      </c>
      <c r="F2866" t="s">
        <v>219</v>
      </c>
      <c r="G2866" s="1">
        <v>22890</v>
      </c>
      <c r="H2866" s="1">
        <v>40187</v>
      </c>
      <c r="I2866" t="str">
        <f t="shared" si="57"/>
        <v>51</v>
      </c>
      <c r="J2866" t="s">
        <v>471</v>
      </c>
      <c r="K2866" t="s">
        <v>25</v>
      </c>
      <c r="L2866" t="s">
        <v>26</v>
      </c>
      <c r="M2866" t="s">
        <v>27</v>
      </c>
      <c r="N2866" s="1">
        <v>18629</v>
      </c>
      <c r="O2866">
        <v>0</v>
      </c>
      <c r="P2866">
        <v>0</v>
      </c>
      <c r="Q2866" t="s">
        <v>37</v>
      </c>
      <c r="R2866" t="s">
        <v>29</v>
      </c>
      <c r="S2866" t="s">
        <v>138</v>
      </c>
      <c r="T2866" t="s">
        <v>139</v>
      </c>
    </row>
    <row r="2867" spans="1:20" x14ac:dyDescent="0.25">
      <c r="A2867" t="s">
        <v>7167</v>
      </c>
      <c r="B2867" t="str">
        <f>"0163"</f>
        <v>0163</v>
      </c>
      <c r="C2867" t="str">
        <f>"270920163"</f>
        <v>270920163</v>
      </c>
      <c r="D2867" t="s">
        <v>777</v>
      </c>
      <c r="E2867" t="s">
        <v>7168</v>
      </c>
      <c r="F2867" t="s">
        <v>219</v>
      </c>
      <c r="G2867" s="1">
        <v>27239</v>
      </c>
      <c r="H2867" s="1">
        <v>40187</v>
      </c>
      <c r="I2867" t="str">
        <f t="shared" si="57"/>
        <v>51</v>
      </c>
      <c r="J2867" t="s">
        <v>471</v>
      </c>
      <c r="K2867" t="s">
        <v>25</v>
      </c>
      <c r="L2867" t="s">
        <v>26</v>
      </c>
      <c r="M2867" t="s">
        <v>27</v>
      </c>
      <c r="N2867" s="1">
        <v>18629</v>
      </c>
      <c r="O2867">
        <v>0</v>
      </c>
      <c r="P2867">
        <v>0</v>
      </c>
      <c r="Q2867" t="s">
        <v>28</v>
      </c>
      <c r="R2867" t="s">
        <v>71</v>
      </c>
      <c r="S2867" t="s">
        <v>1681</v>
      </c>
      <c r="T2867" t="s">
        <v>1682</v>
      </c>
    </row>
    <row r="2868" spans="1:20" x14ac:dyDescent="0.25">
      <c r="A2868" t="s">
        <v>7169</v>
      </c>
      <c r="B2868" t="str">
        <f>"2766"</f>
        <v>2766</v>
      </c>
      <c r="C2868" t="str">
        <f>"302882766"</f>
        <v>302882766</v>
      </c>
      <c r="D2868" t="s">
        <v>7170</v>
      </c>
      <c r="E2868" t="s">
        <v>7171</v>
      </c>
      <c r="F2868" t="s">
        <v>28</v>
      </c>
      <c r="G2868" s="1">
        <v>29343</v>
      </c>
      <c r="H2868" s="1">
        <v>40187</v>
      </c>
      <c r="I2868" t="str">
        <f t="shared" si="57"/>
        <v>51</v>
      </c>
      <c r="J2868" t="s">
        <v>471</v>
      </c>
      <c r="K2868" t="s">
        <v>25</v>
      </c>
      <c r="L2868" t="s">
        <v>26</v>
      </c>
      <c r="M2868" t="s">
        <v>27</v>
      </c>
      <c r="N2868" s="1">
        <v>18629</v>
      </c>
      <c r="O2868">
        <v>0</v>
      </c>
      <c r="P2868">
        <v>0</v>
      </c>
      <c r="Q2868" t="s">
        <v>37</v>
      </c>
      <c r="R2868" t="s">
        <v>71</v>
      </c>
      <c r="S2868" t="s">
        <v>2634</v>
      </c>
      <c r="T2868" t="s">
        <v>2635</v>
      </c>
    </row>
    <row r="2869" spans="1:20" x14ac:dyDescent="0.25">
      <c r="A2869" t="s">
        <v>7172</v>
      </c>
      <c r="B2869" t="str">
        <f>"8464"</f>
        <v>8464</v>
      </c>
      <c r="C2869" t="str">
        <f>"275568464"</f>
        <v>275568464</v>
      </c>
      <c r="D2869" t="s">
        <v>7173</v>
      </c>
      <c r="E2869" t="s">
        <v>4054</v>
      </c>
      <c r="F2869" t="s">
        <v>37</v>
      </c>
      <c r="G2869" s="1">
        <v>25373</v>
      </c>
      <c r="H2869" s="1">
        <v>40187</v>
      </c>
      <c r="I2869" t="str">
        <f t="shared" si="57"/>
        <v>51</v>
      </c>
      <c r="J2869" t="s">
        <v>471</v>
      </c>
      <c r="K2869" t="s">
        <v>25</v>
      </c>
      <c r="L2869" t="s">
        <v>26</v>
      </c>
      <c r="M2869" t="s">
        <v>27</v>
      </c>
      <c r="N2869" s="1">
        <v>18629</v>
      </c>
      <c r="O2869">
        <v>0</v>
      </c>
      <c r="P2869">
        <v>0</v>
      </c>
      <c r="Q2869" t="s">
        <v>37</v>
      </c>
      <c r="R2869" t="s">
        <v>29</v>
      </c>
      <c r="S2869" t="s">
        <v>1427</v>
      </c>
      <c r="T2869" t="s">
        <v>1428</v>
      </c>
    </row>
    <row r="2870" spans="1:20" x14ac:dyDescent="0.25">
      <c r="A2870" t="s">
        <v>7174</v>
      </c>
      <c r="B2870" t="str">
        <f>"6045"</f>
        <v>6045</v>
      </c>
      <c r="C2870" t="str">
        <f>"285586045"</f>
        <v>285586045</v>
      </c>
      <c r="D2870" t="s">
        <v>7175</v>
      </c>
      <c r="E2870" t="s">
        <v>7176</v>
      </c>
      <c r="F2870" t="s">
        <v>629</v>
      </c>
      <c r="G2870" s="1">
        <v>22206</v>
      </c>
      <c r="H2870" s="1">
        <v>40187</v>
      </c>
      <c r="I2870" t="str">
        <f t="shared" si="57"/>
        <v>51</v>
      </c>
      <c r="J2870" t="s">
        <v>471</v>
      </c>
      <c r="K2870" t="s">
        <v>25</v>
      </c>
      <c r="L2870" t="s">
        <v>26</v>
      </c>
      <c r="M2870" t="s">
        <v>27</v>
      </c>
      <c r="N2870" s="1">
        <v>18629</v>
      </c>
      <c r="O2870">
        <v>0</v>
      </c>
      <c r="P2870">
        <v>0</v>
      </c>
      <c r="Q2870" t="s">
        <v>37</v>
      </c>
      <c r="R2870" t="s">
        <v>29</v>
      </c>
      <c r="S2870" t="s">
        <v>3588</v>
      </c>
      <c r="T2870" t="s">
        <v>3589</v>
      </c>
    </row>
    <row r="2871" spans="1:20" x14ac:dyDescent="0.25">
      <c r="A2871" t="s">
        <v>7177</v>
      </c>
      <c r="B2871" t="str">
        <f>"2634"</f>
        <v>2634</v>
      </c>
      <c r="C2871" t="str">
        <f>"398862634"</f>
        <v>398862634</v>
      </c>
      <c r="D2871" t="s">
        <v>7178</v>
      </c>
      <c r="E2871" t="s">
        <v>381</v>
      </c>
      <c r="F2871" t="s">
        <v>93</v>
      </c>
      <c r="G2871" s="1">
        <v>29262</v>
      </c>
      <c r="H2871" s="1">
        <v>40187</v>
      </c>
      <c r="I2871" t="str">
        <f t="shared" si="57"/>
        <v>51</v>
      </c>
      <c r="J2871" t="s">
        <v>471</v>
      </c>
      <c r="K2871" t="s">
        <v>25</v>
      </c>
      <c r="L2871" t="s">
        <v>26</v>
      </c>
      <c r="M2871" t="s">
        <v>27</v>
      </c>
      <c r="N2871" s="1">
        <v>18629</v>
      </c>
      <c r="O2871">
        <v>0</v>
      </c>
      <c r="P2871">
        <v>0</v>
      </c>
      <c r="Q2871" t="s">
        <v>37</v>
      </c>
      <c r="R2871" t="s">
        <v>71</v>
      </c>
      <c r="S2871" t="s">
        <v>790</v>
      </c>
      <c r="T2871" t="s">
        <v>791</v>
      </c>
    </row>
    <row r="2872" spans="1:20" x14ac:dyDescent="0.25">
      <c r="A2872" t="s">
        <v>7179</v>
      </c>
      <c r="B2872" t="str">
        <f>"7796"</f>
        <v>7796</v>
      </c>
      <c r="C2872" t="str">
        <f>"284627796"</f>
        <v>284627796</v>
      </c>
      <c r="D2872" t="s">
        <v>7180</v>
      </c>
      <c r="E2872" t="s">
        <v>789</v>
      </c>
      <c r="F2872" t="s">
        <v>358</v>
      </c>
      <c r="G2872" s="1">
        <v>26228</v>
      </c>
      <c r="H2872" s="1">
        <v>40187</v>
      </c>
      <c r="I2872" t="str">
        <f t="shared" si="57"/>
        <v>51</v>
      </c>
      <c r="J2872" t="s">
        <v>471</v>
      </c>
      <c r="K2872" t="s">
        <v>25</v>
      </c>
      <c r="L2872" t="s">
        <v>26</v>
      </c>
      <c r="M2872" t="s">
        <v>27</v>
      </c>
      <c r="N2872" s="1">
        <v>18629</v>
      </c>
      <c r="O2872">
        <v>0</v>
      </c>
      <c r="P2872">
        <v>0</v>
      </c>
      <c r="Q2872" t="s">
        <v>37</v>
      </c>
      <c r="R2872" t="s">
        <v>51</v>
      </c>
      <c r="S2872" s="2" t="s">
        <v>2524</v>
      </c>
      <c r="T2872" t="s">
        <v>2525</v>
      </c>
    </row>
    <row r="2873" spans="1:20" x14ac:dyDescent="0.25">
      <c r="A2873" t="s">
        <v>7181</v>
      </c>
      <c r="B2873" t="str">
        <f>"1213"</f>
        <v>1213</v>
      </c>
      <c r="C2873" t="str">
        <f>"282461213"</f>
        <v>282461213</v>
      </c>
      <c r="D2873" t="s">
        <v>7182</v>
      </c>
      <c r="E2873" t="s">
        <v>35</v>
      </c>
      <c r="F2873" t="s">
        <v>93</v>
      </c>
      <c r="G2873" s="1">
        <v>22325</v>
      </c>
      <c r="H2873" s="1">
        <v>40187</v>
      </c>
      <c r="I2873" t="str">
        <f t="shared" si="57"/>
        <v>51</v>
      </c>
      <c r="J2873" t="s">
        <v>471</v>
      </c>
      <c r="K2873" t="s">
        <v>25</v>
      </c>
      <c r="L2873" t="s">
        <v>26</v>
      </c>
      <c r="M2873" t="s">
        <v>27</v>
      </c>
      <c r="N2873" s="1">
        <v>18629</v>
      </c>
      <c r="O2873">
        <v>0</v>
      </c>
      <c r="P2873">
        <v>0</v>
      </c>
      <c r="Q2873" t="s">
        <v>28</v>
      </c>
      <c r="R2873" t="s">
        <v>71</v>
      </c>
      <c r="S2873" t="s">
        <v>1474</v>
      </c>
      <c r="T2873" t="s">
        <v>1475</v>
      </c>
    </row>
    <row r="2874" spans="1:20" x14ac:dyDescent="0.25">
      <c r="A2874" t="s">
        <v>7183</v>
      </c>
      <c r="B2874" t="str">
        <f>"2955"</f>
        <v>2955</v>
      </c>
      <c r="C2874" t="str">
        <f>"295822955"</f>
        <v>295822955</v>
      </c>
      <c r="D2874" t="s">
        <v>7184</v>
      </c>
      <c r="E2874" t="s">
        <v>48</v>
      </c>
      <c r="F2874" t="s">
        <v>28</v>
      </c>
      <c r="G2874" s="1">
        <v>31038</v>
      </c>
      <c r="H2874" s="1">
        <v>40187</v>
      </c>
      <c r="I2874" t="str">
        <f t="shared" si="57"/>
        <v>51</v>
      </c>
      <c r="J2874" t="s">
        <v>471</v>
      </c>
      <c r="K2874" t="s">
        <v>25</v>
      </c>
      <c r="L2874" t="s">
        <v>26</v>
      </c>
      <c r="M2874" t="s">
        <v>27</v>
      </c>
      <c r="N2874" s="1">
        <v>18629</v>
      </c>
      <c r="O2874">
        <v>0</v>
      </c>
      <c r="P2874">
        <v>0</v>
      </c>
      <c r="Q2874" t="s">
        <v>37</v>
      </c>
      <c r="R2874" t="s">
        <v>71</v>
      </c>
      <c r="S2874" t="s">
        <v>808</v>
      </c>
      <c r="T2874" t="s">
        <v>809</v>
      </c>
    </row>
    <row r="2875" spans="1:20" x14ac:dyDescent="0.25">
      <c r="A2875" t="s">
        <v>7185</v>
      </c>
      <c r="B2875" t="str">
        <f>"9482"</f>
        <v>9482</v>
      </c>
      <c r="C2875" t="str">
        <f>"275529482"</f>
        <v>275529482</v>
      </c>
      <c r="D2875" t="s">
        <v>7186</v>
      </c>
      <c r="E2875" t="s">
        <v>1247</v>
      </c>
      <c r="F2875" t="s">
        <v>97</v>
      </c>
      <c r="G2875" s="1">
        <v>19223</v>
      </c>
      <c r="H2875" s="1">
        <v>40187</v>
      </c>
      <c r="I2875" t="str">
        <f t="shared" si="57"/>
        <v>51</v>
      </c>
      <c r="J2875" t="s">
        <v>471</v>
      </c>
      <c r="K2875" t="s">
        <v>25</v>
      </c>
      <c r="L2875" t="s">
        <v>26</v>
      </c>
      <c r="M2875" t="s">
        <v>27</v>
      </c>
      <c r="N2875" s="1">
        <v>18629</v>
      </c>
      <c r="O2875">
        <v>0</v>
      </c>
      <c r="P2875">
        <v>0</v>
      </c>
      <c r="Q2875" t="s">
        <v>28</v>
      </c>
      <c r="R2875" t="s">
        <v>71</v>
      </c>
      <c r="S2875" t="s">
        <v>2634</v>
      </c>
      <c r="T2875" t="s">
        <v>2635</v>
      </c>
    </row>
    <row r="2876" spans="1:20" x14ac:dyDescent="0.25">
      <c r="A2876" t="s">
        <v>7187</v>
      </c>
      <c r="B2876" t="str">
        <f>"2468"</f>
        <v>2468</v>
      </c>
      <c r="C2876" t="str">
        <f>"276942468"</f>
        <v>276942468</v>
      </c>
      <c r="D2876" t="s">
        <v>4275</v>
      </c>
      <c r="E2876" t="s">
        <v>7188</v>
      </c>
      <c r="F2876" t="s">
        <v>7189</v>
      </c>
      <c r="G2876" s="1">
        <v>28069</v>
      </c>
      <c r="H2876" s="1">
        <v>40187</v>
      </c>
      <c r="I2876" t="str">
        <f t="shared" si="57"/>
        <v>51</v>
      </c>
      <c r="J2876" t="s">
        <v>471</v>
      </c>
      <c r="K2876" t="s">
        <v>25</v>
      </c>
      <c r="L2876" t="s">
        <v>26</v>
      </c>
      <c r="M2876" t="s">
        <v>27</v>
      </c>
      <c r="N2876" s="1">
        <v>18629</v>
      </c>
      <c r="O2876">
        <v>0</v>
      </c>
      <c r="P2876">
        <v>0</v>
      </c>
      <c r="Q2876" t="s">
        <v>37</v>
      </c>
      <c r="R2876" t="s">
        <v>71</v>
      </c>
      <c r="S2876" t="s">
        <v>1186</v>
      </c>
      <c r="T2876" t="s">
        <v>1187</v>
      </c>
    </row>
    <row r="2877" spans="1:20" x14ac:dyDescent="0.25">
      <c r="A2877" t="s">
        <v>7190</v>
      </c>
      <c r="B2877" t="str">
        <f>"8539"</f>
        <v>8539</v>
      </c>
      <c r="C2877" t="str">
        <f>"290468539"</f>
        <v>290468539</v>
      </c>
      <c r="D2877" t="s">
        <v>4491</v>
      </c>
      <c r="E2877" t="s">
        <v>5693</v>
      </c>
      <c r="F2877" t="s">
        <v>438</v>
      </c>
      <c r="G2877" s="1">
        <v>18020</v>
      </c>
      <c r="H2877" s="1">
        <v>40187</v>
      </c>
      <c r="I2877" t="str">
        <f t="shared" si="57"/>
        <v>51</v>
      </c>
      <c r="J2877" t="s">
        <v>471</v>
      </c>
      <c r="K2877" t="s">
        <v>25</v>
      </c>
      <c r="L2877" t="s">
        <v>26</v>
      </c>
      <c r="M2877" t="s">
        <v>27</v>
      </c>
      <c r="N2877" s="1">
        <v>18629</v>
      </c>
      <c r="O2877">
        <v>0</v>
      </c>
      <c r="P2877">
        <v>0</v>
      </c>
      <c r="Q2877" t="s">
        <v>28</v>
      </c>
      <c r="R2877" t="s">
        <v>51</v>
      </c>
      <c r="S2877" s="2" t="s">
        <v>4664</v>
      </c>
      <c r="T2877" t="s">
        <v>4665</v>
      </c>
    </row>
    <row r="2878" spans="1:20" x14ac:dyDescent="0.25">
      <c r="A2878" t="s">
        <v>7191</v>
      </c>
      <c r="B2878" t="str">
        <f>"8887"</f>
        <v>8887</v>
      </c>
      <c r="C2878" t="str">
        <f>"560438887"</f>
        <v>560438887</v>
      </c>
      <c r="D2878" t="s">
        <v>7192</v>
      </c>
      <c r="E2878" t="s">
        <v>3032</v>
      </c>
      <c r="F2878" t="s">
        <v>7193</v>
      </c>
      <c r="G2878" s="1">
        <v>19252</v>
      </c>
      <c r="H2878" s="1">
        <v>40187</v>
      </c>
      <c r="I2878" t="str">
        <f t="shared" si="57"/>
        <v>51</v>
      </c>
      <c r="J2878" t="s">
        <v>471</v>
      </c>
      <c r="K2878" t="s">
        <v>25</v>
      </c>
      <c r="L2878" t="s">
        <v>26</v>
      </c>
      <c r="M2878" t="s">
        <v>27</v>
      </c>
      <c r="N2878" s="1">
        <v>18629</v>
      </c>
      <c r="O2878">
        <v>0</v>
      </c>
      <c r="P2878">
        <v>0</v>
      </c>
      <c r="Q2878" t="s">
        <v>28</v>
      </c>
      <c r="R2878" t="s">
        <v>29</v>
      </c>
      <c r="S2878" t="s">
        <v>6647</v>
      </c>
      <c r="T2878" t="s">
        <v>6648</v>
      </c>
    </row>
    <row r="2879" spans="1:20" x14ac:dyDescent="0.25">
      <c r="A2879" t="s">
        <v>7194</v>
      </c>
      <c r="B2879" t="str">
        <f>"1856"</f>
        <v>1856</v>
      </c>
      <c r="C2879" t="str">
        <f>"299441856"</f>
        <v>299441856</v>
      </c>
      <c r="D2879" t="s">
        <v>7195</v>
      </c>
      <c r="E2879" t="s">
        <v>481</v>
      </c>
      <c r="F2879" t="s">
        <v>7196</v>
      </c>
      <c r="G2879" s="1">
        <v>16915</v>
      </c>
      <c r="H2879" s="1">
        <v>40187</v>
      </c>
      <c r="I2879" t="str">
        <f t="shared" si="57"/>
        <v>51</v>
      </c>
      <c r="J2879" t="s">
        <v>471</v>
      </c>
      <c r="K2879" t="s">
        <v>25</v>
      </c>
      <c r="L2879" t="s">
        <v>26</v>
      </c>
      <c r="M2879" t="s">
        <v>27</v>
      </c>
      <c r="N2879" s="1">
        <v>18629</v>
      </c>
      <c r="O2879">
        <v>0</v>
      </c>
      <c r="P2879">
        <v>0</v>
      </c>
      <c r="Q2879" t="s">
        <v>28</v>
      </c>
      <c r="R2879" t="s">
        <v>29</v>
      </c>
      <c r="S2879" t="s">
        <v>1204</v>
      </c>
      <c r="T2879" t="s">
        <v>1205</v>
      </c>
    </row>
    <row r="2880" spans="1:20" x14ac:dyDescent="0.25">
      <c r="A2880" t="s">
        <v>7197</v>
      </c>
      <c r="B2880" t="str">
        <f>"4178"</f>
        <v>4178</v>
      </c>
      <c r="C2880" t="str">
        <f>"284524178"</f>
        <v>284524178</v>
      </c>
      <c r="D2880" t="s">
        <v>7198</v>
      </c>
      <c r="E2880" t="s">
        <v>5644</v>
      </c>
      <c r="F2880" t="s">
        <v>358</v>
      </c>
      <c r="G2880" s="1">
        <v>24713</v>
      </c>
      <c r="H2880" s="1">
        <v>40187</v>
      </c>
      <c r="I2880" t="str">
        <f t="shared" si="57"/>
        <v>51</v>
      </c>
      <c r="J2880" t="s">
        <v>471</v>
      </c>
      <c r="K2880" t="s">
        <v>25</v>
      </c>
      <c r="L2880" t="s">
        <v>26</v>
      </c>
      <c r="M2880" t="s">
        <v>27</v>
      </c>
      <c r="N2880" s="1">
        <v>18629</v>
      </c>
      <c r="O2880">
        <v>0</v>
      </c>
      <c r="P2880">
        <v>0</v>
      </c>
      <c r="Q2880" t="s">
        <v>37</v>
      </c>
      <c r="R2880" t="s">
        <v>29</v>
      </c>
      <c r="S2880" t="s">
        <v>765</v>
      </c>
      <c r="T2880" t="s">
        <v>766</v>
      </c>
    </row>
    <row r="2881" spans="1:20" x14ac:dyDescent="0.25">
      <c r="A2881" t="s">
        <v>7199</v>
      </c>
      <c r="B2881" t="str">
        <f>"6248"</f>
        <v>6248</v>
      </c>
      <c r="C2881" t="str">
        <f>"272446248"</f>
        <v>272446248</v>
      </c>
      <c r="D2881" t="s">
        <v>6161</v>
      </c>
      <c r="E2881" t="s">
        <v>6270</v>
      </c>
      <c r="G2881" s="1">
        <v>17403</v>
      </c>
      <c r="H2881" s="1">
        <v>40187</v>
      </c>
      <c r="I2881" t="str">
        <f t="shared" si="57"/>
        <v>51</v>
      </c>
      <c r="J2881" t="s">
        <v>471</v>
      </c>
      <c r="K2881" t="s">
        <v>25</v>
      </c>
      <c r="L2881" t="s">
        <v>26</v>
      </c>
      <c r="M2881" t="s">
        <v>27</v>
      </c>
      <c r="N2881" s="1">
        <v>18629</v>
      </c>
      <c r="O2881">
        <v>0</v>
      </c>
      <c r="P2881">
        <v>0</v>
      </c>
      <c r="Q2881" t="s">
        <v>37</v>
      </c>
      <c r="R2881" t="s">
        <v>29</v>
      </c>
      <c r="S2881" t="s">
        <v>1427</v>
      </c>
      <c r="T2881" t="s">
        <v>1428</v>
      </c>
    </row>
    <row r="2882" spans="1:20" x14ac:dyDescent="0.25">
      <c r="A2882" t="s">
        <v>7200</v>
      </c>
      <c r="B2882" t="str">
        <f>"6612"</f>
        <v>6612</v>
      </c>
      <c r="C2882" t="str">
        <f>"298706612"</f>
        <v>298706612</v>
      </c>
      <c r="D2882" t="s">
        <v>7201</v>
      </c>
      <c r="E2882" t="s">
        <v>3059</v>
      </c>
      <c r="F2882" t="s">
        <v>264</v>
      </c>
      <c r="G2882" s="1">
        <v>24707</v>
      </c>
      <c r="H2882" s="1">
        <v>40187</v>
      </c>
      <c r="I2882" t="str">
        <f t="shared" si="57"/>
        <v>51</v>
      </c>
      <c r="J2882" t="s">
        <v>471</v>
      </c>
      <c r="K2882" t="s">
        <v>25</v>
      </c>
      <c r="L2882" t="s">
        <v>26</v>
      </c>
      <c r="M2882" t="s">
        <v>27</v>
      </c>
      <c r="N2882" s="1">
        <v>18629</v>
      </c>
      <c r="O2882">
        <v>0</v>
      </c>
      <c r="P2882">
        <v>0</v>
      </c>
      <c r="Q2882" t="s">
        <v>37</v>
      </c>
      <c r="R2882" t="s">
        <v>29</v>
      </c>
      <c r="S2882" t="s">
        <v>138</v>
      </c>
      <c r="T2882" t="s">
        <v>139</v>
      </c>
    </row>
    <row r="2883" spans="1:20" x14ac:dyDescent="0.25">
      <c r="A2883" t="s">
        <v>7202</v>
      </c>
      <c r="B2883" t="str">
        <f>"9408"</f>
        <v>9408</v>
      </c>
      <c r="C2883" t="str">
        <f>"079629408"</f>
        <v>079629408</v>
      </c>
      <c r="D2883" t="s">
        <v>7203</v>
      </c>
      <c r="E2883" t="s">
        <v>6270</v>
      </c>
      <c r="F2883" t="s">
        <v>37</v>
      </c>
      <c r="G2883" s="1">
        <v>26948</v>
      </c>
      <c r="H2883" s="1">
        <v>40187</v>
      </c>
      <c r="I2883" t="str">
        <f t="shared" si="57"/>
        <v>51</v>
      </c>
      <c r="J2883" t="s">
        <v>471</v>
      </c>
      <c r="K2883" t="s">
        <v>25</v>
      </c>
      <c r="L2883" t="s">
        <v>26</v>
      </c>
      <c r="M2883" t="s">
        <v>27</v>
      </c>
      <c r="N2883" s="1">
        <v>18629</v>
      </c>
      <c r="O2883">
        <v>0</v>
      </c>
      <c r="P2883">
        <v>0</v>
      </c>
      <c r="Q2883" t="s">
        <v>37</v>
      </c>
      <c r="R2883" t="s">
        <v>51</v>
      </c>
      <c r="S2883" s="2" t="s">
        <v>839</v>
      </c>
      <c r="T2883" t="s">
        <v>840</v>
      </c>
    </row>
    <row r="2884" spans="1:20" x14ac:dyDescent="0.25">
      <c r="A2884" t="s">
        <v>7204</v>
      </c>
      <c r="B2884" t="str">
        <f>"4438"</f>
        <v>4438</v>
      </c>
      <c r="C2884" t="str">
        <f>"100704438"</f>
        <v>100704438</v>
      </c>
      <c r="D2884" t="s">
        <v>7205</v>
      </c>
      <c r="E2884" t="s">
        <v>2177</v>
      </c>
      <c r="F2884" t="s">
        <v>256</v>
      </c>
      <c r="G2884" s="1">
        <v>25721</v>
      </c>
      <c r="H2884" s="1">
        <v>40187</v>
      </c>
      <c r="I2884" t="str">
        <f t="shared" si="57"/>
        <v>51</v>
      </c>
      <c r="J2884" t="s">
        <v>471</v>
      </c>
      <c r="K2884" t="s">
        <v>25</v>
      </c>
      <c r="L2884" t="s">
        <v>26</v>
      </c>
      <c r="M2884" t="s">
        <v>27</v>
      </c>
      <c r="N2884" s="1">
        <v>18629</v>
      </c>
      <c r="O2884">
        <v>0</v>
      </c>
      <c r="P2884">
        <v>0</v>
      </c>
      <c r="Q2884" t="s">
        <v>37</v>
      </c>
      <c r="R2884" t="s">
        <v>29</v>
      </c>
      <c r="S2884" t="s">
        <v>2736</v>
      </c>
      <c r="T2884" t="s">
        <v>2737</v>
      </c>
    </row>
    <row r="2885" spans="1:20" x14ac:dyDescent="0.25">
      <c r="A2885" t="s">
        <v>7206</v>
      </c>
      <c r="B2885" t="str">
        <f>"0448"</f>
        <v>0448</v>
      </c>
      <c r="C2885" t="str">
        <f>"164720448"</f>
        <v>164720448</v>
      </c>
      <c r="D2885" t="s">
        <v>7207</v>
      </c>
      <c r="E2885" t="s">
        <v>7208</v>
      </c>
      <c r="F2885" t="s">
        <v>37</v>
      </c>
      <c r="G2885" s="1">
        <v>30540</v>
      </c>
      <c r="H2885" s="1">
        <v>40187</v>
      </c>
      <c r="I2885" t="str">
        <f t="shared" si="57"/>
        <v>51</v>
      </c>
      <c r="J2885" t="s">
        <v>471</v>
      </c>
      <c r="K2885" t="s">
        <v>25</v>
      </c>
      <c r="L2885" t="s">
        <v>26</v>
      </c>
      <c r="M2885" t="s">
        <v>27</v>
      </c>
      <c r="N2885" s="1">
        <v>18629</v>
      </c>
      <c r="O2885">
        <v>0</v>
      </c>
      <c r="P2885">
        <v>0</v>
      </c>
      <c r="Q2885" t="s">
        <v>28</v>
      </c>
      <c r="R2885" t="s">
        <v>71</v>
      </c>
      <c r="S2885" t="s">
        <v>305</v>
      </c>
      <c r="T2885" t="s">
        <v>306</v>
      </c>
    </row>
    <row r="2886" spans="1:20" x14ac:dyDescent="0.25">
      <c r="A2886" t="s">
        <v>7209</v>
      </c>
      <c r="B2886" t="str">
        <f>"4283"</f>
        <v>4283</v>
      </c>
      <c r="C2886" t="str">
        <f>"295384283"</f>
        <v>295384283</v>
      </c>
      <c r="D2886" t="s">
        <v>7210</v>
      </c>
      <c r="E2886" t="s">
        <v>988</v>
      </c>
      <c r="F2886" t="s">
        <v>165</v>
      </c>
      <c r="G2886" s="1">
        <v>15985</v>
      </c>
      <c r="H2886" s="1">
        <v>40187</v>
      </c>
      <c r="I2886" t="str">
        <f t="shared" si="57"/>
        <v>51</v>
      </c>
      <c r="J2886" t="s">
        <v>471</v>
      </c>
      <c r="K2886" t="s">
        <v>25</v>
      </c>
      <c r="L2886" t="s">
        <v>26</v>
      </c>
      <c r="M2886" t="s">
        <v>27</v>
      </c>
      <c r="N2886" s="1">
        <v>18629</v>
      </c>
      <c r="O2886">
        <v>0</v>
      </c>
      <c r="P2886">
        <v>0</v>
      </c>
      <c r="Q2886" t="s">
        <v>28</v>
      </c>
      <c r="R2886" t="s">
        <v>71</v>
      </c>
      <c r="S2886" t="s">
        <v>7211</v>
      </c>
      <c r="T2886" t="s">
        <v>7212</v>
      </c>
    </row>
    <row r="2887" spans="1:20" x14ac:dyDescent="0.25">
      <c r="A2887" t="s">
        <v>7213</v>
      </c>
      <c r="B2887" t="str">
        <f>"9541"</f>
        <v>9541</v>
      </c>
      <c r="C2887" t="str">
        <f>"281469541"</f>
        <v>281469541</v>
      </c>
      <c r="D2887" t="s">
        <v>7214</v>
      </c>
      <c r="E2887" t="s">
        <v>7215</v>
      </c>
      <c r="F2887" t="s">
        <v>7216</v>
      </c>
      <c r="G2887" s="1">
        <v>17927</v>
      </c>
      <c r="H2887" s="1">
        <v>40187</v>
      </c>
      <c r="I2887" t="str">
        <f t="shared" si="57"/>
        <v>51</v>
      </c>
      <c r="J2887" t="s">
        <v>471</v>
      </c>
      <c r="K2887" t="s">
        <v>25</v>
      </c>
      <c r="L2887" t="s">
        <v>26</v>
      </c>
      <c r="M2887" t="s">
        <v>27</v>
      </c>
      <c r="N2887" s="1">
        <v>18629</v>
      </c>
      <c r="O2887">
        <v>0</v>
      </c>
      <c r="P2887">
        <v>0</v>
      </c>
      <c r="Q2887" t="s">
        <v>28</v>
      </c>
      <c r="R2887" t="s">
        <v>51</v>
      </c>
      <c r="S2887" s="2" t="s">
        <v>6142</v>
      </c>
      <c r="T2887" t="s">
        <v>6143</v>
      </c>
    </row>
    <row r="2888" spans="1:20" x14ac:dyDescent="0.25">
      <c r="A2888" t="s">
        <v>7217</v>
      </c>
      <c r="B2888" t="str">
        <f>"6364"</f>
        <v>6364</v>
      </c>
      <c r="C2888" t="str">
        <f>"278886364"</f>
        <v>278886364</v>
      </c>
      <c r="D2888" t="s">
        <v>7218</v>
      </c>
      <c r="E2888" t="s">
        <v>7219</v>
      </c>
      <c r="F2888" t="s">
        <v>239</v>
      </c>
      <c r="G2888" s="1">
        <v>26368</v>
      </c>
      <c r="H2888" s="1">
        <v>40187</v>
      </c>
      <c r="I2888" t="str">
        <f t="shared" si="57"/>
        <v>51</v>
      </c>
      <c r="J2888" t="s">
        <v>471</v>
      </c>
      <c r="K2888" t="s">
        <v>25</v>
      </c>
      <c r="L2888" t="s">
        <v>26</v>
      </c>
      <c r="M2888" t="s">
        <v>27</v>
      </c>
      <c r="N2888" s="1">
        <v>18629</v>
      </c>
      <c r="O2888">
        <v>0</v>
      </c>
      <c r="P2888">
        <v>0</v>
      </c>
      <c r="Q2888" t="s">
        <v>28</v>
      </c>
      <c r="R2888" t="s">
        <v>71</v>
      </c>
      <c r="S2888" t="s">
        <v>157</v>
      </c>
      <c r="T2888" t="s">
        <v>158</v>
      </c>
    </row>
    <row r="2889" spans="1:20" x14ac:dyDescent="0.25">
      <c r="A2889" t="s">
        <v>7220</v>
      </c>
      <c r="B2889" t="str">
        <f>"3918"</f>
        <v>3918</v>
      </c>
      <c r="C2889" t="str">
        <f>"279683918"</f>
        <v>279683918</v>
      </c>
      <c r="D2889" t="s">
        <v>2705</v>
      </c>
      <c r="E2889" t="s">
        <v>3646</v>
      </c>
      <c r="F2889" t="s">
        <v>329</v>
      </c>
      <c r="G2889" s="1">
        <v>24244</v>
      </c>
      <c r="H2889" s="1">
        <v>40187</v>
      </c>
      <c r="I2889" t="str">
        <f t="shared" si="57"/>
        <v>51</v>
      </c>
      <c r="J2889" t="s">
        <v>471</v>
      </c>
      <c r="K2889" t="s">
        <v>25</v>
      </c>
      <c r="L2889" t="s">
        <v>26</v>
      </c>
      <c r="M2889" t="s">
        <v>27</v>
      </c>
      <c r="N2889" s="1">
        <v>18629</v>
      </c>
      <c r="O2889">
        <v>0</v>
      </c>
      <c r="P2889">
        <v>0</v>
      </c>
      <c r="Q2889" t="s">
        <v>28</v>
      </c>
      <c r="R2889" t="s">
        <v>71</v>
      </c>
      <c r="S2889" t="s">
        <v>2634</v>
      </c>
      <c r="T2889" t="s">
        <v>2635</v>
      </c>
    </row>
    <row r="2890" spans="1:20" x14ac:dyDescent="0.25">
      <c r="A2890" t="s">
        <v>7221</v>
      </c>
      <c r="B2890" t="str">
        <f>"7563"</f>
        <v>7563</v>
      </c>
      <c r="C2890" t="str">
        <f>"292527563"</f>
        <v>292527563</v>
      </c>
      <c r="D2890" t="s">
        <v>7222</v>
      </c>
      <c r="E2890" t="s">
        <v>381</v>
      </c>
      <c r="F2890" t="s">
        <v>44</v>
      </c>
      <c r="G2890" s="1">
        <v>19038</v>
      </c>
      <c r="H2890" s="1">
        <v>40187</v>
      </c>
      <c r="I2890" t="str">
        <f t="shared" si="57"/>
        <v>51</v>
      </c>
      <c r="J2890" t="s">
        <v>471</v>
      </c>
      <c r="K2890" t="s">
        <v>25</v>
      </c>
      <c r="L2890" t="s">
        <v>26</v>
      </c>
      <c r="M2890" t="s">
        <v>27</v>
      </c>
      <c r="N2890" s="1">
        <v>18629</v>
      </c>
      <c r="O2890">
        <v>0</v>
      </c>
      <c r="P2890">
        <v>0</v>
      </c>
      <c r="Q2890" t="s">
        <v>37</v>
      </c>
      <c r="R2890" t="s">
        <v>29</v>
      </c>
      <c r="S2890" t="s">
        <v>138</v>
      </c>
      <c r="T2890" t="s">
        <v>139</v>
      </c>
    </row>
    <row r="2891" spans="1:20" x14ac:dyDescent="0.25">
      <c r="A2891" t="s">
        <v>7223</v>
      </c>
      <c r="B2891" t="str">
        <f>"3703"</f>
        <v>3703</v>
      </c>
      <c r="C2891" t="str">
        <f>"268743703"</f>
        <v>268743703</v>
      </c>
      <c r="D2891" t="s">
        <v>7224</v>
      </c>
      <c r="E2891" t="s">
        <v>2194</v>
      </c>
      <c r="G2891" s="1">
        <v>22826</v>
      </c>
      <c r="H2891" s="1">
        <v>40187</v>
      </c>
      <c r="I2891" t="str">
        <f t="shared" si="57"/>
        <v>51</v>
      </c>
      <c r="J2891" t="s">
        <v>471</v>
      </c>
      <c r="K2891" t="s">
        <v>25</v>
      </c>
      <c r="L2891" t="s">
        <v>26</v>
      </c>
      <c r="M2891" t="s">
        <v>27</v>
      </c>
      <c r="N2891" s="1">
        <v>18629</v>
      </c>
      <c r="O2891">
        <v>0</v>
      </c>
      <c r="P2891">
        <v>0</v>
      </c>
      <c r="Q2891" t="s">
        <v>28</v>
      </c>
      <c r="R2891" t="s">
        <v>29</v>
      </c>
      <c r="S2891" t="s">
        <v>6132</v>
      </c>
      <c r="T2891" t="s">
        <v>6133</v>
      </c>
    </row>
    <row r="2892" spans="1:20" x14ac:dyDescent="0.25">
      <c r="A2892" t="s">
        <v>7225</v>
      </c>
      <c r="B2892" t="str">
        <f>"2605"</f>
        <v>2605</v>
      </c>
      <c r="C2892" t="str">
        <f>"296862605"</f>
        <v>296862605</v>
      </c>
      <c r="D2892" t="s">
        <v>7226</v>
      </c>
      <c r="E2892" t="s">
        <v>7227</v>
      </c>
      <c r="F2892" t="s">
        <v>93</v>
      </c>
      <c r="G2892" s="1">
        <v>29537</v>
      </c>
      <c r="H2892" s="1">
        <v>40187</v>
      </c>
      <c r="I2892" t="str">
        <f>"33"</f>
        <v>33</v>
      </c>
      <c r="J2892" t="s">
        <v>45</v>
      </c>
      <c r="K2892" t="s">
        <v>25</v>
      </c>
      <c r="L2892" t="s">
        <v>26</v>
      </c>
      <c r="M2892" t="s">
        <v>27</v>
      </c>
      <c r="N2892" s="1">
        <v>18629</v>
      </c>
      <c r="O2892">
        <v>0</v>
      </c>
      <c r="P2892">
        <v>0</v>
      </c>
      <c r="Q2892" t="s">
        <v>37</v>
      </c>
      <c r="R2892" t="s">
        <v>29</v>
      </c>
      <c r="S2892" t="s">
        <v>1572</v>
      </c>
      <c r="T2892" t="s">
        <v>1573</v>
      </c>
    </row>
    <row r="2893" spans="1:20" x14ac:dyDescent="0.25">
      <c r="A2893" t="s">
        <v>7228</v>
      </c>
      <c r="B2893" t="str">
        <f>"8633"</f>
        <v>8633</v>
      </c>
      <c r="C2893" t="str">
        <f>"285848633"</f>
        <v>285848633</v>
      </c>
      <c r="D2893" t="s">
        <v>6326</v>
      </c>
      <c r="E2893" t="s">
        <v>4229</v>
      </c>
      <c r="F2893" t="s">
        <v>1450</v>
      </c>
      <c r="G2893" s="1">
        <v>25716</v>
      </c>
      <c r="H2893" s="1">
        <v>40187</v>
      </c>
      <c r="I2893" t="str">
        <f>"51"</f>
        <v>51</v>
      </c>
      <c r="J2893" t="s">
        <v>471</v>
      </c>
      <c r="K2893" t="s">
        <v>25</v>
      </c>
      <c r="L2893" t="s">
        <v>26</v>
      </c>
      <c r="M2893" t="s">
        <v>27</v>
      </c>
      <c r="N2893" s="1">
        <v>18629</v>
      </c>
      <c r="O2893">
        <v>0</v>
      </c>
      <c r="P2893">
        <v>0</v>
      </c>
      <c r="Q2893" t="s">
        <v>28</v>
      </c>
      <c r="R2893" t="s">
        <v>51</v>
      </c>
      <c r="S2893" t="s">
        <v>2699</v>
      </c>
      <c r="T2893" t="s">
        <v>2700</v>
      </c>
    </row>
    <row r="2894" spans="1:20" x14ac:dyDescent="0.25">
      <c r="A2894" t="s">
        <v>7229</v>
      </c>
      <c r="B2894" t="str">
        <f>"2627"</f>
        <v>2627</v>
      </c>
      <c r="C2894" t="str">
        <f>"281782627"</f>
        <v>281782627</v>
      </c>
      <c r="D2894" t="s">
        <v>310</v>
      </c>
      <c r="E2894" t="s">
        <v>227</v>
      </c>
      <c r="F2894" t="s">
        <v>165</v>
      </c>
      <c r="G2894" s="1">
        <v>27655</v>
      </c>
      <c r="H2894" s="1">
        <v>40187</v>
      </c>
      <c r="I2894" t="str">
        <f>"51"</f>
        <v>51</v>
      </c>
      <c r="J2894" t="s">
        <v>471</v>
      </c>
      <c r="K2894" t="s">
        <v>25</v>
      </c>
      <c r="L2894" t="s">
        <v>26</v>
      </c>
      <c r="M2894" t="s">
        <v>27</v>
      </c>
      <c r="N2894" s="1">
        <v>18629</v>
      </c>
      <c r="O2894">
        <v>0</v>
      </c>
      <c r="P2894">
        <v>0</v>
      </c>
      <c r="Q2894" t="s">
        <v>28</v>
      </c>
      <c r="R2894" t="s">
        <v>29</v>
      </c>
      <c r="S2894" t="s">
        <v>717</v>
      </c>
      <c r="T2894" t="s">
        <v>718</v>
      </c>
    </row>
    <row r="2895" spans="1:20" x14ac:dyDescent="0.25">
      <c r="A2895" t="s">
        <v>7230</v>
      </c>
      <c r="B2895" t="str">
        <f>"0779"</f>
        <v>0779</v>
      </c>
      <c r="C2895" t="str">
        <f>"157420779"</f>
        <v>157420779</v>
      </c>
      <c r="D2895" t="s">
        <v>7231</v>
      </c>
      <c r="E2895" t="s">
        <v>7232</v>
      </c>
      <c r="F2895" t="s">
        <v>2075</v>
      </c>
      <c r="G2895" s="1">
        <v>18289</v>
      </c>
      <c r="H2895" s="1">
        <v>40187</v>
      </c>
      <c r="I2895" t="str">
        <f>"51"</f>
        <v>51</v>
      </c>
      <c r="J2895" t="s">
        <v>471</v>
      </c>
      <c r="K2895" t="s">
        <v>25</v>
      </c>
      <c r="L2895" t="s">
        <v>26</v>
      </c>
      <c r="M2895" t="s">
        <v>27</v>
      </c>
      <c r="N2895" s="1">
        <v>18629</v>
      </c>
      <c r="O2895">
        <v>0</v>
      </c>
      <c r="P2895">
        <v>0</v>
      </c>
      <c r="Q2895" t="s">
        <v>37</v>
      </c>
      <c r="R2895" t="s">
        <v>71</v>
      </c>
      <c r="S2895" t="s">
        <v>1610</v>
      </c>
      <c r="T2895" t="s">
        <v>1611</v>
      </c>
    </row>
    <row r="2896" spans="1:20" x14ac:dyDescent="0.25">
      <c r="A2896" t="s">
        <v>7233</v>
      </c>
      <c r="B2896" t="str">
        <f>"9716"</f>
        <v>9716</v>
      </c>
      <c r="C2896" t="str">
        <f>"288749716"</f>
        <v>288749716</v>
      </c>
      <c r="D2896" t="s">
        <v>2064</v>
      </c>
      <c r="E2896" t="s">
        <v>49</v>
      </c>
      <c r="F2896" t="s">
        <v>190</v>
      </c>
      <c r="G2896" s="1">
        <v>28528</v>
      </c>
      <c r="H2896" s="1">
        <v>40182</v>
      </c>
      <c r="I2896" t="str">
        <f>"30"</f>
        <v>30</v>
      </c>
      <c r="J2896" t="s">
        <v>50</v>
      </c>
      <c r="K2896" t="s">
        <v>25</v>
      </c>
      <c r="L2896" t="s">
        <v>26</v>
      </c>
      <c r="M2896" t="s">
        <v>27</v>
      </c>
      <c r="N2896" s="1">
        <v>18629</v>
      </c>
      <c r="O2896">
        <v>0</v>
      </c>
      <c r="P2896">
        <v>0</v>
      </c>
      <c r="Q2896" t="s">
        <v>37</v>
      </c>
      <c r="R2896" t="s">
        <v>29</v>
      </c>
      <c r="S2896" t="s">
        <v>3986</v>
      </c>
      <c r="T2896" t="s">
        <v>3987</v>
      </c>
    </row>
    <row r="2897" spans="1:20" x14ac:dyDescent="0.25">
      <c r="A2897" t="s">
        <v>7234</v>
      </c>
      <c r="B2897" t="str">
        <f>"1115"</f>
        <v>1115</v>
      </c>
      <c r="C2897" t="str">
        <f>"274601115"</f>
        <v>274601115</v>
      </c>
      <c r="D2897" t="s">
        <v>7235</v>
      </c>
      <c r="E2897" t="s">
        <v>227</v>
      </c>
      <c r="F2897" t="s">
        <v>97</v>
      </c>
      <c r="G2897" s="1">
        <v>26472</v>
      </c>
      <c r="H2897" s="1">
        <v>40182</v>
      </c>
      <c r="I2897" t="str">
        <f>"20"</f>
        <v>20</v>
      </c>
      <c r="J2897" t="s">
        <v>123</v>
      </c>
      <c r="K2897" t="s">
        <v>98</v>
      </c>
      <c r="L2897" t="s">
        <v>37</v>
      </c>
      <c r="M2897" t="s">
        <v>257</v>
      </c>
      <c r="N2897" s="1">
        <v>41631</v>
      </c>
      <c r="O2897">
        <v>10753.16</v>
      </c>
      <c r="P2897">
        <v>2688.4</v>
      </c>
      <c r="Q2897" t="s">
        <v>28</v>
      </c>
      <c r="R2897" t="s">
        <v>346</v>
      </c>
      <c r="S2897" t="s">
        <v>246</v>
      </c>
      <c r="T2897" t="s">
        <v>247</v>
      </c>
    </row>
    <row r="2898" spans="1:20" x14ac:dyDescent="0.25">
      <c r="A2898" t="s">
        <v>7236</v>
      </c>
      <c r="B2898" t="str">
        <f>"4028"</f>
        <v>4028</v>
      </c>
      <c r="C2898" t="str">
        <f>"295544028"</f>
        <v>295544028</v>
      </c>
      <c r="D2898" t="s">
        <v>7237</v>
      </c>
      <c r="E2898" t="s">
        <v>1074</v>
      </c>
      <c r="F2898" t="s">
        <v>219</v>
      </c>
      <c r="G2898" s="1">
        <v>19479</v>
      </c>
      <c r="H2898" s="1">
        <v>40179</v>
      </c>
      <c r="I2898" t="str">
        <f>"52"</f>
        <v>52</v>
      </c>
      <c r="J2898" t="s">
        <v>330</v>
      </c>
      <c r="K2898" t="s">
        <v>25</v>
      </c>
      <c r="L2898" t="s">
        <v>26</v>
      </c>
      <c r="M2898" t="s">
        <v>27</v>
      </c>
      <c r="N2898" s="1">
        <v>18629</v>
      </c>
      <c r="O2898">
        <v>0</v>
      </c>
      <c r="P2898">
        <v>0</v>
      </c>
      <c r="Q2898" t="s">
        <v>37</v>
      </c>
      <c r="R2898" t="s">
        <v>51</v>
      </c>
      <c r="S2898" s="2" t="s">
        <v>3548</v>
      </c>
      <c r="T2898" t="s">
        <v>3549</v>
      </c>
    </row>
    <row r="2899" spans="1:20" x14ac:dyDescent="0.25">
      <c r="A2899" t="s">
        <v>7238</v>
      </c>
      <c r="B2899" t="str">
        <f>"8849"</f>
        <v>8849</v>
      </c>
      <c r="C2899" t="str">
        <f>"297628849"</f>
        <v>297628849</v>
      </c>
      <c r="D2899" t="s">
        <v>7239</v>
      </c>
      <c r="E2899" t="s">
        <v>7240</v>
      </c>
      <c r="F2899" t="s">
        <v>233</v>
      </c>
      <c r="G2899" s="1">
        <v>26482</v>
      </c>
      <c r="H2899" s="1">
        <v>40170</v>
      </c>
      <c r="I2899" t="str">
        <f>"52"</f>
        <v>52</v>
      </c>
      <c r="J2899" t="s">
        <v>330</v>
      </c>
      <c r="K2899" t="s">
        <v>25</v>
      </c>
      <c r="L2899" t="s">
        <v>26</v>
      </c>
      <c r="M2899" t="s">
        <v>27</v>
      </c>
      <c r="N2899" s="1">
        <v>18629</v>
      </c>
      <c r="O2899">
        <v>0</v>
      </c>
      <c r="P2899">
        <v>0</v>
      </c>
      <c r="Q2899" t="s">
        <v>28</v>
      </c>
      <c r="R2899" t="s">
        <v>258</v>
      </c>
      <c r="S2899" t="s">
        <v>331</v>
      </c>
      <c r="T2899" t="s">
        <v>332</v>
      </c>
    </row>
    <row r="2900" spans="1:20" x14ac:dyDescent="0.25">
      <c r="A2900" t="s">
        <v>7241</v>
      </c>
      <c r="B2900" t="str">
        <f>"9399"</f>
        <v>9399</v>
      </c>
      <c r="C2900" t="str">
        <f>"275569399"</f>
        <v>275569399</v>
      </c>
      <c r="D2900" t="s">
        <v>7242</v>
      </c>
      <c r="E2900" t="s">
        <v>430</v>
      </c>
      <c r="F2900" t="s">
        <v>282</v>
      </c>
      <c r="G2900" s="1">
        <v>22852</v>
      </c>
      <c r="H2900" s="1">
        <v>40161</v>
      </c>
      <c r="I2900" t="str">
        <f>"03"</f>
        <v>03</v>
      </c>
      <c r="J2900" t="s">
        <v>70</v>
      </c>
      <c r="K2900" t="s">
        <v>98</v>
      </c>
      <c r="L2900" t="s">
        <v>37</v>
      </c>
      <c r="M2900" t="s">
        <v>257</v>
      </c>
      <c r="N2900" s="1">
        <v>41617</v>
      </c>
      <c r="O2900">
        <v>10753.08</v>
      </c>
      <c r="P2900">
        <v>2688.4</v>
      </c>
      <c r="Q2900" t="s">
        <v>28</v>
      </c>
      <c r="R2900" t="s">
        <v>258</v>
      </c>
      <c r="S2900" t="s">
        <v>605</v>
      </c>
      <c r="T2900" t="s">
        <v>606</v>
      </c>
    </row>
    <row r="2901" spans="1:20" x14ac:dyDescent="0.25">
      <c r="A2901" t="s">
        <v>7243</v>
      </c>
      <c r="B2901" t="str">
        <f>"3001"</f>
        <v>3001</v>
      </c>
      <c r="C2901" t="str">
        <f>"287723001"</f>
        <v>287723001</v>
      </c>
      <c r="D2901" t="s">
        <v>7244</v>
      </c>
      <c r="E2901" t="s">
        <v>7245</v>
      </c>
      <c r="F2901" t="s">
        <v>93</v>
      </c>
      <c r="G2901" s="1">
        <v>24444</v>
      </c>
      <c r="H2901" s="1">
        <v>40161</v>
      </c>
      <c r="I2901" t="str">
        <f>"51"</f>
        <v>51</v>
      </c>
      <c r="J2901" t="s">
        <v>471</v>
      </c>
      <c r="K2901" t="s">
        <v>25</v>
      </c>
      <c r="L2901" t="s">
        <v>26</v>
      </c>
      <c r="M2901" t="s">
        <v>27</v>
      </c>
      <c r="N2901" s="1">
        <v>18629</v>
      </c>
      <c r="O2901">
        <v>0</v>
      </c>
      <c r="P2901">
        <v>0</v>
      </c>
      <c r="Q2901" t="s">
        <v>37</v>
      </c>
      <c r="R2901" t="s">
        <v>51</v>
      </c>
      <c r="S2901" t="s">
        <v>3583</v>
      </c>
      <c r="T2901" t="s">
        <v>3584</v>
      </c>
    </row>
    <row r="2902" spans="1:20" x14ac:dyDescent="0.25">
      <c r="A2902" t="s">
        <v>7246</v>
      </c>
      <c r="B2902" t="str">
        <f>"3645"</f>
        <v>3645</v>
      </c>
      <c r="C2902" t="str">
        <f>"287523645"</f>
        <v>287523645</v>
      </c>
      <c r="D2902" t="s">
        <v>7247</v>
      </c>
      <c r="E2902" t="s">
        <v>7248</v>
      </c>
      <c r="G2902" s="1">
        <v>21087</v>
      </c>
      <c r="H2902" s="1">
        <v>40161</v>
      </c>
      <c r="I2902" t="str">
        <f>"12"</f>
        <v>12</v>
      </c>
      <c r="J2902" t="s">
        <v>245</v>
      </c>
      <c r="K2902" t="s">
        <v>175</v>
      </c>
      <c r="L2902" t="s">
        <v>37</v>
      </c>
      <c r="M2902" t="s">
        <v>117</v>
      </c>
      <c r="N2902" s="1">
        <v>41617</v>
      </c>
      <c r="O2902">
        <v>5288.66</v>
      </c>
      <c r="P2902">
        <v>1322.1</v>
      </c>
      <c r="Q2902" t="s">
        <v>37</v>
      </c>
      <c r="R2902" t="s">
        <v>29</v>
      </c>
      <c r="S2902" t="s">
        <v>514</v>
      </c>
      <c r="T2902" t="s">
        <v>515</v>
      </c>
    </row>
    <row r="2903" spans="1:20" x14ac:dyDescent="0.25">
      <c r="A2903" t="s">
        <v>7249</v>
      </c>
      <c r="B2903" t="str">
        <f>"4819"</f>
        <v>4819</v>
      </c>
      <c r="C2903" t="str">
        <f>"272424819"</f>
        <v>272424819</v>
      </c>
      <c r="D2903" t="s">
        <v>4576</v>
      </c>
      <c r="E2903" t="s">
        <v>122</v>
      </c>
      <c r="F2903" t="s">
        <v>93</v>
      </c>
      <c r="G2903" s="1">
        <v>16868</v>
      </c>
      <c r="H2903" s="1">
        <v>40157</v>
      </c>
      <c r="I2903" t="str">
        <f>"52"</f>
        <v>52</v>
      </c>
      <c r="J2903" t="s">
        <v>330</v>
      </c>
      <c r="K2903" t="s">
        <v>25</v>
      </c>
      <c r="L2903" t="s">
        <v>26</v>
      </c>
      <c r="M2903" t="s">
        <v>27</v>
      </c>
      <c r="N2903" s="1">
        <v>18629</v>
      </c>
      <c r="O2903">
        <v>0</v>
      </c>
      <c r="P2903">
        <v>0</v>
      </c>
      <c r="Q2903" t="s">
        <v>28</v>
      </c>
      <c r="R2903" t="s">
        <v>29</v>
      </c>
      <c r="S2903" s="2" t="s">
        <v>362</v>
      </c>
      <c r="T2903" t="s">
        <v>363</v>
      </c>
    </row>
    <row r="2904" spans="1:20" x14ac:dyDescent="0.25">
      <c r="A2904" t="s">
        <v>7250</v>
      </c>
      <c r="B2904" t="str">
        <f>"6283"</f>
        <v>6283</v>
      </c>
      <c r="C2904" t="str">
        <f>"295726283"</f>
        <v>295726283</v>
      </c>
      <c r="D2904" t="s">
        <v>1715</v>
      </c>
      <c r="E2904" t="s">
        <v>4954</v>
      </c>
      <c r="F2904" t="s">
        <v>28</v>
      </c>
      <c r="G2904" s="1">
        <v>27135</v>
      </c>
      <c r="H2904" s="1">
        <v>40147</v>
      </c>
      <c r="I2904" t="str">
        <f>"12"</f>
        <v>12</v>
      </c>
      <c r="J2904" t="s">
        <v>245</v>
      </c>
      <c r="K2904" t="s">
        <v>98</v>
      </c>
      <c r="L2904" t="s">
        <v>37</v>
      </c>
      <c r="M2904" t="s">
        <v>257</v>
      </c>
      <c r="N2904" s="1">
        <v>41617</v>
      </c>
      <c r="O2904">
        <v>10753.08</v>
      </c>
      <c r="P2904">
        <v>2688.4</v>
      </c>
      <c r="Q2904" t="s">
        <v>37</v>
      </c>
      <c r="R2904" t="s">
        <v>258</v>
      </c>
      <c r="S2904" t="s">
        <v>259</v>
      </c>
      <c r="T2904" t="s">
        <v>260</v>
      </c>
    </row>
    <row r="2905" spans="1:20" x14ac:dyDescent="0.25">
      <c r="A2905" t="s">
        <v>7251</v>
      </c>
      <c r="B2905" t="str">
        <f>"9162"</f>
        <v>9162</v>
      </c>
      <c r="C2905" t="str">
        <f>"296789162"</f>
        <v>296789162</v>
      </c>
      <c r="D2905" t="s">
        <v>7252</v>
      </c>
      <c r="E2905" t="s">
        <v>1453</v>
      </c>
      <c r="G2905" s="1">
        <v>25246</v>
      </c>
      <c r="H2905" s="1">
        <v>40147</v>
      </c>
      <c r="I2905" t="str">
        <f>"42"</f>
        <v>42</v>
      </c>
      <c r="J2905" t="s">
        <v>367</v>
      </c>
      <c r="K2905" t="s">
        <v>25</v>
      </c>
      <c r="L2905" t="s">
        <v>26</v>
      </c>
      <c r="M2905" t="s">
        <v>27</v>
      </c>
      <c r="N2905" s="1">
        <v>18629</v>
      </c>
      <c r="O2905">
        <v>0</v>
      </c>
      <c r="P2905">
        <v>0</v>
      </c>
      <c r="Q2905" t="s">
        <v>28</v>
      </c>
      <c r="R2905" t="s">
        <v>51</v>
      </c>
      <c r="S2905" t="s">
        <v>1222</v>
      </c>
      <c r="T2905" t="s">
        <v>1223</v>
      </c>
    </row>
    <row r="2906" spans="1:20" x14ac:dyDescent="0.25">
      <c r="A2906" t="s">
        <v>7253</v>
      </c>
      <c r="B2906" t="str">
        <f>"0593"</f>
        <v>0593</v>
      </c>
      <c r="C2906" t="str">
        <f>"356720593"</f>
        <v>356720593</v>
      </c>
      <c r="D2906" t="s">
        <v>7254</v>
      </c>
      <c r="E2906" t="s">
        <v>518</v>
      </c>
      <c r="G2906" s="1">
        <v>29948</v>
      </c>
      <c r="H2906" s="1">
        <v>40147</v>
      </c>
      <c r="I2906" t="str">
        <f>"03"</f>
        <v>03</v>
      </c>
      <c r="J2906" t="s">
        <v>70</v>
      </c>
      <c r="L2906" t="s">
        <v>37</v>
      </c>
      <c r="M2906" t="s">
        <v>143</v>
      </c>
      <c r="N2906" s="1">
        <v>41617</v>
      </c>
      <c r="O2906">
        <v>185.9</v>
      </c>
      <c r="P2906">
        <v>-185.9</v>
      </c>
      <c r="Q2906" t="s">
        <v>37</v>
      </c>
      <c r="R2906" t="s">
        <v>29</v>
      </c>
      <c r="S2906" t="s">
        <v>6691</v>
      </c>
      <c r="T2906" t="s">
        <v>6692</v>
      </c>
    </row>
    <row r="2907" spans="1:20" x14ac:dyDescent="0.25">
      <c r="A2907" t="s">
        <v>7255</v>
      </c>
      <c r="B2907" t="str">
        <f>"4099"</f>
        <v>4099</v>
      </c>
      <c r="C2907" t="str">
        <f>"291664099"</f>
        <v>291664099</v>
      </c>
      <c r="D2907" t="s">
        <v>7256</v>
      </c>
      <c r="E2907" t="s">
        <v>4259</v>
      </c>
      <c r="F2907" t="s">
        <v>2988</v>
      </c>
      <c r="G2907" s="1">
        <v>21723</v>
      </c>
      <c r="H2907" s="1">
        <v>40136</v>
      </c>
      <c r="I2907" t="str">
        <f>"05"</f>
        <v>05</v>
      </c>
      <c r="J2907" t="s">
        <v>58</v>
      </c>
      <c r="K2907" t="s">
        <v>175</v>
      </c>
      <c r="L2907" t="s">
        <v>37</v>
      </c>
      <c r="M2907" t="s">
        <v>99</v>
      </c>
      <c r="N2907" s="1">
        <v>41617</v>
      </c>
      <c r="O2907">
        <v>16411.72</v>
      </c>
      <c r="P2907">
        <v>4102.8</v>
      </c>
      <c r="Q2907" t="s">
        <v>28</v>
      </c>
      <c r="R2907" t="s">
        <v>29</v>
      </c>
      <c r="S2907" t="s">
        <v>1828</v>
      </c>
      <c r="T2907" t="s">
        <v>1829</v>
      </c>
    </row>
    <row r="2908" spans="1:20" x14ac:dyDescent="0.25">
      <c r="A2908" t="s">
        <v>7257</v>
      </c>
      <c r="B2908" t="str">
        <f>"8889"</f>
        <v>8889</v>
      </c>
      <c r="C2908" t="str">
        <f>"286648889"</f>
        <v>286648889</v>
      </c>
      <c r="D2908" t="s">
        <v>7258</v>
      </c>
      <c r="E2908" t="s">
        <v>430</v>
      </c>
      <c r="F2908" t="s">
        <v>1104</v>
      </c>
      <c r="G2908" s="1">
        <v>22164</v>
      </c>
      <c r="H2908" s="1">
        <v>40133</v>
      </c>
      <c r="I2908" t="str">
        <f>"51"</f>
        <v>51</v>
      </c>
      <c r="J2908" t="s">
        <v>471</v>
      </c>
      <c r="K2908" t="s">
        <v>25</v>
      </c>
      <c r="L2908" t="s">
        <v>26</v>
      </c>
      <c r="M2908" t="s">
        <v>27</v>
      </c>
      <c r="N2908" s="1">
        <v>18629</v>
      </c>
      <c r="O2908">
        <v>0</v>
      </c>
      <c r="P2908">
        <v>0</v>
      </c>
      <c r="Q2908" t="s">
        <v>28</v>
      </c>
      <c r="R2908" t="s">
        <v>258</v>
      </c>
      <c r="S2908" t="s">
        <v>472</v>
      </c>
      <c r="T2908" t="s">
        <v>473</v>
      </c>
    </row>
    <row r="2909" spans="1:20" x14ac:dyDescent="0.25">
      <c r="A2909" t="s">
        <v>7259</v>
      </c>
      <c r="B2909" t="str">
        <f>"8529"</f>
        <v>8529</v>
      </c>
      <c r="C2909" t="str">
        <f>"297568529"</f>
        <v>297568529</v>
      </c>
      <c r="D2909" t="s">
        <v>7260</v>
      </c>
      <c r="E2909" t="s">
        <v>7261</v>
      </c>
      <c r="G2909" s="1">
        <v>20957</v>
      </c>
      <c r="H2909" s="1">
        <v>40133</v>
      </c>
      <c r="I2909" t="str">
        <f>"05"</f>
        <v>05</v>
      </c>
      <c r="J2909" t="s">
        <v>58</v>
      </c>
      <c r="K2909" t="s">
        <v>98</v>
      </c>
      <c r="L2909" t="s">
        <v>37</v>
      </c>
      <c r="M2909" t="s">
        <v>117</v>
      </c>
      <c r="N2909" s="1">
        <v>41617</v>
      </c>
      <c r="O2909">
        <v>4951.96</v>
      </c>
      <c r="P2909">
        <v>1237.8599999999999</v>
      </c>
      <c r="Q2909" t="s">
        <v>28</v>
      </c>
      <c r="R2909" t="s">
        <v>29</v>
      </c>
      <c r="S2909" t="s">
        <v>1177</v>
      </c>
      <c r="T2909" t="s">
        <v>1178</v>
      </c>
    </row>
    <row r="2910" spans="1:20" x14ac:dyDescent="0.25">
      <c r="A2910" t="s">
        <v>7262</v>
      </c>
      <c r="B2910" t="str">
        <f>"2908"</f>
        <v>2908</v>
      </c>
      <c r="C2910" t="str">
        <f>"350482908"</f>
        <v>350482908</v>
      </c>
      <c r="D2910" t="s">
        <v>7263</v>
      </c>
      <c r="E2910" t="s">
        <v>2364</v>
      </c>
      <c r="F2910" t="s">
        <v>44</v>
      </c>
      <c r="G2910" s="1">
        <v>22612</v>
      </c>
      <c r="H2910" s="1">
        <v>40126</v>
      </c>
      <c r="I2910" t="str">
        <f>"03"</f>
        <v>03</v>
      </c>
      <c r="J2910" t="s">
        <v>70</v>
      </c>
      <c r="L2910" t="s">
        <v>37</v>
      </c>
      <c r="M2910" t="s">
        <v>143</v>
      </c>
      <c r="N2910" s="1">
        <v>41617</v>
      </c>
      <c r="O2910">
        <v>185.9</v>
      </c>
      <c r="P2910">
        <v>-185.9</v>
      </c>
      <c r="Q2910" t="s">
        <v>37</v>
      </c>
      <c r="R2910" t="s">
        <v>29</v>
      </c>
      <c r="S2910" t="s">
        <v>1828</v>
      </c>
      <c r="T2910" t="s">
        <v>1829</v>
      </c>
    </row>
    <row r="2911" spans="1:20" x14ac:dyDescent="0.25">
      <c r="A2911" t="s">
        <v>7264</v>
      </c>
      <c r="B2911" t="str">
        <f>"4715"</f>
        <v>4715</v>
      </c>
      <c r="C2911" t="str">
        <f>"269564715"</f>
        <v>269564715</v>
      </c>
      <c r="D2911" t="s">
        <v>2930</v>
      </c>
      <c r="E2911" t="s">
        <v>1350</v>
      </c>
      <c r="F2911" t="s">
        <v>44</v>
      </c>
      <c r="G2911" s="1">
        <v>19854</v>
      </c>
      <c r="H2911" s="1">
        <v>40124</v>
      </c>
      <c r="I2911" t="str">
        <f>"52"</f>
        <v>52</v>
      </c>
      <c r="J2911" t="s">
        <v>330</v>
      </c>
      <c r="K2911" t="s">
        <v>25</v>
      </c>
      <c r="L2911" t="s">
        <v>26</v>
      </c>
      <c r="M2911" t="s">
        <v>27</v>
      </c>
      <c r="N2911" s="1">
        <v>18629</v>
      </c>
      <c r="O2911">
        <v>0</v>
      </c>
      <c r="P2911">
        <v>0</v>
      </c>
      <c r="Q2911" t="s">
        <v>37</v>
      </c>
      <c r="R2911" t="s">
        <v>258</v>
      </c>
      <c r="S2911" t="s">
        <v>336</v>
      </c>
      <c r="T2911" t="s">
        <v>337</v>
      </c>
    </row>
    <row r="2912" spans="1:20" x14ac:dyDescent="0.25">
      <c r="A2912" t="s">
        <v>7265</v>
      </c>
      <c r="B2912" t="str">
        <f>"7864"</f>
        <v>7864</v>
      </c>
      <c r="C2912" t="str">
        <f>"287647864"</f>
        <v>287647864</v>
      </c>
      <c r="D2912" t="s">
        <v>7266</v>
      </c>
      <c r="E2912" t="s">
        <v>609</v>
      </c>
      <c r="F2912" t="s">
        <v>26</v>
      </c>
      <c r="G2912" s="1">
        <v>21493</v>
      </c>
      <c r="H2912" s="1">
        <v>40122</v>
      </c>
      <c r="I2912" t="str">
        <f>"52"</f>
        <v>52</v>
      </c>
      <c r="J2912" t="s">
        <v>330</v>
      </c>
      <c r="K2912" t="s">
        <v>25</v>
      </c>
      <c r="L2912" t="s">
        <v>26</v>
      </c>
      <c r="M2912" t="s">
        <v>27</v>
      </c>
      <c r="N2912" s="1">
        <v>18629</v>
      </c>
      <c r="O2912">
        <v>0</v>
      </c>
      <c r="P2912">
        <v>0</v>
      </c>
      <c r="Q2912" t="s">
        <v>28</v>
      </c>
      <c r="R2912" t="s">
        <v>258</v>
      </c>
      <c r="S2912" t="s">
        <v>336</v>
      </c>
      <c r="T2912" t="s">
        <v>337</v>
      </c>
    </row>
    <row r="2913" spans="1:20" x14ac:dyDescent="0.25">
      <c r="A2913" t="s">
        <v>7267</v>
      </c>
      <c r="B2913" t="str">
        <f>"3545"</f>
        <v>3545</v>
      </c>
      <c r="C2913" t="str">
        <f>"289543545"</f>
        <v>289543545</v>
      </c>
      <c r="D2913" t="s">
        <v>971</v>
      </c>
      <c r="E2913" t="s">
        <v>7268</v>
      </c>
      <c r="F2913" t="s">
        <v>82</v>
      </c>
      <c r="G2913" s="1">
        <v>23062</v>
      </c>
      <c r="H2913" s="1">
        <v>40119</v>
      </c>
      <c r="I2913" t="str">
        <f>"12"</f>
        <v>12</v>
      </c>
      <c r="J2913" t="s">
        <v>245</v>
      </c>
      <c r="K2913" t="s">
        <v>98</v>
      </c>
      <c r="L2913" t="s">
        <v>37</v>
      </c>
      <c r="M2913" t="s">
        <v>99</v>
      </c>
      <c r="N2913" s="1">
        <v>41617</v>
      </c>
      <c r="O2913">
        <v>14801.8</v>
      </c>
      <c r="P2913">
        <v>3700.32</v>
      </c>
      <c r="Q2913" t="s">
        <v>37</v>
      </c>
      <c r="R2913" t="s">
        <v>258</v>
      </c>
      <c r="S2913" t="s">
        <v>4707</v>
      </c>
      <c r="T2913" t="s">
        <v>4708</v>
      </c>
    </row>
    <row r="2914" spans="1:20" x14ac:dyDescent="0.25">
      <c r="A2914" t="s">
        <v>7269</v>
      </c>
      <c r="B2914" t="str">
        <f>"2712"</f>
        <v>2712</v>
      </c>
      <c r="C2914" t="str">
        <f>"290542712"</f>
        <v>290542712</v>
      </c>
      <c r="D2914" t="s">
        <v>5405</v>
      </c>
      <c r="E2914" t="s">
        <v>933</v>
      </c>
      <c r="F2914" t="s">
        <v>556</v>
      </c>
      <c r="G2914" s="1">
        <v>20597</v>
      </c>
      <c r="H2914" s="1">
        <v>40119</v>
      </c>
      <c r="I2914" t="str">
        <f>"30"</f>
        <v>30</v>
      </c>
      <c r="J2914" t="s">
        <v>50</v>
      </c>
      <c r="K2914" t="s">
        <v>25</v>
      </c>
      <c r="L2914" t="s">
        <v>26</v>
      </c>
      <c r="M2914" t="s">
        <v>27</v>
      </c>
      <c r="N2914" s="1">
        <v>18629</v>
      </c>
      <c r="O2914">
        <v>0</v>
      </c>
      <c r="P2914">
        <v>0</v>
      </c>
      <c r="Q2914" t="s">
        <v>28</v>
      </c>
      <c r="R2914" t="s">
        <v>29</v>
      </c>
      <c r="S2914" t="s">
        <v>5068</v>
      </c>
      <c r="T2914" t="s">
        <v>5069</v>
      </c>
    </row>
    <row r="2915" spans="1:20" x14ac:dyDescent="0.25">
      <c r="A2915" t="s">
        <v>7270</v>
      </c>
      <c r="B2915" t="str">
        <f>"6609"</f>
        <v>6609</v>
      </c>
      <c r="C2915" t="str">
        <f>"288766609"</f>
        <v>288766609</v>
      </c>
      <c r="D2915" t="s">
        <v>7271</v>
      </c>
      <c r="E2915" t="s">
        <v>179</v>
      </c>
      <c r="F2915" t="s">
        <v>26</v>
      </c>
      <c r="G2915" s="1">
        <v>23670</v>
      </c>
      <c r="H2915" s="1">
        <v>40119</v>
      </c>
      <c r="I2915" t="str">
        <f>"52"</f>
        <v>52</v>
      </c>
      <c r="J2915" t="s">
        <v>330</v>
      </c>
      <c r="K2915" t="s">
        <v>25</v>
      </c>
      <c r="L2915" t="s">
        <v>26</v>
      </c>
      <c r="M2915" t="s">
        <v>27</v>
      </c>
      <c r="N2915" s="1">
        <v>18629</v>
      </c>
      <c r="O2915">
        <v>0</v>
      </c>
      <c r="P2915">
        <v>0</v>
      </c>
      <c r="Q2915" t="s">
        <v>28</v>
      </c>
      <c r="R2915" t="s">
        <v>258</v>
      </c>
      <c r="S2915" t="s">
        <v>331</v>
      </c>
      <c r="T2915" t="s">
        <v>332</v>
      </c>
    </row>
    <row r="2916" spans="1:20" x14ac:dyDescent="0.25">
      <c r="A2916" t="s">
        <v>7272</v>
      </c>
      <c r="B2916" t="str">
        <f>"9344"</f>
        <v>9344</v>
      </c>
      <c r="C2916" t="str">
        <f>"291729344"</f>
        <v>291729344</v>
      </c>
      <c r="D2916" t="s">
        <v>122</v>
      </c>
      <c r="E2916" t="s">
        <v>7273</v>
      </c>
      <c r="F2916" t="s">
        <v>44</v>
      </c>
      <c r="G2916" s="1">
        <v>28137</v>
      </c>
      <c r="H2916" s="1">
        <v>40119</v>
      </c>
      <c r="I2916" t="str">
        <f>"12"</f>
        <v>12</v>
      </c>
      <c r="J2916" t="s">
        <v>245</v>
      </c>
      <c r="K2916" t="s">
        <v>98</v>
      </c>
      <c r="L2916" t="s">
        <v>37</v>
      </c>
      <c r="M2916" t="s">
        <v>99</v>
      </c>
      <c r="N2916" s="1">
        <v>41617</v>
      </c>
      <c r="O2916">
        <v>14801.8</v>
      </c>
      <c r="P2916">
        <v>3700.32</v>
      </c>
      <c r="Q2916" t="s">
        <v>37</v>
      </c>
      <c r="R2916" t="s">
        <v>51</v>
      </c>
      <c r="S2916" s="2" t="s">
        <v>1140</v>
      </c>
      <c r="T2916" t="s">
        <v>1141</v>
      </c>
    </row>
    <row r="2917" spans="1:20" x14ac:dyDescent="0.25">
      <c r="A2917" t="s">
        <v>7274</v>
      </c>
      <c r="B2917" t="str">
        <f>"1607"</f>
        <v>1607</v>
      </c>
      <c r="C2917" t="str">
        <f>"281461607"</f>
        <v>281461607</v>
      </c>
      <c r="D2917" t="s">
        <v>866</v>
      </c>
      <c r="E2917" t="s">
        <v>1248</v>
      </c>
      <c r="F2917" t="s">
        <v>93</v>
      </c>
      <c r="G2917" s="1">
        <v>17456</v>
      </c>
      <c r="H2917" s="1">
        <v>40119</v>
      </c>
      <c r="I2917" t="str">
        <f>"33"</f>
        <v>33</v>
      </c>
      <c r="J2917" t="s">
        <v>45</v>
      </c>
      <c r="K2917" t="s">
        <v>25</v>
      </c>
      <c r="L2917" t="s">
        <v>26</v>
      </c>
      <c r="M2917" t="s">
        <v>27</v>
      </c>
      <c r="N2917" s="1">
        <v>18629</v>
      </c>
      <c r="O2917">
        <v>0</v>
      </c>
      <c r="P2917">
        <v>0</v>
      </c>
      <c r="Q2917" t="s">
        <v>37</v>
      </c>
      <c r="R2917" t="s">
        <v>71</v>
      </c>
      <c r="S2917" t="s">
        <v>955</v>
      </c>
      <c r="T2917" t="s">
        <v>956</v>
      </c>
    </row>
    <row r="2918" spans="1:20" x14ac:dyDescent="0.25">
      <c r="A2918" t="s">
        <v>7275</v>
      </c>
      <c r="B2918" t="str">
        <f>"0326"</f>
        <v>0326</v>
      </c>
      <c r="C2918" t="str">
        <f>"301880326"</f>
        <v>301880326</v>
      </c>
      <c r="D2918" t="s">
        <v>881</v>
      </c>
      <c r="E2918" t="s">
        <v>7276</v>
      </c>
      <c r="G2918" s="1">
        <v>29740</v>
      </c>
      <c r="H2918" s="1">
        <v>40119</v>
      </c>
      <c r="I2918" t="str">
        <f>"08"</f>
        <v>08</v>
      </c>
      <c r="J2918" t="s">
        <v>265</v>
      </c>
      <c r="K2918" t="s">
        <v>98</v>
      </c>
      <c r="L2918" t="s">
        <v>37</v>
      </c>
      <c r="M2918" t="s">
        <v>117</v>
      </c>
      <c r="N2918" s="1">
        <v>41617</v>
      </c>
      <c r="O2918">
        <v>4951.96</v>
      </c>
      <c r="P2918">
        <v>1237.8599999999999</v>
      </c>
      <c r="Q2918" t="s">
        <v>28</v>
      </c>
      <c r="R2918" t="s">
        <v>312</v>
      </c>
      <c r="S2918" t="s">
        <v>4480</v>
      </c>
      <c r="T2918" t="s">
        <v>4481</v>
      </c>
    </row>
    <row r="2919" spans="1:20" x14ac:dyDescent="0.25">
      <c r="A2919" t="s">
        <v>7277</v>
      </c>
      <c r="B2919" t="str">
        <f>"5083"</f>
        <v>5083</v>
      </c>
      <c r="C2919" t="str">
        <f>"276665083"</f>
        <v>276665083</v>
      </c>
      <c r="D2919" t="s">
        <v>553</v>
      </c>
      <c r="E2919" t="s">
        <v>588</v>
      </c>
      <c r="F2919" t="s">
        <v>704</v>
      </c>
      <c r="G2919" s="1">
        <v>21548</v>
      </c>
      <c r="H2919" s="1">
        <v>40108</v>
      </c>
      <c r="I2919" t="str">
        <f>"41"</f>
        <v>41</v>
      </c>
      <c r="J2919" t="s">
        <v>24</v>
      </c>
      <c r="K2919" t="s">
        <v>25</v>
      </c>
      <c r="L2919" t="s">
        <v>26</v>
      </c>
      <c r="M2919" t="s">
        <v>27</v>
      </c>
      <c r="N2919" s="1">
        <v>18629</v>
      </c>
      <c r="O2919">
        <v>0</v>
      </c>
      <c r="P2919">
        <v>0</v>
      </c>
      <c r="Q2919" t="s">
        <v>28</v>
      </c>
      <c r="R2919" t="s">
        <v>29</v>
      </c>
      <c r="S2919" t="s">
        <v>83</v>
      </c>
      <c r="T2919" t="s">
        <v>84</v>
      </c>
    </row>
    <row r="2920" spans="1:20" x14ac:dyDescent="0.25">
      <c r="A2920" t="s">
        <v>7278</v>
      </c>
      <c r="B2920" t="str">
        <f>"4725"</f>
        <v>4725</v>
      </c>
      <c r="C2920" t="str">
        <f>"269804725"</f>
        <v>269804725</v>
      </c>
      <c r="D2920" t="s">
        <v>1798</v>
      </c>
      <c r="E2920" t="s">
        <v>5135</v>
      </c>
      <c r="F2920" t="s">
        <v>239</v>
      </c>
      <c r="G2920" s="1">
        <v>24358</v>
      </c>
      <c r="H2920" s="1">
        <v>40105</v>
      </c>
      <c r="I2920" t="str">
        <f>"51"</f>
        <v>51</v>
      </c>
      <c r="J2920" t="s">
        <v>471</v>
      </c>
      <c r="K2920" t="s">
        <v>25</v>
      </c>
      <c r="L2920" t="s">
        <v>26</v>
      </c>
      <c r="M2920" t="s">
        <v>27</v>
      </c>
      <c r="N2920" s="1">
        <v>18629</v>
      </c>
      <c r="O2920">
        <v>0</v>
      </c>
      <c r="P2920">
        <v>0</v>
      </c>
      <c r="Q2920" t="s">
        <v>28</v>
      </c>
      <c r="R2920" t="s">
        <v>29</v>
      </c>
      <c r="S2920" t="s">
        <v>7279</v>
      </c>
      <c r="T2920" t="s">
        <v>7280</v>
      </c>
    </row>
    <row r="2921" spans="1:20" x14ac:dyDescent="0.25">
      <c r="A2921" t="s">
        <v>7281</v>
      </c>
      <c r="B2921" t="str">
        <f>"8486"</f>
        <v>8486</v>
      </c>
      <c r="C2921" t="str">
        <f>"593408486"</f>
        <v>593408486</v>
      </c>
      <c r="D2921" t="s">
        <v>7282</v>
      </c>
      <c r="E2921" t="s">
        <v>988</v>
      </c>
      <c r="F2921" t="s">
        <v>28</v>
      </c>
      <c r="G2921" s="1">
        <v>25937</v>
      </c>
      <c r="H2921" s="1">
        <v>40103</v>
      </c>
      <c r="I2921" t="str">
        <f>"51"</f>
        <v>51</v>
      </c>
      <c r="J2921" t="s">
        <v>471</v>
      </c>
      <c r="K2921" t="s">
        <v>25</v>
      </c>
      <c r="L2921" t="s">
        <v>26</v>
      </c>
      <c r="M2921" t="s">
        <v>27</v>
      </c>
      <c r="N2921" s="1">
        <v>18629</v>
      </c>
      <c r="O2921">
        <v>0</v>
      </c>
      <c r="P2921">
        <v>0</v>
      </c>
      <c r="Q2921" t="s">
        <v>28</v>
      </c>
      <c r="R2921" t="s">
        <v>51</v>
      </c>
      <c r="S2921" s="2" t="s">
        <v>1508</v>
      </c>
      <c r="T2921" t="s">
        <v>1509</v>
      </c>
    </row>
    <row r="2922" spans="1:20" x14ac:dyDescent="0.25">
      <c r="A2922" t="s">
        <v>7283</v>
      </c>
      <c r="B2922" t="str">
        <f>"3459"</f>
        <v>3459</v>
      </c>
      <c r="C2922" t="str">
        <f>"295383459"</f>
        <v>295383459</v>
      </c>
      <c r="D2922" t="s">
        <v>7284</v>
      </c>
      <c r="E2922" t="s">
        <v>1453</v>
      </c>
      <c r="F2922" t="s">
        <v>28</v>
      </c>
      <c r="G2922" s="1">
        <v>16157</v>
      </c>
      <c r="H2922" s="1">
        <v>40098</v>
      </c>
      <c r="I2922" t="str">
        <f>"50"</f>
        <v>50</v>
      </c>
      <c r="J2922" t="s">
        <v>208</v>
      </c>
      <c r="K2922" t="s">
        <v>25</v>
      </c>
      <c r="L2922" t="s">
        <v>26</v>
      </c>
      <c r="M2922" t="s">
        <v>27</v>
      </c>
      <c r="N2922" s="1">
        <v>18629</v>
      </c>
      <c r="O2922">
        <v>0</v>
      </c>
      <c r="P2922">
        <v>0</v>
      </c>
      <c r="Q2922" t="s">
        <v>28</v>
      </c>
      <c r="R2922" t="s">
        <v>51</v>
      </c>
      <c r="S2922" s="2" t="s">
        <v>683</v>
      </c>
      <c r="T2922" t="s">
        <v>684</v>
      </c>
    </row>
    <row r="2923" spans="1:20" x14ac:dyDescent="0.25">
      <c r="A2923" t="s">
        <v>7285</v>
      </c>
      <c r="B2923" t="str">
        <f>"7512"</f>
        <v>7512</v>
      </c>
      <c r="C2923" t="str">
        <f>"300587512"</f>
        <v>300587512</v>
      </c>
      <c r="D2923" t="s">
        <v>1030</v>
      </c>
      <c r="E2923" t="s">
        <v>304</v>
      </c>
      <c r="F2923" t="s">
        <v>97</v>
      </c>
      <c r="G2923" s="1">
        <v>24485</v>
      </c>
      <c r="H2923" s="1">
        <v>40094</v>
      </c>
      <c r="I2923" t="str">
        <f>"41"</f>
        <v>41</v>
      </c>
      <c r="J2923" t="s">
        <v>24</v>
      </c>
      <c r="K2923" t="s">
        <v>25</v>
      </c>
      <c r="L2923" t="s">
        <v>26</v>
      </c>
      <c r="M2923" t="s">
        <v>27</v>
      </c>
      <c r="N2923" s="1">
        <v>18629</v>
      </c>
      <c r="O2923">
        <v>0</v>
      </c>
      <c r="P2923">
        <v>0</v>
      </c>
      <c r="Q2923" t="s">
        <v>28</v>
      </c>
      <c r="R2923" t="s">
        <v>258</v>
      </c>
      <c r="S2923" t="s">
        <v>7286</v>
      </c>
      <c r="T2923" t="s">
        <v>7287</v>
      </c>
    </row>
    <row r="2924" spans="1:20" x14ac:dyDescent="0.25">
      <c r="A2924" t="s">
        <v>7288</v>
      </c>
      <c r="B2924" t="str">
        <f>"7898"</f>
        <v>7898</v>
      </c>
      <c r="C2924" t="str">
        <f>"297807898"</f>
        <v>297807898</v>
      </c>
      <c r="D2924" t="s">
        <v>7289</v>
      </c>
      <c r="E2924" t="s">
        <v>48</v>
      </c>
      <c r="F2924" t="s">
        <v>28</v>
      </c>
      <c r="G2924" s="1">
        <v>26756</v>
      </c>
      <c r="H2924" s="1">
        <v>40091</v>
      </c>
      <c r="I2924" t="str">
        <f>"52"</f>
        <v>52</v>
      </c>
      <c r="J2924" t="s">
        <v>330</v>
      </c>
      <c r="K2924" t="s">
        <v>25</v>
      </c>
      <c r="L2924" t="s">
        <v>26</v>
      </c>
      <c r="M2924" t="s">
        <v>27</v>
      </c>
      <c r="N2924" s="1">
        <v>18629</v>
      </c>
      <c r="O2924">
        <v>0</v>
      </c>
      <c r="P2924">
        <v>0</v>
      </c>
      <c r="Q2924" t="s">
        <v>37</v>
      </c>
      <c r="R2924" t="s">
        <v>258</v>
      </c>
      <c r="S2924" t="s">
        <v>331</v>
      </c>
      <c r="T2924" t="s">
        <v>332</v>
      </c>
    </row>
    <row r="2925" spans="1:20" x14ac:dyDescent="0.25">
      <c r="A2925" t="s">
        <v>7290</v>
      </c>
      <c r="B2925" t="str">
        <f>"0522"</f>
        <v>0522</v>
      </c>
      <c r="C2925" t="str">
        <f>"270720522"</f>
        <v>270720522</v>
      </c>
      <c r="D2925" t="s">
        <v>2684</v>
      </c>
      <c r="E2925" t="s">
        <v>4492</v>
      </c>
      <c r="F2925" t="s">
        <v>93</v>
      </c>
      <c r="G2925" s="1">
        <v>27060</v>
      </c>
      <c r="H2925" s="1">
        <v>40089</v>
      </c>
      <c r="I2925" t="str">
        <f>"52"</f>
        <v>52</v>
      </c>
      <c r="J2925" t="s">
        <v>330</v>
      </c>
      <c r="K2925" t="s">
        <v>25</v>
      </c>
      <c r="L2925" t="s">
        <v>26</v>
      </c>
      <c r="M2925" t="s">
        <v>27</v>
      </c>
      <c r="N2925" s="1">
        <v>18629</v>
      </c>
      <c r="O2925">
        <v>0</v>
      </c>
      <c r="P2925">
        <v>0</v>
      </c>
      <c r="Q2925" t="s">
        <v>37</v>
      </c>
      <c r="R2925" t="s">
        <v>29</v>
      </c>
      <c r="S2925" t="s">
        <v>283</v>
      </c>
      <c r="T2925" t="s">
        <v>284</v>
      </c>
    </row>
    <row r="2926" spans="1:20" x14ac:dyDescent="0.25">
      <c r="A2926" t="s">
        <v>7291</v>
      </c>
      <c r="B2926" t="str">
        <f>"3411"</f>
        <v>3411</v>
      </c>
      <c r="C2926" t="str">
        <f>"276463411"</f>
        <v>276463411</v>
      </c>
      <c r="D2926" t="s">
        <v>1810</v>
      </c>
      <c r="E2926" t="s">
        <v>4700</v>
      </c>
      <c r="G2926" s="1">
        <v>17517</v>
      </c>
      <c r="H2926" s="1">
        <v>40077</v>
      </c>
      <c r="I2926" t="str">
        <f>"52"</f>
        <v>52</v>
      </c>
      <c r="J2926" t="s">
        <v>330</v>
      </c>
      <c r="K2926" t="s">
        <v>25</v>
      </c>
      <c r="L2926" t="s">
        <v>26</v>
      </c>
      <c r="M2926" t="s">
        <v>27</v>
      </c>
      <c r="N2926" s="1">
        <v>18629</v>
      </c>
      <c r="O2926">
        <v>0</v>
      </c>
      <c r="P2926">
        <v>0</v>
      </c>
      <c r="Q2926" t="s">
        <v>37</v>
      </c>
      <c r="R2926" t="s">
        <v>29</v>
      </c>
      <c r="S2926" t="s">
        <v>1761</v>
      </c>
      <c r="T2926" t="s">
        <v>1762</v>
      </c>
    </row>
    <row r="2927" spans="1:20" x14ac:dyDescent="0.25">
      <c r="A2927" t="s">
        <v>7292</v>
      </c>
      <c r="B2927" t="str">
        <f>"8256"</f>
        <v>8256</v>
      </c>
      <c r="C2927" t="str">
        <f>"298648256"</f>
        <v>298648256</v>
      </c>
      <c r="D2927" t="s">
        <v>3539</v>
      </c>
      <c r="E2927" t="s">
        <v>835</v>
      </c>
      <c r="F2927" t="s">
        <v>44</v>
      </c>
      <c r="G2927" s="1">
        <v>23975</v>
      </c>
      <c r="H2927" s="1">
        <v>40077</v>
      </c>
      <c r="I2927" t="str">
        <f>"52"</f>
        <v>52</v>
      </c>
      <c r="J2927" t="s">
        <v>330</v>
      </c>
      <c r="K2927" t="s">
        <v>25</v>
      </c>
      <c r="L2927" t="s">
        <v>26</v>
      </c>
      <c r="M2927" t="s">
        <v>27</v>
      </c>
      <c r="N2927" s="1">
        <v>18629</v>
      </c>
      <c r="O2927">
        <v>0</v>
      </c>
      <c r="P2927">
        <v>0</v>
      </c>
      <c r="Q2927" t="s">
        <v>37</v>
      </c>
      <c r="R2927" t="s">
        <v>29</v>
      </c>
      <c r="S2927" t="s">
        <v>1761</v>
      </c>
      <c r="T2927" t="s">
        <v>1762</v>
      </c>
    </row>
    <row r="2928" spans="1:20" x14ac:dyDescent="0.25">
      <c r="A2928" t="s">
        <v>7293</v>
      </c>
      <c r="B2928" t="str">
        <f>"5815"</f>
        <v>5815</v>
      </c>
      <c r="C2928" t="str">
        <f>"377745815"</f>
        <v>377745815</v>
      </c>
      <c r="D2928" t="s">
        <v>1483</v>
      </c>
      <c r="E2928" t="s">
        <v>1589</v>
      </c>
      <c r="F2928" t="s">
        <v>93</v>
      </c>
      <c r="G2928" s="1">
        <v>23112</v>
      </c>
      <c r="H2928" s="1">
        <v>40077</v>
      </c>
      <c r="I2928" t="str">
        <f>"12"</f>
        <v>12</v>
      </c>
      <c r="J2928" t="s">
        <v>245</v>
      </c>
      <c r="K2928" t="s">
        <v>98</v>
      </c>
      <c r="L2928" t="s">
        <v>37</v>
      </c>
      <c r="M2928" t="s">
        <v>99</v>
      </c>
      <c r="N2928" s="1">
        <v>41617</v>
      </c>
      <c r="O2928">
        <v>14801.8</v>
      </c>
      <c r="P2928">
        <v>3700.32</v>
      </c>
      <c r="Q2928" t="s">
        <v>37</v>
      </c>
      <c r="R2928" t="s">
        <v>38</v>
      </c>
      <c r="S2928" t="s">
        <v>1194</v>
      </c>
      <c r="T2928" t="s">
        <v>1195</v>
      </c>
    </row>
    <row r="2929" spans="1:20" x14ac:dyDescent="0.25">
      <c r="A2929" t="s">
        <v>7294</v>
      </c>
      <c r="B2929" t="str">
        <f>"9195"</f>
        <v>9195</v>
      </c>
      <c r="C2929" t="str">
        <f>"154649195"</f>
        <v>154649195</v>
      </c>
      <c r="D2929" t="s">
        <v>7295</v>
      </c>
      <c r="E2929" t="s">
        <v>7296</v>
      </c>
      <c r="F2929" t="s">
        <v>7297</v>
      </c>
      <c r="G2929" s="1">
        <v>24035</v>
      </c>
      <c r="H2929" s="1">
        <v>40077</v>
      </c>
      <c r="I2929" t="str">
        <f>"51"</f>
        <v>51</v>
      </c>
      <c r="J2929" t="s">
        <v>471</v>
      </c>
      <c r="K2929" t="s">
        <v>25</v>
      </c>
      <c r="L2929" t="s">
        <v>26</v>
      </c>
      <c r="M2929" t="s">
        <v>27</v>
      </c>
      <c r="N2929" s="1">
        <v>18629</v>
      </c>
      <c r="O2929">
        <v>0</v>
      </c>
      <c r="P2929">
        <v>0</v>
      </c>
      <c r="Q2929" t="s">
        <v>28</v>
      </c>
      <c r="R2929" t="s">
        <v>29</v>
      </c>
      <c r="S2929" t="s">
        <v>1555</v>
      </c>
      <c r="T2929" t="s">
        <v>1556</v>
      </c>
    </row>
    <row r="2930" spans="1:20" x14ac:dyDescent="0.25">
      <c r="A2930" t="s">
        <v>7298</v>
      </c>
      <c r="B2930" t="str">
        <f>"6651"</f>
        <v>6651</v>
      </c>
      <c r="C2930" t="str">
        <f>"288386651"</f>
        <v>288386651</v>
      </c>
      <c r="D2930" t="s">
        <v>7299</v>
      </c>
      <c r="E2930" t="s">
        <v>856</v>
      </c>
      <c r="G2930" s="1">
        <v>15563</v>
      </c>
      <c r="H2930" s="1">
        <v>40077</v>
      </c>
      <c r="I2930" t="str">
        <f>"52"</f>
        <v>52</v>
      </c>
      <c r="J2930" t="s">
        <v>330</v>
      </c>
      <c r="K2930" t="s">
        <v>25</v>
      </c>
      <c r="L2930" t="s">
        <v>26</v>
      </c>
      <c r="M2930" t="s">
        <v>27</v>
      </c>
      <c r="N2930" s="1">
        <v>18629</v>
      </c>
      <c r="O2930">
        <v>0</v>
      </c>
      <c r="P2930">
        <v>0</v>
      </c>
      <c r="Q2930" t="s">
        <v>37</v>
      </c>
      <c r="R2930" t="s">
        <v>29</v>
      </c>
      <c r="S2930" t="s">
        <v>1761</v>
      </c>
      <c r="T2930" t="s">
        <v>1762</v>
      </c>
    </row>
    <row r="2931" spans="1:20" x14ac:dyDescent="0.25">
      <c r="A2931" t="s">
        <v>7300</v>
      </c>
      <c r="B2931" t="str">
        <f>"2800"</f>
        <v>2800</v>
      </c>
      <c r="C2931" t="str">
        <f>"150642800"</f>
        <v>150642800</v>
      </c>
      <c r="D2931" t="s">
        <v>7301</v>
      </c>
      <c r="E2931" t="s">
        <v>7302</v>
      </c>
      <c r="G2931" s="1">
        <v>23620</v>
      </c>
      <c r="H2931" s="1">
        <v>40077</v>
      </c>
      <c r="I2931" t="str">
        <f>"52"</f>
        <v>52</v>
      </c>
      <c r="J2931" t="s">
        <v>330</v>
      </c>
      <c r="K2931" t="s">
        <v>25</v>
      </c>
      <c r="L2931" t="s">
        <v>26</v>
      </c>
      <c r="M2931" t="s">
        <v>27</v>
      </c>
      <c r="N2931" s="1">
        <v>18629</v>
      </c>
      <c r="O2931">
        <v>0</v>
      </c>
      <c r="P2931">
        <v>0</v>
      </c>
      <c r="Q2931" t="s">
        <v>37</v>
      </c>
      <c r="R2931" t="s">
        <v>29</v>
      </c>
      <c r="S2931" t="s">
        <v>1761</v>
      </c>
      <c r="T2931" t="s">
        <v>1762</v>
      </c>
    </row>
    <row r="2932" spans="1:20" x14ac:dyDescent="0.25">
      <c r="A2932" t="s">
        <v>7303</v>
      </c>
      <c r="B2932" t="str">
        <f>"8173"</f>
        <v>8173</v>
      </c>
      <c r="C2932" t="str">
        <f>"277768173"</f>
        <v>277768173</v>
      </c>
      <c r="D2932" t="s">
        <v>3412</v>
      </c>
      <c r="E2932" t="s">
        <v>308</v>
      </c>
      <c r="F2932" t="s">
        <v>619</v>
      </c>
      <c r="G2932" s="1">
        <v>26264</v>
      </c>
      <c r="H2932" s="1">
        <v>40077</v>
      </c>
      <c r="I2932" t="str">
        <f>"52"</f>
        <v>52</v>
      </c>
      <c r="J2932" t="s">
        <v>330</v>
      </c>
      <c r="K2932" t="s">
        <v>25</v>
      </c>
      <c r="L2932" t="s">
        <v>26</v>
      </c>
      <c r="M2932" t="s">
        <v>27</v>
      </c>
      <c r="N2932" s="1">
        <v>18629</v>
      </c>
      <c r="O2932">
        <v>0</v>
      </c>
      <c r="P2932">
        <v>0</v>
      </c>
      <c r="Q2932" t="s">
        <v>37</v>
      </c>
      <c r="R2932" t="s">
        <v>29</v>
      </c>
      <c r="S2932" t="s">
        <v>1761</v>
      </c>
      <c r="T2932" t="s">
        <v>1762</v>
      </c>
    </row>
    <row r="2933" spans="1:20" x14ac:dyDescent="0.25">
      <c r="A2933" t="s">
        <v>7304</v>
      </c>
      <c r="B2933" t="str">
        <f>"4139"</f>
        <v>4139</v>
      </c>
      <c r="C2933" t="str">
        <f>"271904139"</f>
        <v>271904139</v>
      </c>
      <c r="D2933" t="s">
        <v>7305</v>
      </c>
      <c r="E2933" t="s">
        <v>466</v>
      </c>
      <c r="F2933" t="s">
        <v>282</v>
      </c>
      <c r="G2933" s="1">
        <v>30817</v>
      </c>
      <c r="H2933" s="1">
        <v>40077</v>
      </c>
      <c r="I2933" t="str">
        <f>"52"</f>
        <v>52</v>
      </c>
      <c r="J2933" t="s">
        <v>330</v>
      </c>
      <c r="K2933" t="s">
        <v>25</v>
      </c>
      <c r="L2933" t="s">
        <v>26</v>
      </c>
      <c r="M2933" t="s">
        <v>27</v>
      </c>
      <c r="N2933" s="1">
        <v>18629</v>
      </c>
      <c r="O2933">
        <v>0</v>
      </c>
      <c r="P2933">
        <v>0</v>
      </c>
      <c r="Q2933" t="s">
        <v>28</v>
      </c>
      <c r="R2933" t="s">
        <v>29</v>
      </c>
      <c r="S2933" t="s">
        <v>1761</v>
      </c>
      <c r="T2933" t="s">
        <v>1762</v>
      </c>
    </row>
    <row r="2934" spans="1:20" x14ac:dyDescent="0.25">
      <c r="A2934" t="s">
        <v>7306</v>
      </c>
      <c r="B2934" t="str">
        <f>"6156"</f>
        <v>6156</v>
      </c>
      <c r="C2934" t="str">
        <f>"251766156"</f>
        <v>251766156</v>
      </c>
      <c r="D2934" t="s">
        <v>1798</v>
      </c>
      <c r="E2934" t="s">
        <v>7307</v>
      </c>
      <c r="F2934" t="s">
        <v>264</v>
      </c>
      <c r="G2934" s="1">
        <v>16682</v>
      </c>
      <c r="H2934" s="1">
        <v>40077</v>
      </c>
      <c r="I2934" t="str">
        <f>"52"</f>
        <v>52</v>
      </c>
      <c r="J2934" t="s">
        <v>330</v>
      </c>
      <c r="K2934" t="s">
        <v>25</v>
      </c>
      <c r="L2934" t="s">
        <v>26</v>
      </c>
      <c r="M2934" t="s">
        <v>27</v>
      </c>
      <c r="N2934" s="1">
        <v>18629</v>
      </c>
      <c r="O2934">
        <v>0</v>
      </c>
      <c r="P2934">
        <v>0</v>
      </c>
      <c r="Q2934" t="s">
        <v>37</v>
      </c>
      <c r="R2934" t="s">
        <v>29</v>
      </c>
      <c r="S2934" t="s">
        <v>1761</v>
      </c>
      <c r="T2934" t="s">
        <v>1762</v>
      </c>
    </row>
    <row r="2935" spans="1:20" x14ac:dyDescent="0.25">
      <c r="A2935" t="s">
        <v>7308</v>
      </c>
      <c r="B2935" t="str">
        <f>"5961"</f>
        <v>5961</v>
      </c>
      <c r="C2935" t="str">
        <f>"293805961"</f>
        <v>293805961</v>
      </c>
      <c r="D2935" t="s">
        <v>7309</v>
      </c>
      <c r="E2935" t="s">
        <v>822</v>
      </c>
      <c r="F2935" t="s">
        <v>414</v>
      </c>
      <c r="G2935" s="1">
        <v>25140</v>
      </c>
      <c r="H2935" s="1">
        <v>40077</v>
      </c>
      <c r="I2935" t="str">
        <f>"33"</f>
        <v>33</v>
      </c>
      <c r="J2935" t="s">
        <v>45</v>
      </c>
      <c r="K2935" t="s">
        <v>25</v>
      </c>
      <c r="L2935" t="s">
        <v>26</v>
      </c>
      <c r="M2935" t="s">
        <v>27</v>
      </c>
      <c r="N2935" s="1">
        <v>18629</v>
      </c>
      <c r="O2935">
        <v>0</v>
      </c>
      <c r="P2935">
        <v>0</v>
      </c>
      <c r="Q2935" t="s">
        <v>37</v>
      </c>
      <c r="R2935" t="s">
        <v>51</v>
      </c>
      <c r="S2935" t="s">
        <v>795</v>
      </c>
      <c r="T2935" t="s">
        <v>796</v>
      </c>
    </row>
    <row r="2936" spans="1:20" x14ac:dyDescent="0.25">
      <c r="A2936" t="s">
        <v>7310</v>
      </c>
      <c r="B2936" t="str">
        <f>"2548"</f>
        <v>2548</v>
      </c>
      <c r="C2936" t="str">
        <f>"274422548"</f>
        <v>274422548</v>
      </c>
      <c r="D2936" t="s">
        <v>7311</v>
      </c>
      <c r="E2936" t="s">
        <v>682</v>
      </c>
      <c r="G2936" s="1">
        <v>19141</v>
      </c>
      <c r="H2936" s="1">
        <v>40077</v>
      </c>
      <c r="I2936" t="str">
        <f>"52"</f>
        <v>52</v>
      </c>
      <c r="J2936" t="s">
        <v>330</v>
      </c>
      <c r="K2936" t="s">
        <v>25</v>
      </c>
      <c r="L2936" t="s">
        <v>26</v>
      </c>
      <c r="M2936" t="s">
        <v>27</v>
      </c>
      <c r="N2936" s="1">
        <v>18629</v>
      </c>
      <c r="O2936">
        <v>0</v>
      </c>
      <c r="P2936">
        <v>0</v>
      </c>
      <c r="Q2936" t="s">
        <v>37</v>
      </c>
      <c r="R2936" t="s">
        <v>29</v>
      </c>
      <c r="S2936" t="s">
        <v>1761</v>
      </c>
      <c r="T2936" t="s">
        <v>1762</v>
      </c>
    </row>
    <row r="2937" spans="1:20" x14ac:dyDescent="0.25">
      <c r="A2937" t="s">
        <v>7312</v>
      </c>
      <c r="B2937" t="str">
        <f>"8507"</f>
        <v>8507</v>
      </c>
      <c r="C2937" t="str">
        <f>"270068507"</f>
        <v>270068507</v>
      </c>
      <c r="D2937" t="s">
        <v>7313</v>
      </c>
      <c r="E2937" t="s">
        <v>7314</v>
      </c>
      <c r="F2937" t="s">
        <v>28</v>
      </c>
      <c r="G2937" s="1">
        <v>27529</v>
      </c>
      <c r="H2937" s="1">
        <v>40077</v>
      </c>
      <c r="I2937" t="str">
        <f>"51"</f>
        <v>51</v>
      </c>
      <c r="J2937" t="s">
        <v>471</v>
      </c>
      <c r="K2937" t="s">
        <v>25</v>
      </c>
      <c r="L2937" t="s">
        <v>26</v>
      </c>
      <c r="M2937" t="s">
        <v>27</v>
      </c>
      <c r="N2937" s="1">
        <v>18629</v>
      </c>
      <c r="O2937">
        <v>0</v>
      </c>
      <c r="P2937">
        <v>0</v>
      </c>
      <c r="Q2937" t="s">
        <v>28</v>
      </c>
      <c r="R2937" t="s">
        <v>29</v>
      </c>
      <c r="S2937" t="s">
        <v>1555</v>
      </c>
      <c r="T2937" t="s">
        <v>1556</v>
      </c>
    </row>
    <row r="2938" spans="1:20" x14ac:dyDescent="0.25">
      <c r="A2938" t="s">
        <v>7315</v>
      </c>
      <c r="B2938" t="str">
        <f>"8776"</f>
        <v>8776</v>
      </c>
      <c r="C2938" t="str">
        <f>"298468776"</f>
        <v>298468776</v>
      </c>
      <c r="D2938" t="s">
        <v>7316</v>
      </c>
      <c r="E2938" t="s">
        <v>2152</v>
      </c>
      <c r="F2938" t="s">
        <v>438</v>
      </c>
      <c r="G2938" s="1">
        <v>17424</v>
      </c>
      <c r="H2938" s="1">
        <v>40077</v>
      </c>
      <c r="I2938" t="str">
        <f>"01"</f>
        <v>01</v>
      </c>
      <c r="J2938" t="s">
        <v>116</v>
      </c>
      <c r="K2938" t="s">
        <v>98</v>
      </c>
      <c r="L2938" t="s">
        <v>37</v>
      </c>
      <c r="M2938" t="s">
        <v>117</v>
      </c>
      <c r="N2938" s="1">
        <v>41617</v>
      </c>
      <c r="O2938">
        <v>4951.96</v>
      </c>
      <c r="P2938">
        <v>1237.8599999999999</v>
      </c>
      <c r="Q2938" t="s">
        <v>37</v>
      </c>
      <c r="R2938" t="s">
        <v>38</v>
      </c>
      <c r="S2938" t="s">
        <v>5219</v>
      </c>
      <c r="T2938" t="s">
        <v>5220</v>
      </c>
    </row>
    <row r="2939" spans="1:20" x14ac:dyDescent="0.25">
      <c r="A2939" t="s">
        <v>7317</v>
      </c>
      <c r="B2939" t="str">
        <f>"7327"</f>
        <v>7327</v>
      </c>
      <c r="C2939" t="str">
        <f>"330507327"</f>
        <v>330507327</v>
      </c>
      <c r="D2939" t="s">
        <v>7318</v>
      </c>
      <c r="E2939" t="s">
        <v>3412</v>
      </c>
      <c r="F2939" t="s">
        <v>28</v>
      </c>
      <c r="G2939" s="1">
        <v>20595</v>
      </c>
      <c r="H2939" s="1">
        <v>40075</v>
      </c>
      <c r="I2939" t="str">
        <f>"52"</f>
        <v>52</v>
      </c>
      <c r="J2939" t="s">
        <v>330</v>
      </c>
      <c r="K2939" t="s">
        <v>25</v>
      </c>
      <c r="L2939" t="s">
        <v>26</v>
      </c>
      <c r="M2939" t="s">
        <v>27</v>
      </c>
      <c r="N2939" s="1">
        <v>18629</v>
      </c>
      <c r="O2939">
        <v>0</v>
      </c>
      <c r="P2939">
        <v>0</v>
      </c>
      <c r="Q2939" t="s">
        <v>28</v>
      </c>
      <c r="R2939" t="s">
        <v>51</v>
      </c>
      <c r="S2939" s="2" t="s">
        <v>3548</v>
      </c>
      <c r="T2939" t="s">
        <v>3549</v>
      </c>
    </row>
    <row r="2940" spans="1:20" x14ac:dyDescent="0.25">
      <c r="A2940" t="s">
        <v>7319</v>
      </c>
      <c r="B2940" t="str">
        <f>"7506"</f>
        <v>7506</v>
      </c>
      <c r="C2940" t="str">
        <f>"172447506"</f>
        <v>172447506</v>
      </c>
      <c r="D2940" t="s">
        <v>7320</v>
      </c>
      <c r="E2940" t="s">
        <v>304</v>
      </c>
      <c r="F2940" t="s">
        <v>97</v>
      </c>
      <c r="G2940" s="1">
        <v>21085</v>
      </c>
      <c r="H2940" s="1">
        <v>40073</v>
      </c>
      <c r="I2940" t="str">
        <f>"51"</f>
        <v>51</v>
      </c>
      <c r="J2940" t="s">
        <v>471</v>
      </c>
      <c r="K2940" t="s">
        <v>25</v>
      </c>
      <c r="L2940" t="s">
        <v>26</v>
      </c>
      <c r="M2940" t="s">
        <v>27</v>
      </c>
      <c r="N2940" s="1">
        <v>18629</v>
      </c>
      <c r="O2940">
        <v>0</v>
      </c>
      <c r="P2940">
        <v>0</v>
      </c>
      <c r="Q2940" t="s">
        <v>28</v>
      </c>
      <c r="R2940" t="s">
        <v>312</v>
      </c>
      <c r="S2940" t="s">
        <v>7321</v>
      </c>
      <c r="T2940" t="s">
        <v>7322</v>
      </c>
    </row>
    <row r="2941" spans="1:20" x14ac:dyDescent="0.25">
      <c r="A2941" t="s">
        <v>7323</v>
      </c>
      <c r="B2941" t="str">
        <f>"4845"</f>
        <v>4845</v>
      </c>
      <c r="C2941" t="str">
        <f>"213234845"</f>
        <v>213234845</v>
      </c>
      <c r="D2941" t="s">
        <v>7324</v>
      </c>
      <c r="E2941" t="s">
        <v>7325</v>
      </c>
      <c r="F2941" t="s">
        <v>264</v>
      </c>
      <c r="G2941" s="1">
        <v>31218</v>
      </c>
      <c r="H2941" s="1">
        <v>40071</v>
      </c>
      <c r="I2941" t="str">
        <f>"51"</f>
        <v>51</v>
      </c>
      <c r="J2941" t="s">
        <v>471</v>
      </c>
      <c r="K2941" t="s">
        <v>25</v>
      </c>
      <c r="L2941" t="s">
        <v>26</v>
      </c>
      <c r="M2941" t="s">
        <v>27</v>
      </c>
      <c r="N2941" s="1">
        <v>18629</v>
      </c>
      <c r="O2941">
        <v>0</v>
      </c>
      <c r="P2941">
        <v>0</v>
      </c>
      <c r="Q2941" t="s">
        <v>37</v>
      </c>
      <c r="R2941" t="s">
        <v>51</v>
      </c>
      <c r="S2941" s="2" t="s">
        <v>2202</v>
      </c>
      <c r="T2941" t="s">
        <v>2203</v>
      </c>
    </row>
    <row r="2942" spans="1:20" x14ac:dyDescent="0.25">
      <c r="A2942" t="s">
        <v>7326</v>
      </c>
      <c r="B2942" t="str">
        <f>"1492"</f>
        <v>1492</v>
      </c>
      <c r="C2942" t="str">
        <f>"281461492"</f>
        <v>281461492</v>
      </c>
      <c r="D2942" t="s">
        <v>7327</v>
      </c>
      <c r="E2942" t="s">
        <v>7328</v>
      </c>
      <c r="F2942" t="s">
        <v>7329</v>
      </c>
      <c r="G2942" s="1">
        <v>18085</v>
      </c>
      <c r="H2942" s="1">
        <v>40071</v>
      </c>
      <c r="I2942" t="str">
        <f>"41"</f>
        <v>41</v>
      </c>
      <c r="J2942" t="s">
        <v>24</v>
      </c>
      <c r="K2942" t="s">
        <v>25</v>
      </c>
      <c r="L2942" t="s">
        <v>26</v>
      </c>
      <c r="M2942" t="s">
        <v>27</v>
      </c>
      <c r="N2942" s="1">
        <v>18629</v>
      </c>
      <c r="O2942">
        <v>0</v>
      </c>
      <c r="P2942">
        <v>0</v>
      </c>
      <c r="Q2942" t="s">
        <v>28</v>
      </c>
      <c r="R2942" t="s">
        <v>38</v>
      </c>
      <c r="S2942" t="s">
        <v>527</v>
      </c>
      <c r="T2942" t="s">
        <v>528</v>
      </c>
    </row>
    <row r="2943" spans="1:20" x14ac:dyDescent="0.25">
      <c r="A2943" t="s">
        <v>7330</v>
      </c>
      <c r="B2943" t="str">
        <f>"4444"</f>
        <v>4444</v>
      </c>
      <c r="C2943" t="str">
        <f>"383904444"</f>
        <v>383904444</v>
      </c>
      <c r="D2943" t="s">
        <v>7331</v>
      </c>
      <c r="E2943" t="s">
        <v>7332</v>
      </c>
      <c r="F2943" t="s">
        <v>44</v>
      </c>
      <c r="G2943" s="1">
        <v>29283</v>
      </c>
      <c r="H2943" s="1">
        <v>40071</v>
      </c>
      <c r="I2943" t="str">
        <f>"41"</f>
        <v>41</v>
      </c>
      <c r="J2943" t="s">
        <v>24</v>
      </c>
      <c r="K2943" t="s">
        <v>25</v>
      </c>
      <c r="L2943" t="s">
        <v>26</v>
      </c>
      <c r="M2943" t="s">
        <v>27</v>
      </c>
      <c r="N2943" s="1">
        <v>18629</v>
      </c>
      <c r="O2943">
        <v>0</v>
      </c>
      <c r="P2943">
        <v>0</v>
      </c>
      <c r="Q2943" t="s">
        <v>37</v>
      </c>
      <c r="R2943" t="s">
        <v>51</v>
      </c>
      <c r="S2943" t="s">
        <v>83</v>
      </c>
      <c r="T2943" t="s">
        <v>84</v>
      </c>
    </row>
    <row r="2944" spans="1:20" x14ac:dyDescent="0.25">
      <c r="A2944" t="s">
        <v>7333</v>
      </c>
      <c r="B2944" t="str">
        <f>"8937"</f>
        <v>8937</v>
      </c>
      <c r="C2944" t="str">
        <f>"269508937"</f>
        <v>269508937</v>
      </c>
      <c r="D2944" t="s">
        <v>7334</v>
      </c>
      <c r="E2944" t="s">
        <v>92</v>
      </c>
      <c r="G2944" s="1">
        <v>18464</v>
      </c>
      <c r="H2944" s="1">
        <v>40071</v>
      </c>
      <c r="I2944" t="str">
        <f>"41"</f>
        <v>41</v>
      </c>
      <c r="J2944" t="s">
        <v>24</v>
      </c>
      <c r="K2944" t="s">
        <v>25</v>
      </c>
      <c r="L2944" t="s">
        <v>26</v>
      </c>
      <c r="M2944" t="s">
        <v>27</v>
      </c>
      <c r="N2944" s="1">
        <v>18629</v>
      </c>
      <c r="O2944">
        <v>0</v>
      </c>
      <c r="P2944">
        <v>0</v>
      </c>
      <c r="Q2944" t="s">
        <v>37</v>
      </c>
      <c r="R2944" t="s">
        <v>258</v>
      </c>
      <c r="S2944" t="s">
        <v>527</v>
      </c>
      <c r="T2944" t="s">
        <v>528</v>
      </c>
    </row>
    <row r="2945" spans="1:20" x14ac:dyDescent="0.25">
      <c r="A2945" t="s">
        <v>7335</v>
      </c>
      <c r="B2945" t="str">
        <f>"0136"</f>
        <v>0136</v>
      </c>
      <c r="C2945" t="str">
        <f>"183500136"</f>
        <v>183500136</v>
      </c>
      <c r="D2945" t="s">
        <v>7336</v>
      </c>
      <c r="E2945" t="s">
        <v>5691</v>
      </c>
      <c r="F2945" t="s">
        <v>93</v>
      </c>
      <c r="G2945" s="1">
        <v>25915</v>
      </c>
      <c r="H2945" s="1">
        <v>40070</v>
      </c>
      <c r="I2945" t="str">
        <f>"41"</f>
        <v>41</v>
      </c>
      <c r="J2945" t="s">
        <v>24</v>
      </c>
      <c r="K2945" t="s">
        <v>25</v>
      </c>
      <c r="L2945" t="s">
        <v>26</v>
      </c>
      <c r="M2945" t="s">
        <v>27</v>
      </c>
      <c r="N2945" s="1">
        <v>18629</v>
      </c>
      <c r="O2945">
        <v>0</v>
      </c>
      <c r="P2945">
        <v>0</v>
      </c>
      <c r="Q2945" t="s">
        <v>37</v>
      </c>
      <c r="R2945" t="s">
        <v>71</v>
      </c>
      <c r="S2945" t="s">
        <v>2297</v>
      </c>
      <c r="T2945" t="s">
        <v>2298</v>
      </c>
    </row>
    <row r="2946" spans="1:20" x14ac:dyDescent="0.25">
      <c r="A2946" t="s">
        <v>7337</v>
      </c>
      <c r="B2946" t="str">
        <f>"7775"</f>
        <v>7775</v>
      </c>
      <c r="C2946" t="str">
        <f>"296667775"</f>
        <v>296667775</v>
      </c>
      <c r="D2946" t="s">
        <v>7338</v>
      </c>
      <c r="E2946" t="s">
        <v>2519</v>
      </c>
      <c r="F2946" t="s">
        <v>5656</v>
      </c>
      <c r="G2946" s="1">
        <v>19721</v>
      </c>
      <c r="H2946" s="1">
        <v>40068</v>
      </c>
      <c r="I2946" t="str">
        <f>"52"</f>
        <v>52</v>
      </c>
      <c r="J2946" t="s">
        <v>330</v>
      </c>
      <c r="K2946" t="s">
        <v>25</v>
      </c>
      <c r="L2946" t="s">
        <v>26</v>
      </c>
      <c r="M2946" t="s">
        <v>27</v>
      </c>
      <c r="N2946" s="1">
        <v>18629</v>
      </c>
      <c r="O2946">
        <v>0</v>
      </c>
      <c r="P2946">
        <v>0</v>
      </c>
      <c r="Q2946" t="s">
        <v>37</v>
      </c>
      <c r="R2946" t="s">
        <v>71</v>
      </c>
      <c r="S2946" t="s">
        <v>1774</v>
      </c>
      <c r="T2946" t="s">
        <v>1775</v>
      </c>
    </row>
    <row r="2947" spans="1:20" x14ac:dyDescent="0.25">
      <c r="A2947" t="s">
        <v>7339</v>
      </c>
      <c r="B2947" t="str">
        <f>"7962"</f>
        <v>7962</v>
      </c>
      <c r="C2947" t="str">
        <f>"007507962"</f>
        <v>007507962</v>
      </c>
      <c r="D2947" t="s">
        <v>7340</v>
      </c>
      <c r="E2947" t="s">
        <v>2256</v>
      </c>
      <c r="F2947" t="s">
        <v>26</v>
      </c>
      <c r="G2947" s="1">
        <v>19835</v>
      </c>
      <c r="H2947" s="1">
        <v>40067</v>
      </c>
      <c r="I2947" t="str">
        <f>"41"</f>
        <v>41</v>
      </c>
      <c r="J2947" t="s">
        <v>24</v>
      </c>
      <c r="K2947" t="s">
        <v>25</v>
      </c>
      <c r="L2947" t="s">
        <v>26</v>
      </c>
      <c r="M2947" t="s">
        <v>27</v>
      </c>
      <c r="N2947" s="1">
        <v>18629</v>
      </c>
      <c r="O2947">
        <v>0</v>
      </c>
      <c r="P2947">
        <v>0</v>
      </c>
      <c r="Q2947" t="s">
        <v>37</v>
      </c>
      <c r="R2947" t="s">
        <v>51</v>
      </c>
      <c r="S2947" t="s">
        <v>83</v>
      </c>
      <c r="T2947" t="s">
        <v>84</v>
      </c>
    </row>
    <row r="2948" spans="1:20" x14ac:dyDescent="0.25">
      <c r="A2948" t="s">
        <v>7341</v>
      </c>
      <c r="B2948" t="str">
        <f>"3732"</f>
        <v>3732</v>
      </c>
      <c r="C2948" t="str">
        <f>"278503732"</f>
        <v>278503732</v>
      </c>
      <c r="D2948" t="s">
        <v>7342</v>
      </c>
      <c r="E2948" t="s">
        <v>7343</v>
      </c>
      <c r="F2948" t="s">
        <v>44</v>
      </c>
      <c r="G2948" s="1">
        <v>18632</v>
      </c>
      <c r="H2948" s="1">
        <v>40065</v>
      </c>
      <c r="I2948" t="str">
        <f>"52"</f>
        <v>52</v>
      </c>
      <c r="J2948" t="s">
        <v>330</v>
      </c>
      <c r="K2948" t="s">
        <v>25</v>
      </c>
      <c r="L2948" t="s">
        <v>26</v>
      </c>
      <c r="M2948" t="s">
        <v>27</v>
      </c>
      <c r="N2948" s="1">
        <v>18629</v>
      </c>
      <c r="O2948">
        <v>0</v>
      </c>
      <c r="P2948">
        <v>0</v>
      </c>
      <c r="Q2948" t="s">
        <v>28</v>
      </c>
      <c r="R2948" t="s">
        <v>51</v>
      </c>
      <c r="S2948" s="2" t="s">
        <v>3548</v>
      </c>
      <c r="T2948" t="s">
        <v>3549</v>
      </c>
    </row>
    <row r="2949" spans="1:20" x14ac:dyDescent="0.25">
      <c r="A2949" t="s">
        <v>7344</v>
      </c>
      <c r="B2949" t="str">
        <f>"1886"</f>
        <v>1886</v>
      </c>
      <c r="C2949" t="str">
        <f>"284641886"</f>
        <v>284641886</v>
      </c>
      <c r="D2949" t="s">
        <v>7345</v>
      </c>
      <c r="E2949" t="s">
        <v>2290</v>
      </c>
      <c r="F2949" t="s">
        <v>93</v>
      </c>
      <c r="G2949" s="1">
        <v>21524</v>
      </c>
      <c r="H2949" s="1">
        <v>40064</v>
      </c>
      <c r="I2949" t="str">
        <f>"41"</f>
        <v>41</v>
      </c>
      <c r="J2949" t="s">
        <v>24</v>
      </c>
      <c r="K2949" t="s">
        <v>25</v>
      </c>
      <c r="L2949" t="s">
        <v>26</v>
      </c>
      <c r="M2949" t="s">
        <v>27</v>
      </c>
      <c r="N2949" s="1">
        <v>18629</v>
      </c>
      <c r="O2949">
        <v>0</v>
      </c>
      <c r="P2949">
        <v>0</v>
      </c>
      <c r="Q2949" t="s">
        <v>28</v>
      </c>
      <c r="R2949" t="s">
        <v>258</v>
      </c>
      <c r="S2949" t="s">
        <v>331</v>
      </c>
      <c r="T2949" t="s">
        <v>332</v>
      </c>
    </row>
    <row r="2950" spans="1:20" x14ac:dyDescent="0.25">
      <c r="A2950" t="s">
        <v>7346</v>
      </c>
      <c r="B2950" t="str">
        <f>"1096"</f>
        <v>1096</v>
      </c>
      <c r="C2950" t="str">
        <f>"290841096"</f>
        <v>290841096</v>
      </c>
      <c r="D2950" t="s">
        <v>7347</v>
      </c>
      <c r="E2950" t="s">
        <v>1081</v>
      </c>
      <c r="F2950" t="s">
        <v>28</v>
      </c>
      <c r="G2950" s="1">
        <v>26764</v>
      </c>
      <c r="H2950" s="1">
        <v>40064</v>
      </c>
      <c r="I2950" t="str">
        <f>"41"</f>
        <v>41</v>
      </c>
      <c r="J2950" t="s">
        <v>24</v>
      </c>
      <c r="K2950" t="s">
        <v>25</v>
      </c>
      <c r="L2950" t="s">
        <v>26</v>
      </c>
      <c r="M2950" t="s">
        <v>27</v>
      </c>
      <c r="N2950" s="1">
        <v>18629</v>
      </c>
      <c r="O2950">
        <v>0</v>
      </c>
      <c r="P2950">
        <v>0</v>
      </c>
      <c r="Q2950" t="s">
        <v>28</v>
      </c>
      <c r="R2950" t="s">
        <v>71</v>
      </c>
      <c r="S2950" t="s">
        <v>402</v>
      </c>
      <c r="T2950" t="s">
        <v>403</v>
      </c>
    </row>
    <row r="2951" spans="1:20" x14ac:dyDescent="0.25">
      <c r="A2951" t="s">
        <v>7348</v>
      </c>
      <c r="B2951" t="str">
        <f>"5697"</f>
        <v>5697</v>
      </c>
      <c r="C2951" t="str">
        <f>"274545697"</f>
        <v>274545697</v>
      </c>
      <c r="D2951" t="s">
        <v>7349</v>
      </c>
      <c r="E2951" t="s">
        <v>3646</v>
      </c>
      <c r="F2951" t="s">
        <v>28</v>
      </c>
      <c r="G2951" s="1">
        <v>20921</v>
      </c>
      <c r="H2951" s="1">
        <v>40064</v>
      </c>
      <c r="I2951" t="str">
        <f>"41"</f>
        <v>41</v>
      </c>
      <c r="J2951" t="s">
        <v>24</v>
      </c>
      <c r="K2951" t="s">
        <v>25</v>
      </c>
      <c r="L2951" t="s">
        <v>26</v>
      </c>
      <c r="M2951" t="s">
        <v>27</v>
      </c>
      <c r="N2951" s="1">
        <v>18629</v>
      </c>
      <c r="O2951">
        <v>0</v>
      </c>
      <c r="P2951">
        <v>0</v>
      </c>
      <c r="Q2951" t="s">
        <v>28</v>
      </c>
      <c r="R2951" t="s">
        <v>258</v>
      </c>
      <c r="S2951" t="s">
        <v>331</v>
      </c>
      <c r="T2951" t="s">
        <v>332</v>
      </c>
    </row>
    <row r="2952" spans="1:20" x14ac:dyDescent="0.25">
      <c r="A2952" t="s">
        <v>7350</v>
      </c>
      <c r="B2952" t="str">
        <f>"6145"</f>
        <v>6145</v>
      </c>
      <c r="C2952" t="str">
        <f>"288786145"</f>
        <v>288786145</v>
      </c>
      <c r="D2952" t="s">
        <v>7351</v>
      </c>
      <c r="E2952" t="s">
        <v>7352</v>
      </c>
      <c r="F2952" t="s">
        <v>219</v>
      </c>
      <c r="G2952" s="1">
        <v>24822</v>
      </c>
      <c r="H2952" s="1">
        <v>40064</v>
      </c>
      <c r="I2952" t="str">
        <f>"52"</f>
        <v>52</v>
      </c>
      <c r="J2952" t="s">
        <v>330</v>
      </c>
      <c r="K2952" t="s">
        <v>25</v>
      </c>
      <c r="L2952" t="s">
        <v>26</v>
      </c>
      <c r="M2952" t="s">
        <v>27</v>
      </c>
      <c r="N2952" s="1">
        <v>18629</v>
      </c>
      <c r="O2952">
        <v>0</v>
      </c>
      <c r="P2952">
        <v>0</v>
      </c>
      <c r="Q2952" t="s">
        <v>37</v>
      </c>
      <c r="R2952" t="s">
        <v>71</v>
      </c>
      <c r="S2952" t="s">
        <v>331</v>
      </c>
      <c r="T2952" t="s">
        <v>332</v>
      </c>
    </row>
    <row r="2953" spans="1:20" x14ac:dyDescent="0.25">
      <c r="A2953" t="s">
        <v>7353</v>
      </c>
      <c r="B2953" t="str">
        <f>"7131"</f>
        <v>7131</v>
      </c>
      <c r="C2953" t="str">
        <f>"290867131"</f>
        <v>290867131</v>
      </c>
      <c r="D2953" t="s">
        <v>7354</v>
      </c>
      <c r="E2953" t="s">
        <v>2177</v>
      </c>
      <c r="F2953" t="s">
        <v>414</v>
      </c>
      <c r="G2953" s="1">
        <v>29971</v>
      </c>
      <c r="H2953" s="1">
        <v>40064</v>
      </c>
      <c r="I2953" t="str">
        <f>"08"</f>
        <v>08</v>
      </c>
      <c r="J2953" t="s">
        <v>265</v>
      </c>
      <c r="K2953" t="s">
        <v>98</v>
      </c>
      <c r="L2953" t="s">
        <v>37</v>
      </c>
      <c r="M2953" t="s">
        <v>99</v>
      </c>
      <c r="N2953" s="1">
        <v>41617</v>
      </c>
      <c r="O2953">
        <v>14801.8</v>
      </c>
      <c r="P2953">
        <v>3700.32</v>
      </c>
      <c r="Q2953" t="s">
        <v>37</v>
      </c>
      <c r="R2953" t="s">
        <v>29</v>
      </c>
      <c r="S2953" t="s">
        <v>266</v>
      </c>
      <c r="T2953" t="s">
        <v>267</v>
      </c>
    </row>
    <row r="2954" spans="1:20" x14ac:dyDescent="0.25">
      <c r="A2954" t="s">
        <v>7355</v>
      </c>
      <c r="B2954" t="str">
        <f>"7347"</f>
        <v>7347</v>
      </c>
      <c r="C2954" t="str">
        <f>"298627347"</f>
        <v>298627347</v>
      </c>
      <c r="D2954" t="s">
        <v>7356</v>
      </c>
      <c r="E2954" t="s">
        <v>4969</v>
      </c>
      <c r="F2954" t="s">
        <v>28</v>
      </c>
      <c r="G2954" s="1">
        <v>23842</v>
      </c>
      <c r="H2954" s="1">
        <v>40064</v>
      </c>
      <c r="I2954" t="str">
        <f>"41"</f>
        <v>41</v>
      </c>
      <c r="J2954" t="s">
        <v>24</v>
      </c>
      <c r="K2954" t="s">
        <v>25</v>
      </c>
      <c r="L2954" t="s">
        <v>26</v>
      </c>
      <c r="M2954" t="s">
        <v>27</v>
      </c>
      <c r="N2954" s="1">
        <v>18629</v>
      </c>
      <c r="O2954">
        <v>0</v>
      </c>
      <c r="P2954">
        <v>0</v>
      </c>
      <c r="Q2954" t="s">
        <v>28</v>
      </c>
      <c r="R2954" t="s">
        <v>51</v>
      </c>
      <c r="S2954" t="s">
        <v>336</v>
      </c>
      <c r="T2954" t="s">
        <v>337</v>
      </c>
    </row>
    <row r="2955" spans="1:20" x14ac:dyDescent="0.25">
      <c r="A2955" t="s">
        <v>7357</v>
      </c>
      <c r="B2955" t="str">
        <f>"8069"</f>
        <v>8069</v>
      </c>
      <c r="C2955" t="str">
        <f>"273608069"</f>
        <v>273608069</v>
      </c>
      <c r="D2955" t="s">
        <v>7358</v>
      </c>
      <c r="E2955" t="s">
        <v>4279</v>
      </c>
      <c r="G2955" s="1">
        <v>25452</v>
      </c>
      <c r="H2955" s="1">
        <v>40064</v>
      </c>
      <c r="I2955" t="str">
        <f>"41"</f>
        <v>41</v>
      </c>
      <c r="J2955" t="s">
        <v>24</v>
      </c>
      <c r="K2955" t="s">
        <v>25</v>
      </c>
      <c r="L2955" t="s">
        <v>26</v>
      </c>
      <c r="M2955" t="s">
        <v>27</v>
      </c>
      <c r="N2955" s="1">
        <v>18629</v>
      </c>
      <c r="O2955">
        <v>0</v>
      </c>
      <c r="P2955">
        <v>0</v>
      </c>
      <c r="Q2955" t="s">
        <v>28</v>
      </c>
      <c r="R2955" t="s">
        <v>71</v>
      </c>
      <c r="S2955" t="s">
        <v>402</v>
      </c>
      <c r="T2955" t="s">
        <v>403</v>
      </c>
    </row>
    <row r="2956" spans="1:20" x14ac:dyDescent="0.25">
      <c r="A2956" t="s">
        <v>7359</v>
      </c>
      <c r="B2956" t="str">
        <f>"5688"</f>
        <v>5688</v>
      </c>
      <c r="C2956" t="str">
        <f>"298445688"</f>
        <v>298445688</v>
      </c>
      <c r="D2956" t="s">
        <v>7360</v>
      </c>
      <c r="E2956" t="s">
        <v>1813</v>
      </c>
      <c r="F2956" t="s">
        <v>93</v>
      </c>
      <c r="G2956" s="1">
        <v>17221</v>
      </c>
      <c r="H2956" s="1">
        <v>40064</v>
      </c>
      <c r="I2956" t="str">
        <f>"33"</f>
        <v>33</v>
      </c>
      <c r="J2956" t="s">
        <v>45</v>
      </c>
      <c r="K2956" t="s">
        <v>25</v>
      </c>
      <c r="L2956" t="s">
        <v>26</v>
      </c>
      <c r="M2956" t="s">
        <v>27</v>
      </c>
      <c r="N2956" s="1">
        <v>18629</v>
      </c>
      <c r="O2956">
        <v>0</v>
      </c>
      <c r="P2956">
        <v>0</v>
      </c>
      <c r="Q2956" t="s">
        <v>37</v>
      </c>
      <c r="R2956" t="s">
        <v>71</v>
      </c>
      <c r="S2956" t="s">
        <v>955</v>
      </c>
      <c r="T2956" t="s">
        <v>956</v>
      </c>
    </row>
    <row r="2957" spans="1:20" x14ac:dyDescent="0.25">
      <c r="A2957" t="s">
        <v>7361</v>
      </c>
      <c r="B2957" t="str">
        <f>"8304"</f>
        <v>8304</v>
      </c>
      <c r="C2957" t="str">
        <f>"232708304"</f>
        <v>232708304</v>
      </c>
      <c r="D2957" t="s">
        <v>7362</v>
      </c>
      <c r="E2957" t="s">
        <v>2027</v>
      </c>
      <c r="F2957" t="s">
        <v>174</v>
      </c>
      <c r="G2957" s="1">
        <v>16557</v>
      </c>
      <c r="H2957" s="1">
        <v>40064</v>
      </c>
      <c r="I2957" t="str">
        <f>"41"</f>
        <v>41</v>
      </c>
      <c r="J2957" t="s">
        <v>24</v>
      </c>
      <c r="K2957" t="s">
        <v>25</v>
      </c>
      <c r="L2957" t="s">
        <v>26</v>
      </c>
      <c r="M2957" t="s">
        <v>27</v>
      </c>
      <c r="N2957" s="1">
        <v>18629</v>
      </c>
      <c r="O2957">
        <v>0</v>
      </c>
      <c r="P2957">
        <v>0</v>
      </c>
      <c r="Q2957" t="s">
        <v>28</v>
      </c>
      <c r="R2957" t="s">
        <v>258</v>
      </c>
      <c r="S2957" t="s">
        <v>331</v>
      </c>
      <c r="T2957" t="s">
        <v>332</v>
      </c>
    </row>
    <row r="2958" spans="1:20" x14ac:dyDescent="0.25">
      <c r="A2958" t="s">
        <v>7363</v>
      </c>
      <c r="B2958" t="str">
        <f>"8035"</f>
        <v>8035</v>
      </c>
      <c r="C2958" t="str">
        <f>"287728035"</f>
        <v>287728035</v>
      </c>
      <c r="D2958" t="s">
        <v>7364</v>
      </c>
      <c r="E2958" t="s">
        <v>197</v>
      </c>
      <c r="F2958" t="s">
        <v>93</v>
      </c>
      <c r="G2958" s="1">
        <v>23217</v>
      </c>
      <c r="H2958" s="1">
        <v>40063</v>
      </c>
      <c r="I2958" t="str">
        <f t="shared" ref="I2958:I2965" si="58">"52"</f>
        <v>52</v>
      </c>
      <c r="J2958" t="s">
        <v>330</v>
      </c>
      <c r="K2958" t="s">
        <v>25</v>
      </c>
      <c r="L2958" t="s">
        <v>26</v>
      </c>
      <c r="M2958" t="s">
        <v>27</v>
      </c>
      <c r="N2958" s="1">
        <v>18629</v>
      </c>
      <c r="O2958">
        <v>0</v>
      </c>
      <c r="P2958">
        <v>0</v>
      </c>
      <c r="Q2958" t="s">
        <v>28</v>
      </c>
      <c r="R2958" t="s">
        <v>258</v>
      </c>
      <c r="S2958" t="s">
        <v>331</v>
      </c>
      <c r="T2958" t="s">
        <v>332</v>
      </c>
    </row>
    <row r="2959" spans="1:20" x14ac:dyDescent="0.25">
      <c r="A2959" t="s">
        <v>7365</v>
      </c>
      <c r="B2959" t="str">
        <f>"0551"</f>
        <v>0551</v>
      </c>
      <c r="C2959" t="str">
        <f>"283440551"</f>
        <v>283440551</v>
      </c>
      <c r="D2959" t="s">
        <v>7366</v>
      </c>
      <c r="E2959" t="s">
        <v>214</v>
      </c>
      <c r="F2959" t="s">
        <v>414</v>
      </c>
      <c r="G2959" s="1">
        <v>18705</v>
      </c>
      <c r="H2959" s="1">
        <v>40063</v>
      </c>
      <c r="I2959" t="str">
        <f t="shared" si="58"/>
        <v>52</v>
      </c>
      <c r="J2959" t="s">
        <v>330</v>
      </c>
      <c r="K2959" t="s">
        <v>25</v>
      </c>
      <c r="L2959" t="s">
        <v>26</v>
      </c>
      <c r="M2959" t="s">
        <v>27</v>
      </c>
      <c r="N2959" s="1">
        <v>18629</v>
      </c>
      <c r="O2959">
        <v>0</v>
      </c>
      <c r="P2959">
        <v>0</v>
      </c>
      <c r="Q2959" t="s">
        <v>28</v>
      </c>
      <c r="R2959" t="s">
        <v>258</v>
      </c>
      <c r="S2959" t="s">
        <v>336</v>
      </c>
      <c r="T2959" t="s">
        <v>337</v>
      </c>
    </row>
    <row r="2960" spans="1:20" x14ac:dyDescent="0.25">
      <c r="A2960" t="s">
        <v>7367</v>
      </c>
      <c r="B2960" t="str">
        <f>"3520"</f>
        <v>3520</v>
      </c>
      <c r="C2960" t="str">
        <f>"298823520"</f>
        <v>298823520</v>
      </c>
      <c r="D2960" t="s">
        <v>7219</v>
      </c>
      <c r="E2960" t="s">
        <v>2177</v>
      </c>
      <c r="F2960" t="s">
        <v>49</v>
      </c>
      <c r="G2960" s="1">
        <v>27462</v>
      </c>
      <c r="H2960" s="1">
        <v>40063</v>
      </c>
      <c r="I2960" t="str">
        <f t="shared" si="58"/>
        <v>52</v>
      </c>
      <c r="J2960" t="s">
        <v>330</v>
      </c>
      <c r="K2960" t="s">
        <v>25</v>
      </c>
      <c r="L2960" t="s">
        <v>26</v>
      </c>
      <c r="M2960" t="s">
        <v>27</v>
      </c>
      <c r="N2960" s="1">
        <v>18629</v>
      </c>
      <c r="O2960">
        <v>0</v>
      </c>
      <c r="P2960">
        <v>0</v>
      </c>
      <c r="Q2960" t="s">
        <v>37</v>
      </c>
      <c r="R2960" t="s">
        <v>258</v>
      </c>
      <c r="S2960" t="s">
        <v>331</v>
      </c>
      <c r="T2960" t="s">
        <v>332</v>
      </c>
    </row>
    <row r="2961" spans="1:20" x14ac:dyDescent="0.25">
      <c r="A2961" t="s">
        <v>7368</v>
      </c>
      <c r="B2961" t="str">
        <f>"3444"</f>
        <v>3444</v>
      </c>
      <c r="C2961" t="str">
        <f>"285583444"</f>
        <v>285583444</v>
      </c>
      <c r="D2961" t="s">
        <v>7369</v>
      </c>
      <c r="E2961" t="s">
        <v>3059</v>
      </c>
      <c r="F2961" t="s">
        <v>264</v>
      </c>
      <c r="G2961" s="1">
        <v>20885</v>
      </c>
      <c r="H2961" s="1">
        <v>40063</v>
      </c>
      <c r="I2961" t="str">
        <f t="shared" si="58"/>
        <v>52</v>
      </c>
      <c r="J2961" t="s">
        <v>330</v>
      </c>
      <c r="K2961" t="s">
        <v>25</v>
      </c>
      <c r="L2961" t="s">
        <v>26</v>
      </c>
      <c r="M2961" t="s">
        <v>27</v>
      </c>
      <c r="N2961" s="1">
        <v>18629</v>
      </c>
      <c r="O2961">
        <v>0</v>
      </c>
      <c r="P2961">
        <v>0</v>
      </c>
      <c r="Q2961" t="s">
        <v>37</v>
      </c>
      <c r="R2961" t="s">
        <v>51</v>
      </c>
      <c r="S2961" t="s">
        <v>336</v>
      </c>
      <c r="T2961" t="s">
        <v>337</v>
      </c>
    </row>
    <row r="2962" spans="1:20" x14ac:dyDescent="0.25">
      <c r="A2962" t="s">
        <v>7370</v>
      </c>
      <c r="B2962" t="str">
        <f>"6999"</f>
        <v>6999</v>
      </c>
      <c r="C2962" t="str">
        <f>"273686999"</f>
        <v>273686999</v>
      </c>
      <c r="D2962" t="s">
        <v>7371</v>
      </c>
      <c r="E2962" t="s">
        <v>7372</v>
      </c>
      <c r="F2962" t="s">
        <v>22</v>
      </c>
      <c r="G2962" s="1">
        <v>24678</v>
      </c>
      <c r="H2962" s="1">
        <v>40063</v>
      </c>
      <c r="I2962" t="str">
        <f t="shared" si="58"/>
        <v>52</v>
      </c>
      <c r="J2962" t="s">
        <v>330</v>
      </c>
      <c r="K2962" t="s">
        <v>25</v>
      </c>
      <c r="L2962" t="s">
        <v>26</v>
      </c>
      <c r="M2962" t="s">
        <v>27</v>
      </c>
      <c r="N2962" s="1">
        <v>18629</v>
      </c>
      <c r="O2962">
        <v>0</v>
      </c>
      <c r="P2962">
        <v>0</v>
      </c>
      <c r="Q2962" t="s">
        <v>28</v>
      </c>
      <c r="R2962" t="s">
        <v>258</v>
      </c>
      <c r="S2962" t="s">
        <v>331</v>
      </c>
      <c r="T2962" t="s">
        <v>332</v>
      </c>
    </row>
    <row r="2963" spans="1:20" x14ac:dyDescent="0.25">
      <c r="A2963" t="s">
        <v>7373</v>
      </c>
      <c r="B2963" t="str">
        <f>"3081"</f>
        <v>3081</v>
      </c>
      <c r="C2963" t="str">
        <f>"279603081"</f>
        <v>279603081</v>
      </c>
      <c r="D2963" t="s">
        <v>1216</v>
      </c>
      <c r="E2963" t="s">
        <v>35</v>
      </c>
      <c r="F2963" t="s">
        <v>165</v>
      </c>
      <c r="G2963" s="1">
        <v>25315</v>
      </c>
      <c r="H2963" s="1">
        <v>40063</v>
      </c>
      <c r="I2963" t="str">
        <f t="shared" si="58"/>
        <v>52</v>
      </c>
      <c r="J2963" t="s">
        <v>330</v>
      </c>
      <c r="K2963" t="s">
        <v>25</v>
      </c>
      <c r="L2963" t="s">
        <v>26</v>
      </c>
      <c r="M2963" t="s">
        <v>27</v>
      </c>
      <c r="N2963" s="1">
        <v>18629</v>
      </c>
      <c r="O2963">
        <v>0</v>
      </c>
      <c r="P2963">
        <v>0</v>
      </c>
      <c r="Q2963" t="s">
        <v>28</v>
      </c>
      <c r="R2963" t="s">
        <v>71</v>
      </c>
      <c r="S2963" t="s">
        <v>336</v>
      </c>
      <c r="T2963" t="s">
        <v>337</v>
      </c>
    </row>
    <row r="2964" spans="1:20" x14ac:dyDescent="0.25">
      <c r="A2964" t="s">
        <v>7374</v>
      </c>
      <c r="B2964" t="str">
        <f>"8016"</f>
        <v>8016</v>
      </c>
      <c r="C2964" t="str">
        <f>"272668016"</f>
        <v>272668016</v>
      </c>
      <c r="D2964" t="s">
        <v>609</v>
      </c>
      <c r="E2964" t="s">
        <v>1067</v>
      </c>
      <c r="F2964" t="s">
        <v>165</v>
      </c>
      <c r="G2964" s="1">
        <v>24535</v>
      </c>
      <c r="H2964" s="1">
        <v>40063</v>
      </c>
      <c r="I2964" t="str">
        <f t="shared" si="58"/>
        <v>52</v>
      </c>
      <c r="J2964" t="s">
        <v>330</v>
      </c>
      <c r="K2964" t="s">
        <v>25</v>
      </c>
      <c r="L2964" t="s">
        <v>26</v>
      </c>
      <c r="M2964" t="s">
        <v>27</v>
      </c>
      <c r="N2964" s="1">
        <v>18629</v>
      </c>
      <c r="O2964">
        <v>0</v>
      </c>
      <c r="P2964">
        <v>0</v>
      </c>
      <c r="Q2964" t="s">
        <v>28</v>
      </c>
      <c r="R2964" t="s">
        <v>258</v>
      </c>
      <c r="S2964" t="s">
        <v>331</v>
      </c>
      <c r="T2964" t="s">
        <v>332</v>
      </c>
    </row>
    <row r="2965" spans="1:20" x14ac:dyDescent="0.25">
      <c r="A2965" t="s">
        <v>7375</v>
      </c>
      <c r="B2965" t="str">
        <f>"5917"</f>
        <v>5917</v>
      </c>
      <c r="C2965" t="str">
        <f>"300705917"</f>
        <v>300705917</v>
      </c>
      <c r="D2965" t="s">
        <v>7376</v>
      </c>
      <c r="E2965" t="s">
        <v>7377</v>
      </c>
      <c r="F2965" t="s">
        <v>7216</v>
      </c>
      <c r="G2965" s="1">
        <v>22977</v>
      </c>
      <c r="H2965" s="1">
        <v>40063</v>
      </c>
      <c r="I2965" t="str">
        <f t="shared" si="58"/>
        <v>52</v>
      </c>
      <c r="J2965" t="s">
        <v>330</v>
      </c>
      <c r="K2965" t="s">
        <v>25</v>
      </c>
      <c r="L2965" t="s">
        <v>26</v>
      </c>
      <c r="M2965" t="s">
        <v>27</v>
      </c>
      <c r="N2965" s="1">
        <v>18629</v>
      </c>
      <c r="O2965">
        <v>0</v>
      </c>
      <c r="P2965">
        <v>0</v>
      </c>
      <c r="Q2965" t="s">
        <v>37</v>
      </c>
      <c r="R2965" t="s">
        <v>29</v>
      </c>
      <c r="S2965" t="s">
        <v>331</v>
      </c>
      <c r="T2965" t="s">
        <v>332</v>
      </c>
    </row>
    <row r="2966" spans="1:20" x14ac:dyDescent="0.25">
      <c r="A2966" t="s">
        <v>7378</v>
      </c>
      <c r="B2966" t="str">
        <f>"8886"</f>
        <v>8886</v>
      </c>
      <c r="C2966" t="str">
        <f>"269448886"</f>
        <v>269448886</v>
      </c>
      <c r="D2966" t="s">
        <v>7379</v>
      </c>
      <c r="E2966" t="s">
        <v>1055</v>
      </c>
      <c r="F2966" t="s">
        <v>345</v>
      </c>
      <c r="G2966" s="1">
        <v>17753</v>
      </c>
      <c r="H2966" s="1">
        <v>40063</v>
      </c>
      <c r="I2966" t="str">
        <f>"41"</f>
        <v>41</v>
      </c>
      <c r="J2966" t="s">
        <v>24</v>
      </c>
      <c r="K2966" t="s">
        <v>25</v>
      </c>
      <c r="L2966" t="s">
        <v>26</v>
      </c>
      <c r="M2966" t="s">
        <v>27</v>
      </c>
      <c r="N2966" s="1">
        <v>18629</v>
      </c>
      <c r="O2966">
        <v>0</v>
      </c>
      <c r="P2966">
        <v>0</v>
      </c>
      <c r="Q2966" t="s">
        <v>28</v>
      </c>
      <c r="R2966" t="s">
        <v>51</v>
      </c>
      <c r="S2966" t="s">
        <v>83</v>
      </c>
      <c r="T2966" t="s">
        <v>84</v>
      </c>
    </row>
    <row r="2967" spans="1:20" x14ac:dyDescent="0.25">
      <c r="A2967" t="s">
        <v>7380</v>
      </c>
      <c r="B2967" t="str">
        <f>"5395"</f>
        <v>5395</v>
      </c>
      <c r="C2967" t="str">
        <f>"274705395"</f>
        <v>274705395</v>
      </c>
      <c r="D2967" t="s">
        <v>7381</v>
      </c>
      <c r="E2967" t="s">
        <v>499</v>
      </c>
      <c r="F2967" t="s">
        <v>106</v>
      </c>
      <c r="G2967" s="1">
        <v>24372</v>
      </c>
      <c r="H2967" s="1">
        <v>40063</v>
      </c>
      <c r="I2967" t="str">
        <f>"52"</f>
        <v>52</v>
      </c>
      <c r="J2967" t="s">
        <v>330</v>
      </c>
      <c r="K2967" t="s">
        <v>25</v>
      </c>
      <c r="L2967" t="s">
        <v>26</v>
      </c>
      <c r="M2967" t="s">
        <v>27</v>
      </c>
      <c r="N2967" s="1">
        <v>18629</v>
      </c>
      <c r="O2967">
        <v>0</v>
      </c>
      <c r="P2967">
        <v>0</v>
      </c>
      <c r="Q2967" t="s">
        <v>28</v>
      </c>
      <c r="R2967" t="s">
        <v>258</v>
      </c>
      <c r="S2967" t="s">
        <v>331</v>
      </c>
      <c r="T2967" t="s">
        <v>332</v>
      </c>
    </row>
    <row r="2968" spans="1:20" x14ac:dyDescent="0.25">
      <c r="A2968" t="s">
        <v>7382</v>
      </c>
      <c r="B2968" t="str">
        <f>"6132"</f>
        <v>6132</v>
      </c>
      <c r="C2968" t="str">
        <f>"168406132"</f>
        <v>168406132</v>
      </c>
      <c r="D2968" t="s">
        <v>7383</v>
      </c>
      <c r="E2968" t="s">
        <v>197</v>
      </c>
      <c r="F2968" t="s">
        <v>93</v>
      </c>
      <c r="G2968" s="1">
        <v>17672</v>
      </c>
      <c r="H2968" s="1">
        <v>40063</v>
      </c>
      <c r="I2968" t="str">
        <f>"41"</f>
        <v>41</v>
      </c>
      <c r="J2968" t="s">
        <v>24</v>
      </c>
      <c r="K2968" t="s">
        <v>25</v>
      </c>
      <c r="L2968" t="s">
        <v>26</v>
      </c>
      <c r="M2968" t="s">
        <v>27</v>
      </c>
      <c r="N2968" s="1">
        <v>18629</v>
      </c>
      <c r="O2968">
        <v>0</v>
      </c>
      <c r="P2968">
        <v>0</v>
      </c>
      <c r="Q2968" t="s">
        <v>28</v>
      </c>
      <c r="R2968" t="s">
        <v>71</v>
      </c>
      <c r="S2968" t="s">
        <v>402</v>
      </c>
      <c r="T2968" t="s">
        <v>403</v>
      </c>
    </row>
    <row r="2969" spans="1:20" x14ac:dyDescent="0.25">
      <c r="A2969" t="s">
        <v>7384</v>
      </c>
      <c r="B2969" t="str">
        <f>"4834"</f>
        <v>4834</v>
      </c>
      <c r="C2969" t="str">
        <f>"296684834"</f>
        <v>296684834</v>
      </c>
      <c r="D2969" t="s">
        <v>7383</v>
      </c>
      <c r="E2969" t="s">
        <v>197</v>
      </c>
      <c r="F2969" t="s">
        <v>832</v>
      </c>
      <c r="G2969" s="1">
        <v>27461</v>
      </c>
      <c r="H2969" s="1">
        <v>40063</v>
      </c>
      <c r="I2969" t="str">
        <f>"41"</f>
        <v>41</v>
      </c>
      <c r="J2969" t="s">
        <v>24</v>
      </c>
      <c r="K2969" t="s">
        <v>25</v>
      </c>
      <c r="L2969" t="s">
        <v>26</v>
      </c>
      <c r="M2969" t="s">
        <v>27</v>
      </c>
      <c r="N2969" s="1">
        <v>18629</v>
      </c>
      <c r="O2969">
        <v>0</v>
      </c>
      <c r="P2969">
        <v>0</v>
      </c>
      <c r="Q2969" t="s">
        <v>28</v>
      </c>
      <c r="R2969" t="s">
        <v>29</v>
      </c>
      <c r="S2969" t="s">
        <v>2066</v>
      </c>
      <c r="T2969" t="s">
        <v>2067</v>
      </c>
    </row>
    <row r="2970" spans="1:20" x14ac:dyDescent="0.25">
      <c r="A2970" t="s">
        <v>7385</v>
      </c>
      <c r="B2970" t="str">
        <f>"3628"</f>
        <v>3628</v>
      </c>
      <c r="C2970" t="str">
        <f>"280783628"</f>
        <v>280783628</v>
      </c>
      <c r="D2970" t="s">
        <v>7386</v>
      </c>
      <c r="E2970" t="s">
        <v>463</v>
      </c>
      <c r="F2970" t="s">
        <v>264</v>
      </c>
      <c r="G2970" s="1">
        <v>24127</v>
      </c>
      <c r="H2970" s="1">
        <v>40063</v>
      </c>
      <c r="I2970" t="str">
        <f>"52"</f>
        <v>52</v>
      </c>
      <c r="J2970" t="s">
        <v>330</v>
      </c>
      <c r="K2970" t="s">
        <v>25</v>
      </c>
      <c r="L2970" t="s">
        <v>26</v>
      </c>
      <c r="M2970" t="s">
        <v>27</v>
      </c>
      <c r="N2970" s="1">
        <v>18629</v>
      </c>
      <c r="O2970">
        <v>0</v>
      </c>
      <c r="P2970">
        <v>0</v>
      </c>
      <c r="Q2970" t="s">
        <v>28</v>
      </c>
      <c r="R2970" t="s">
        <v>258</v>
      </c>
      <c r="S2970" t="s">
        <v>331</v>
      </c>
      <c r="T2970" t="s">
        <v>332</v>
      </c>
    </row>
    <row r="2971" spans="1:20" x14ac:dyDescent="0.25">
      <c r="A2971" t="s">
        <v>7387</v>
      </c>
      <c r="B2971" t="str">
        <f>"9412"</f>
        <v>9412</v>
      </c>
      <c r="C2971" t="str">
        <f>"296809412"</f>
        <v>296809412</v>
      </c>
      <c r="D2971" t="s">
        <v>2480</v>
      </c>
      <c r="E2971" t="s">
        <v>197</v>
      </c>
      <c r="F2971" t="s">
        <v>649</v>
      </c>
      <c r="G2971" s="1">
        <v>29166</v>
      </c>
      <c r="H2971" s="1">
        <v>40063</v>
      </c>
      <c r="I2971" t="str">
        <f>"51"</f>
        <v>51</v>
      </c>
      <c r="J2971" t="s">
        <v>471</v>
      </c>
      <c r="K2971" t="s">
        <v>25</v>
      </c>
      <c r="L2971" t="s">
        <v>26</v>
      </c>
      <c r="M2971" t="s">
        <v>27</v>
      </c>
      <c r="N2971" s="1">
        <v>18629</v>
      </c>
      <c r="O2971">
        <v>0</v>
      </c>
      <c r="P2971">
        <v>0</v>
      </c>
      <c r="Q2971" t="s">
        <v>28</v>
      </c>
      <c r="R2971" t="s">
        <v>29</v>
      </c>
      <c r="S2971" t="s">
        <v>1572</v>
      </c>
      <c r="T2971" t="s">
        <v>1573</v>
      </c>
    </row>
    <row r="2972" spans="1:20" x14ac:dyDescent="0.25">
      <c r="A2972" t="s">
        <v>7388</v>
      </c>
      <c r="B2972" t="str">
        <f>"5305"</f>
        <v>5305</v>
      </c>
      <c r="C2972" t="str">
        <f>"301505305"</f>
        <v>301505305</v>
      </c>
      <c r="D2972" t="s">
        <v>7389</v>
      </c>
      <c r="E2972" t="s">
        <v>122</v>
      </c>
      <c r="F2972" t="s">
        <v>97</v>
      </c>
      <c r="G2972" s="1">
        <v>19867</v>
      </c>
      <c r="H2972" s="1">
        <v>40063</v>
      </c>
      <c r="I2972" t="str">
        <f>"52"</f>
        <v>52</v>
      </c>
      <c r="J2972" t="s">
        <v>330</v>
      </c>
      <c r="K2972" t="s">
        <v>25</v>
      </c>
      <c r="L2972" t="s">
        <v>26</v>
      </c>
      <c r="M2972" t="s">
        <v>27</v>
      </c>
      <c r="N2972" s="1">
        <v>18629</v>
      </c>
      <c r="O2972">
        <v>0</v>
      </c>
      <c r="P2972">
        <v>0</v>
      </c>
      <c r="Q2972" t="s">
        <v>28</v>
      </c>
      <c r="R2972" t="s">
        <v>258</v>
      </c>
      <c r="S2972" t="s">
        <v>336</v>
      </c>
      <c r="T2972" t="s">
        <v>337</v>
      </c>
    </row>
    <row r="2973" spans="1:20" x14ac:dyDescent="0.25">
      <c r="A2973" t="s">
        <v>7390</v>
      </c>
      <c r="B2973" t="str">
        <f>"8305"</f>
        <v>8305</v>
      </c>
      <c r="C2973" t="str">
        <f>"290588305"</f>
        <v>290588305</v>
      </c>
      <c r="D2973" t="s">
        <v>7391</v>
      </c>
      <c r="E2973" t="s">
        <v>5442</v>
      </c>
      <c r="F2973" t="s">
        <v>165</v>
      </c>
      <c r="G2973" s="1">
        <v>21064</v>
      </c>
      <c r="H2973" s="1">
        <v>40063</v>
      </c>
      <c r="I2973" t="str">
        <f>"30"</f>
        <v>30</v>
      </c>
      <c r="J2973" t="s">
        <v>50</v>
      </c>
      <c r="K2973" t="s">
        <v>25</v>
      </c>
      <c r="L2973" t="s">
        <v>26</v>
      </c>
      <c r="M2973" t="s">
        <v>27</v>
      </c>
      <c r="N2973" s="1">
        <v>18629</v>
      </c>
      <c r="O2973">
        <v>0</v>
      </c>
      <c r="P2973">
        <v>0</v>
      </c>
      <c r="Q2973" t="s">
        <v>37</v>
      </c>
      <c r="R2973" t="s">
        <v>29</v>
      </c>
      <c r="S2973" t="s">
        <v>185</v>
      </c>
      <c r="T2973" t="s">
        <v>186</v>
      </c>
    </row>
    <row r="2974" spans="1:20" x14ac:dyDescent="0.25">
      <c r="A2974" t="s">
        <v>7392</v>
      </c>
      <c r="B2974" t="str">
        <f>"1821"</f>
        <v>1821</v>
      </c>
      <c r="C2974" t="str">
        <f>"274821821"</f>
        <v>274821821</v>
      </c>
      <c r="D2974" t="s">
        <v>7393</v>
      </c>
      <c r="E2974" t="s">
        <v>1688</v>
      </c>
      <c r="G2974" s="1">
        <v>26966</v>
      </c>
      <c r="H2974" s="1">
        <v>40057</v>
      </c>
      <c r="I2974" t="str">
        <f>"41"</f>
        <v>41</v>
      </c>
      <c r="J2974" t="s">
        <v>24</v>
      </c>
      <c r="K2974" t="s">
        <v>25</v>
      </c>
      <c r="L2974" t="s">
        <v>26</v>
      </c>
      <c r="M2974" t="s">
        <v>27</v>
      </c>
      <c r="N2974" s="1">
        <v>18629</v>
      </c>
      <c r="O2974">
        <v>0</v>
      </c>
      <c r="P2974">
        <v>0</v>
      </c>
      <c r="Q2974" t="s">
        <v>37</v>
      </c>
      <c r="R2974" t="s">
        <v>51</v>
      </c>
      <c r="S2974" t="s">
        <v>83</v>
      </c>
      <c r="T2974" t="s">
        <v>84</v>
      </c>
    </row>
    <row r="2975" spans="1:20" x14ac:dyDescent="0.25">
      <c r="A2975" t="s">
        <v>7394</v>
      </c>
      <c r="B2975" t="str">
        <f>"5934"</f>
        <v>5934</v>
      </c>
      <c r="C2975" t="str">
        <f>"299405934"</f>
        <v>299405934</v>
      </c>
      <c r="D2975" t="s">
        <v>7395</v>
      </c>
      <c r="E2975" t="s">
        <v>35</v>
      </c>
      <c r="F2975" t="s">
        <v>282</v>
      </c>
      <c r="G2975" s="1">
        <v>17759</v>
      </c>
      <c r="H2975" s="1">
        <v>40057</v>
      </c>
      <c r="I2975" t="str">
        <f>"52"</f>
        <v>52</v>
      </c>
      <c r="J2975" t="s">
        <v>330</v>
      </c>
      <c r="K2975" t="s">
        <v>25</v>
      </c>
      <c r="L2975" t="s">
        <v>26</v>
      </c>
      <c r="M2975" t="s">
        <v>27</v>
      </c>
      <c r="N2975" s="1">
        <v>18629</v>
      </c>
      <c r="O2975">
        <v>0</v>
      </c>
      <c r="P2975">
        <v>0</v>
      </c>
      <c r="Q2975" t="s">
        <v>28</v>
      </c>
      <c r="R2975" t="s">
        <v>51</v>
      </c>
      <c r="S2975" s="2" t="s">
        <v>3548</v>
      </c>
      <c r="T2975" t="s">
        <v>3549</v>
      </c>
    </row>
    <row r="2976" spans="1:20" x14ac:dyDescent="0.25">
      <c r="A2976" t="s">
        <v>7396</v>
      </c>
      <c r="B2976" t="str">
        <f>"4531"</f>
        <v>4531</v>
      </c>
      <c r="C2976" t="str">
        <f>"293404531"</f>
        <v>293404531</v>
      </c>
      <c r="D2976" t="s">
        <v>3630</v>
      </c>
      <c r="E2976" t="s">
        <v>2049</v>
      </c>
      <c r="F2976" t="s">
        <v>93</v>
      </c>
      <c r="G2976" s="1">
        <v>16651</v>
      </c>
      <c r="H2976" s="1">
        <v>40056</v>
      </c>
      <c r="I2976" t="str">
        <f>"33"</f>
        <v>33</v>
      </c>
      <c r="J2976" t="s">
        <v>45</v>
      </c>
      <c r="K2976" t="s">
        <v>25</v>
      </c>
      <c r="L2976" t="s">
        <v>26</v>
      </c>
      <c r="M2976" t="s">
        <v>27</v>
      </c>
      <c r="N2976" s="1">
        <v>18629</v>
      </c>
      <c r="O2976">
        <v>0</v>
      </c>
      <c r="P2976">
        <v>0</v>
      </c>
      <c r="Q2976" t="s">
        <v>28</v>
      </c>
      <c r="R2976" t="s">
        <v>51</v>
      </c>
      <c r="S2976" t="s">
        <v>795</v>
      </c>
      <c r="T2976" t="s">
        <v>796</v>
      </c>
    </row>
    <row r="2977" spans="1:20" x14ac:dyDescent="0.25">
      <c r="A2977" t="s">
        <v>7397</v>
      </c>
      <c r="B2977" t="str">
        <f>"2439"</f>
        <v>2439</v>
      </c>
      <c r="C2977" t="str">
        <f>"283762439"</f>
        <v>283762439</v>
      </c>
      <c r="D2977" t="s">
        <v>3868</v>
      </c>
      <c r="E2977" t="s">
        <v>7398</v>
      </c>
      <c r="G2977" s="1">
        <v>20607</v>
      </c>
      <c r="H2977" s="1">
        <v>40056</v>
      </c>
      <c r="I2977" t="str">
        <f>"33"</f>
        <v>33</v>
      </c>
      <c r="J2977" t="s">
        <v>45</v>
      </c>
      <c r="K2977" t="s">
        <v>25</v>
      </c>
      <c r="L2977" t="s">
        <v>26</v>
      </c>
      <c r="M2977" t="s">
        <v>27</v>
      </c>
      <c r="N2977" s="1">
        <v>18629</v>
      </c>
      <c r="O2977">
        <v>0</v>
      </c>
      <c r="P2977">
        <v>0</v>
      </c>
      <c r="Q2977" t="s">
        <v>37</v>
      </c>
      <c r="R2977" t="s">
        <v>51</v>
      </c>
      <c r="S2977" t="s">
        <v>795</v>
      </c>
      <c r="T2977" t="s">
        <v>796</v>
      </c>
    </row>
    <row r="2978" spans="1:20" x14ac:dyDescent="0.25">
      <c r="A2978" t="s">
        <v>7399</v>
      </c>
      <c r="B2978" t="str">
        <f>"4734"</f>
        <v>4734</v>
      </c>
      <c r="C2978" t="str">
        <f>"285744734"</f>
        <v>285744734</v>
      </c>
      <c r="D2978" t="s">
        <v>7400</v>
      </c>
      <c r="E2978" t="s">
        <v>609</v>
      </c>
      <c r="F2978" t="s">
        <v>69</v>
      </c>
      <c r="G2978" s="1">
        <v>23785</v>
      </c>
      <c r="H2978" s="1">
        <v>40056</v>
      </c>
      <c r="I2978" t="str">
        <f>"41"</f>
        <v>41</v>
      </c>
      <c r="J2978" t="s">
        <v>24</v>
      </c>
      <c r="K2978" t="s">
        <v>25</v>
      </c>
      <c r="L2978" t="s">
        <v>26</v>
      </c>
      <c r="M2978" t="s">
        <v>27</v>
      </c>
      <c r="N2978" s="1">
        <v>18629</v>
      </c>
      <c r="O2978">
        <v>0</v>
      </c>
      <c r="P2978">
        <v>0</v>
      </c>
      <c r="Q2978" t="s">
        <v>28</v>
      </c>
      <c r="R2978" t="s">
        <v>71</v>
      </c>
      <c r="S2978" t="s">
        <v>4743</v>
      </c>
      <c r="T2978" t="s">
        <v>4744</v>
      </c>
    </row>
    <row r="2979" spans="1:20" x14ac:dyDescent="0.25">
      <c r="A2979" t="s">
        <v>7401</v>
      </c>
      <c r="B2979" t="str">
        <f>"8981"</f>
        <v>8981</v>
      </c>
      <c r="C2979" t="str">
        <f>"275528981"</f>
        <v>275528981</v>
      </c>
      <c r="D2979" t="s">
        <v>7402</v>
      </c>
      <c r="E2979" t="s">
        <v>7403</v>
      </c>
      <c r="G2979" s="1">
        <v>18761</v>
      </c>
      <c r="H2979" s="1">
        <v>40056</v>
      </c>
      <c r="I2979" t="str">
        <f>"41"</f>
        <v>41</v>
      </c>
      <c r="J2979" t="s">
        <v>24</v>
      </c>
      <c r="K2979" t="s">
        <v>25</v>
      </c>
      <c r="L2979" t="s">
        <v>26</v>
      </c>
      <c r="M2979" t="s">
        <v>27</v>
      </c>
      <c r="N2979" s="1">
        <v>18629</v>
      </c>
      <c r="O2979">
        <v>0</v>
      </c>
      <c r="P2979">
        <v>0</v>
      </c>
      <c r="Q2979" t="s">
        <v>37</v>
      </c>
      <c r="R2979" t="s">
        <v>71</v>
      </c>
      <c r="S2979" t="s">
        <v>83</v>
      </c>
      <c r="T2979" t="s">
        <v>84</v>
      </c>
    </row>
    <row r="2980" spans="1:20" x14ac:dyDescent="0.25">
      <c r="A2980" t="s">
        <v>7404</v>
      </c>
      <c r="B2980" t="str">
        <f>"5397"</f>
        <v>5397</v>
      </c>
      <c r="C2980" t="str">
        <f>"283525397"</f>
        <v>283525397</v>
      </c>
      <c r="D2980" t="b">
        <v>1</v>
      </c>
      <c r="E2980" t="s">
        <v>322</v>
      </c>
      <c r="F2980" t="s">
        <v>282</v>
      </c>
      <c r="G2980" s="1">
        <v>24579</v>
      </c>
      <c r="H2980" s="1">
        <v>40056</v>
      </c>
      <c r="I2980" t="str">
        <f>"41"</f>
        <v>41</v>
      </c>
      <c r="J2980" t="s">
        <v>24</v>
      </c>
      <c r="K2980" t="s">
        <v>25</v>
      </c>
      <c r="L2980" t="s">
        <v>26</v>
      </c>
      <c r="M2980" t="s">
        <v>27</v>
      </c>
      <c r="N2980" s="1">
        <v>18629</v>
      </c>
      <c r="O2980">
        <v>0</v>
      </c>
      <c r="P2980">
        <v>0</v>
      </c>
      <c r="Q2980" t="s">
        <v>37</v>
      </c>
      <c r="R2980" t="s">
        <v>71</v>
      </c>
      <c r="S2980" t="s">
        <v>83</v>
      </c>
      <c r="T2980" t="s">
        <v>84</v>
      </c>
    </row>
    <row r="2981" spans="1:20" x14ac:dyDescent="0.25">
      <c r="A2981" t="s">
        <v>7405</v>
      </c>
      <c r="B2981" t="str">
        <f>"5710"</f>
        <v>5710</v>
      </c>
      <c r="C2981" t="str">
        <f>"271545710"</f>
        <v>271545710</v>
      </c>
      <c r="D2981" t="s">
        <v>7406</v>
      </c>
      <c r="E2981" t="s">
        <v>466</v>
      </c>
      <c r="F2981" t="s">
        <v>26</v>
      </c>
      <c r="G2981" s="1">
        <v>19354</v>
      </c>
      <c r="H2981" s="1">
        <v>40056</v>
      </c>
      <c r="I2981" t="str">
        <f>"51"</f>
        <v>51</v>
      </c>
      <c r="J2981" t="s">
        <v>471</v>
      </c>
      <c r="K2981" t="s">
        <v>25</v>
      </c>
      <c r="L2981" t="s">
        <v>26</v>
      </c>
      <c r="M2981" t="s">
        <v>27</v>
      </c>
      <c r="N2981" s="1">
        <v>18629</v>
      </c>
      <c r="O2981">
        <v>0</v>
      </c>
      <c r="P2981">
        <v>0</v>
      </c>
      <c r="Q2981" t="s">
        <v>28</v>
      </c>
      <c r="R2981" t="s">
        <v>51</v>
      </c>
      <c r="S2981" s="2" t="s">
        <v>64</v>
      </c>
      <c r="T2981" t="s">
        <v>65</v>
      </c>
    </row>
    <row r="2982" spans="1:20" x14ac:dyDescent="0.25">
      <c r="A2982" t="s">
        <v>7407</v>
      </c>
      <c r="B2982" t="str">
        <f>"5579"</f>
        <v>5579</v>
      </c>
      <c r="C2982" t="str">
        <f>"286545579"</f>
        <v>286545579</v>
      </c>
      <c r="D2982" t="s">
        <v>7408</v>
      </c>
      <c r="E2982" t="s">
        <v>5079</v>
      </c>
      <c r="F2982" t="s">
        <v>329</v>
      </c>
      <c r="G2982" s="1">
        <v>20666</v>
      </c>
      <c r="H2982" s="1">
        <v>40051</v>
      </c>
      <c r="I2982" t="str">
        <f>"52"</f>
        <v>52</v>
      </c>
      <c r="J2982" t="s">
        <v>330</v>
      </c>
      <c r="K2982" t="s">
        <v>25</v>
      </c>
      <c r="L2982" t="s">
        <v>26</v>
      </c>
      <c r="M2982" t="s">
        <v>27</v>
      </c>
      <c r="N2982" s="1">
        <v>18629</v>
      </c>
      <c r="O2982">
        <v>0</v>
      </c>
      <c r="P2982">
        <v>0</v>
      </c>
      <c r="Q2982" t="s">
        <v>28</v>
      </c>
      <c r="R2982" t="s">
        <v>71</v>
      </c>
      <c r="S2982" t="s">
        <v>1774</v>
      </c>
      <c r="T2982" t="s">
        <v>1775</v>
      </c>
    </row>
    <row r="2983" spans="1:20" x14ac:dyDescent="0.25">
      <c r="A2983" t="s">
        <v>7409</v>
      </c>
      <c r="B2983" t="str">
        <f>"3615"</f>
        <v>3615</v>
      </c>
      <c r="C2983" t="str">
        <f>"269723615"</f>
        <v>269723615</v>
      </c>
      <c r="D2983" t="s">
        <v>2238</v>
      </c>
      <c r="E2983" t="s">
        <v>7410</v>
      </c>
      <c r="G2983" s="1">
        <v>23789</v>
      </c>
      <c r="H2983" s="1">
        <v>40049</v>
      </c>
      <c r="I2983" t="str">
        <f>"41"</f>
        <v>41</v>
      </c>
      <c r="J2983" t="s">
        <v>24</v>
      </c>
      <c r="K2983" t="s">
        <v>25</v>
      </c>
      <c r="L2983" t="s">
        <v>26</v>
      </c>
      <c r="M2983" t="s">
        <v>27</v>
      </c>
      <c r="N2983" s="1">
        <v>18629</v>
      </c>
      <c r="O2983">
        <v>0</v>
      </c>
      <c r="P2983">
        <v>0</v>
      </c>
      <c r="Q2983" t="s">
        <v>37</v>
      </c>
      <c r="R2983" t="s">
        <v>71</v>
      </c>
      <c r="S2983" t="s">
        <v>83</v>
      </c>
      <c r="T2983" t="s">
        <v>84</v>
      </c>
    </row>
    <row r="2984" spans="1:20" x14ac:dyDescent="0.25">
      <c r="A2984" t="s">
        <v>7411</v>
      </c>
      <c r="B2984" t="str">
        <f>"5440"</f>
        <v>5440</v>
      </c>
      <c r="C2984" t="str">
        <f>"583345440"</f>
        <v>583345440</v>
      </c>
      <c r="D2984" t="s">
        <v>4797</v>
      </c>
      <c r="E2984" t="s">
        <v>7412</v>
      </c>
      <c r="G2984" s="1">
        <v>18799</v>
      </c>
      <c r="H2984" s="1">
        <v>40049</v>
      </c>
      <c r="I2984" t="str">
        <f>"42"</f>
        <v>42</v>
      </c>
      <c r="J2984" t="s">
        <v>367</v>
      </c>
      <c r="K2984" t="s">
        <v>25</v>
      </c>
      <c r="L2984" t="s">
        <v>26</v>
      </c>
      <c r="M2984" t="s">
        <v>27</v>
      </c>
      <c r="N2984" s="1">
        <v>18629</v>
      </c>
      <c r="O2984">
        <v>0</v>
      </c>
      <c r="P2984">
        <v>0</v>
      </c>
      <c r="Q2984" t="s">
        <v>28</v>
      </c>
      <c r="R2984" t="s">
        <v>29</v>
      </c>
      <c r="S2984" t="s">
        <v>885</v>
      </c>
      <c r="T2984" t="s">
        <v>886</v>
      </c>
    </row>
    <row r="2985" spans="1:20" x14ac:dyDescent="0.25">
      <c r="A2985" t="s">
        <v>7413</v>
      </c>
      <c r="B2985" t="str">
        <f>"0840"</f>
        <v>0840</v>
      </c>
      <c r="C2985" t="str">
        <f>"292840840"</f>
        <v>292840840</v>
      </c>
      <c r="D2985" t="s">
        <v>7414</v>
      </c>
      <c r="E2985" t="s">
        <v>1584</v>
      </c>
      <c r="F2985" t="s">
        <v>69</v>
      </c>
      <c r="G2985" s="1">
        <v>31571</v>
      </c>
      <c r="H2985" s="1">
        <v>40049</v>
      </c>
      <c r="I2985" t="str">
        <f>"41"</f>
        <v>41</v>
      </c>
      <c r="J2985" t="s">
        <v>24</v>
      </c>
      <c r="K2985" t="s">
        <v>25</v>
      </c>
      <c r="L2985" t="s">
        <v>26</v>
      </c>
      <c r="M2985" t="s">
        <v>27</v>
      </c>
      <c r="N2985" s="1">
        <v>18629</v>
      </c>
      <c r="O2985">
        <v>0</v>
      </c>
      <c r="P2985">
        <v>0</v>
      </c>
      <c r="Q2985" t="s">
        <v>28</v>
      </c>
      <c r="R2985" t="s">
        <v>29</v>
      </c>
      <c r="S2985" t="s">
        <v>2066</v>
      </c>
      <c r="T2985" t="s">
        <v>2067</v>
      </c>
    </row>
    <row r="2986" spans="1:20" x14ac:dyDescent="0.25">
      <c r="A2986" t="s">
        <v>7415</v>
      </c>
      <c r="B2986" t="str">
        <f>"0515"</f>
        <v>0515</v>
      </c>
      <c r="C2986" t="str">
        <f>"287620515"</f>
        <v>287620515</v>
      </c>
      <c r="D2986" t="s">
        <v>7416</v>
      </c>
      <c r="E2986" t="s">
        <v>2519</v>
      </c>
      <c r="G2986" s="1">
        <v>22039</v>
      </c>
      <c r="H2986" s="1">
        <v>40049</v>
      </c>
      <c r="I2986" t="str">
        <f>"05"</f>
        <v>05</v>
      </c>
      <c r="J2986" t="s">
        <v>58</v>
      </c>
      <c r="K2986" t="s">
        <v>98</v>
      </c>
      <c r="L2986" t="s">
        <v>37</v>
      </c>
      <c r="M2986" t="s">
        <v>99</v>
      </c>
      <c r="N2986" s="1">
        <v>41617</v>
      </c>
      <c r="O2986">
        <v>14801.8</v>
      </c>
      <c r="P2986">
        <v>3700.32</v>
      </c>
      <c r="Q2986" t="s">
        <v>37</v>
      </c>
      <c r="R2986" t="s">
        <v>71</v>
      </c>
      <c r="S2986" t="s">
        <v>1774</v>
      </c>
      <c r="T2986" t="s">
        <v>1775</v>
      </c>
    </row>
    <row r="2987" spans="1:20" x14ac:dyDescent="0.25">
      <c r="A2987" t="s">
        <v>7417</v>
      </c>
      <c r="B2987" t="str">
        <f>"3687"</f>
        <v>3687</v>
      </c>
      <c r="C2987" t="str">
        <f>"295503687"</f>
        <v>295503687</v>
      </c>
      <c r="D2987" t="s">
        <v>7418</v>
      </c>
      <c r="E2987" t="s">
        <v>609</v>
      </c>
      <c r="G2987" s="1">
        <v>18437</v>
      </c>
      <c r="H2987" s="1">
        <v>40049</v>
      </c>
      <c r="I2987" t="str">
        <f>"41"</f>
        <v>41</v>
      </c>
      <c r="J2987" t="s">
        <v>24</v>
      </c>
      <c r="K2987" t="s">
        <v>25</v>
      </c>
      <c r="L2987" t="s">
        <v>26</v>
      </c>
      <c r="M2987" t="s">
        <v>27</v>
      </c>
      <c r="N2987" s="1">
        <v>18629</v>
      </c>
      <c r="O2987">
        <v>0</v>
      </c>
      <c r="P2987">
        <v>0</v>
      </c>
      <c r="Q2987" t="s">
        <v>28</v>
      </c>
      <c r="R2987" t="s">
        <v>71</v>
      </c>
      <c r="S2987" t="s">
        <v>83</v>
      </c>
      <c r="T2987" t="s">
        <v>84</v>
      </c>
    </row>
    <row r="2988" spans="1:20" x14ac:dyDescent="0.25">
      <c r="A2988" t="s">
        <v>7419</v>
      </c>
      <c r="B2988" t="str">
        <f>"1025"</f>
        <v>1025</v>
      </c>
      <c r="C2988" t="str">
        <f>"295021025"</f>
        <v>295021025</v>
      </c>
      <c r="D2988" t="s">
        <v>7420</v>
      </c>
      <c r="E2988" t="s">
        <v>7421</v>
      </c>
      <c r="F2988" t="s">
        <v>345</v>
      </c>
      <c r="G2988" s="1">
        <v>32917</v>
      </c>
      <c r="H2988" s="1">
        <v>40049</v>
      </c>
      <c r="I2988" t="str">
        <f>"41"</f>
        <v>41</v>
      </c>
      <c r="J2988" t="s">
        <v>24</v>
      </c>
      <c r="K2988" t="s">
        <v>25</v>
      </c>
      <c r="L2988" t="s">
        <v>26</v>
      </c>
      <c r="M2988" t="s">
        <v>27</v>
      </c>
      <c r="N2988" s="1">
        <v>18629</v>
      </c>
      <c r="O2988">
        <v>0</v>
      </c>
      <c r="P2988">
        <v>0</v>
      </c>
      <c r="Q2988" t="s">
        <v>28</v>
      </c>
      <c r="R2988" t="s">
        <v>71</v>
      </c>
      <c r="S2988" t="s">
        <v>505</v>
      </c>
      <c r="T2988" t="s">
        <v>506</v>
      </c>
    </row>
    <row r="2989" spans="1:20" x14ac:dyDescent="0.25">
      <c r="A2989" t="s">
        <v>7422</v>
      </c>
      <c r="B2989" t="str">
        <f>"2265"</f>
        <v>2265</v>
      </c>
      <c r="C2989" t="str">
        <f>"232062265"</f>
        <v>232062265</v>
      </c>
      <c r="D2989" t="s">
        <v>2292</v>
      </c>
      <c r="E2989" t="s">
        <v>194</v>
      </c>
      <c r="F2989" t="s">
        <v>3415</v>
      </c>
      <c r="G2989" s="1">
        <v>23168</v>
      </c>
      <c r="H2989" s="1">
        <v>40047</v>
      </c>
      <c r="I2989" t="str">
        <f t="shared" ref="I2989:I3004" si="59">"51"</f>
        <v>51</v>
      </c>
      <c r="J2989" t="s">
        <v>471</v>
      </c>
      <c r="K2989" t="s">
        <v>25</v>
      </c>
      <c r="L2989" t="s">
        <v>26</v>
      </c>
      <c r="M2989" t="s">
        <v>27</v>
      </c>
      <c r="N2989" s="1">
        <v>18629</v>
      </c>
      <c r="O2989">
        <v>0</v>
      </c>
      <c r="P2989">
        <v>0</v>
      </c>
      <c r="Q2989" t="s">
        <v>37</v>
      </c>
      <c r="R2989" t="s">
        <v>71</v>
      </c>
      <c r="S2989" t="s">
        <v>72</v>
      </c>
      <c r="T2989" t="s">
        <v>73</v>
      </c>
    </row>
    <row r="2990" spans="1:20" x14ac:dyDescent="0.25">
      <c r="A2990" t="s">
        <v>7423</v>
      </c>
      <c r="B2990" t="str">
        <f>"1370"</f>
        <v>1370</v>
      </c>
      <c r="C2990" t="str">
        <f>"299501370"</f>
        <v>299501370</v>
      </c>
      <c r="D2990" t="s">
        <v>7424</v>
      </c>
      <c r="E2990" t="s">
        <v>146</v>
      </c>
      <c r="F2990" t="s">
        <v>93</v>
      </c>
      <c r="G2990" s="1">
        <v>18385</v>
      </c>
      <c r="H2990" s="1">
        <v>40047</v>
      </c>
      <c r="I2990" t="str">
        <f t="shared" si="59"/>
        <v>51</v>
      </c>
      <c r="J2990" t="s">
        <v>471</v>
      </c>
      <c r="K2990" t="s">
        <v>25</v>
      </c>
      <c r="L2990" t="s">
        <v>26</v>
      </c>
      <c r="M2990" t="s">
        <v>27</v>
      </c>
      <c r="N2990" s="1">
        <v>18629</v>
      </c>
      <c r="O2990">
        <v>0</v>
      </c>
      <c r="P2990">
        <v>0</v>
      </c>
      <c r="Q2990" t="s">
        <v>37</v>
      </c>
      <c r="R2990" t="s">
        <v>51</v>
      </c>
      <c r="S2990" s="2" t="s">
        <v>4118</v>
      </c>
      <c r="T2990" t="s">
        <v>4119</v>
      </c>
    </row>
    <row r="2991" spans="1:20" x14ac:dyDescent="0.25">
      <c r="A2991" t="s">
        <v>7425</v>
      </c>
      <c r="B2991" t="str">
        <f>"8207"</f>
        <v>8207</v>
      </c>
      <c r="C2991" t="str">
        <f>"290888207"</f>
        <v>290888207</v>
      </c>
      <c r="D2991" t="s">
        <v>7426</v>
      </c>
      <c r="E2991" t="s">
        <v>7427</v>
      </c>
      <c r="F2991" t="s">
        <v>311</v>
      </c>
      <c r="G2991" s="1">
        <v>28004</v>
      </c>
      <c r="H2991" s="1">
        <v>40047</v>
      </c>
      <c r="I2991" t="str">
        <f t="shared" si="59"/>
        <v>51</v>
      </c>
      <c r="J2991" t="s">
        <v>471</v>
      </c>
      <c r="K2991" t="s">
        <v>25</v>
      </c>
      <c r="L2991" t="s">
        <v>26</v>
      </c>
      <c r="M2991" t="s">
        <v>27</v>
      </c>
      <c r="N2991" s="1">
        <v>18629</v>
      </c>
      <c r="O2991">
        <v>0</v>
      </c>
      <c r="P2991">
        <v>0</v>
      </c>
      <c r="Q2991" t="s">
        <v>37</v>
      </c>
      <c r="R2991" t="s">
        <v>29</v>
      </c>
      <c r="S2991" t="s">
        <v>138</v>
      </c>
      <c r="T2991" t="s">
        <v>139</v>
      </c>
    </row>
    <row r="2992" spans="1:20" x14ac:dyDescent="0.25">
      <c r="A2992" t="s">
        <v>7428</v>
      </c>
      <c r="B2992" t="str">
        <f>"5213"</f>
        <v>5213</v>
      </c>
      <c r="C2992" t="str">
        <f>"280785213"</f>
        <v>280785213</v>
      </c>
      <c r="D2992" t="s">
        <v>7429</v>
      </c>
      <c r="E2992" t="s">
        <v>256</v>
      </c>
      <c r="F2992" t="s">
        <v>629</v>
      </c>
      <c r="G2992" s="1">
        <v>25294</v>
      </c>
      <c r="H2992" s="1">
        <v>40047</v>
      </c>
      <c r="I2992" t="str">
        <f t="shared" si="59"/>
        <v>51</v>
      </c>
      <c r="J2992" t="s">
        <v>471</v>
      </c>
      <c r="K2992" t="s">
        <v>25</v>
      </c>
      <c r="L2992" t="s">
        <v>26</v>
      </c>
      <c r="M2992" t="s">
        <v>27</v>
      </c>
      <c r="N2992" s="1">
        <v>18629</v>
      </c>
      <c r="O2992">
        <v>0</v>
      </c>
      <c r="P2992">
        <v>0</v>
      </c>
      <c r="Q2992" t="s">
        <v>37</v>
      </c>
      <c r="R2992" t="s">
        <v>71</v>
      </c>
      <c r="S2992" t="s">
        <v>790</v>
      </c>
      <c r="T2992" t="s">
        <v>791</v>
      </c>
    </row>
    <row r="2993" spans="1:20" x14ac:dyDescent="0.25">
      <c r="A2993" t="s">
        <v>7430</v>
      </c>
      <c r="B2993" t="str">
        <f>"3361"</f>
        <v>3361</v>
      </c>
      <c r="C2993" t="str">
        <f>"371293361"</f>
        <v>371293361</v>
      </c>
      <c r="D2993" t="s">
        <v>7431</v>
      </c>
      <c r="E2993" t="s">
        <v>7432</v>
      </c>
      <c r="G2993" s="1">
        <v>25844</v>
      </c>
      <c r="H2993" s="1">
        <v>40047</v>
      </c>
      <c r="I2993" t="str">
        <f t="shared" si="59"/>
        <v>51</v>
      </c>
      <c r="J2993" t="s">
        <v>471</v>
      </c>
      <c r="K2993" t="s">
        <v>25</v>
      </c>
      <c r="L2993" t="s">
        <v>26</v>
      </c>
      <c r="M2993" t="s">
        <v>27</v>
      </c>
      <c r="N2993" s="1">
        <v>18629</v>
      </c>
      <c r="O2993">
        <v>0</v>
      </c>
      <c r="P2993">
        <v>0</v>
      </c>
      <c r="Q2993" t="s">
        <v>37</v>
      </c>
      <c r="R2993" t="s">
        <v>51</v>
      </c>
      <c r="S2993" s="2" t="s">
        <v>2202</v>
      </c>
      <c r="T2993" t="s">
        <v>2203</v>
      </c>
    </row>
    <row r="2994" spans="1:20" x14ac:dyDescent="0.25">
      <c r="A2994" t="s">
        <v>7433</v>
      </c>
      <c r="B2994" t="str">
        <f>"9468"</f>
        <v>9468</v>
      </c>
      <c r="C2994" t="str">
        <f>"282629468"</f>
        <v>282629468</v>
      </c>
      <c r="D2994" t="s">
        <v>7434</v>
      </c>
      <c r="E2994" t="s">
        <v>2152</v>
      </c>
      <c r="F2994" t="s">
        <v>93</v>
      </c>
      <c r="G2994" s="1">
        <v>20972</v>
      </c>
      <c r="H2994" s="1">
        <v>40047</v>
      </c>
      <c r="I2994" t="str">
        <f t="shared" si="59"/>
        <v>51</v>
      </c>
      <c r="J2994" t="s">
        <v>471</v>
      </c>
      <c r="K2994" t="s">
        <v>25</v>
      </c>
      <c r="L2994" t="s">
        <v>26</v>
      </c>
      <c r="M2994" t="s">
        <v>27</v>
      </c>
      <c r="N2994" s="1">
        <v>18629</v>
      </c>
      <c r="O2994">
        <v>0</v>
      </c>
      <c r="P2994">
        <v>0</v>
      </c>
      <c r="Q2994" t="s">
        <v>37</v>
      </c>
      <c r="R2994" t="s">
        <v>71</v>
      </c>
      <c r="S2994" t="s">
        <v>2406</v>
      </c>
      <c r="T2994" t="s">
        <v>2407</v>
      </c>
    </row>
    <row r="2995" spans="1:20" x14ac:dyDescent="0.25">
      <c r="A2995" t="s">
        <v>7435</v>
      </c>
      <c r="B2995" t="str">
        <f>"7212"</f>
        <v>7212</v>
      </c>
      <c r="C2995" t="str">
        <f>"292447212"</f>
        <v>292447212</v>
      </c>
      <c r="D2995" t="s">
        <v>7436</v>
      </c>
      <c r="E2995" t="s">
        <v>1981</v>
      </c>
      <c r="F2995" t="s">
        <v>93</v>
      </c>
      <c r="G2995" s="1">
        <v>17766</v>
      </c>
      <c r="H2995" s="1">
        <v>40047</v>
      </c>
      <c r="I2995" t="str">
        <f t="shared" si="59"/>
        <v>51</v>
      </c>
      <c r="J2995" t="s">
        <v>471</v>
      </c>
      <c r="K2995" t="s">
        <v>25</v>
      </c>
      <c r="L2995" t="s">
        <v>26</v>
      </c>
      <c r="M2995" t="s">
        <v>27</v>
      </c>
      <c r="N2995" s="1">
        <v>18629</v>
      </c>
      <c r="O2995">
        <v>0</v>
      </c>
      <c r="P2995">
        <v>0</v>
      </c>
      <c r="Q2995" t="s">
        <v>37</v>
      </c>
      <c r="R2995" t="s">
        <v>29</v>
      </c>
      <c r="S2995" t="s">
        <v>1075</v>
      </c>
      <c r="T2995" t="s">
        <v>1076</v>
      </c>
    </row>
    <row r="2996" spans="1:20" x14ac:dyDescent="0.25">
      <c r="A2996" t="s">
        <v>7437</v>
      </c>
      <c r="B2996" t="str">
        <f>"8195"</f>
        <v>8195</v>
      </c>
      <c r="C2996" t="str">
        <f>"374508195"</f>
        <v>374508195</v>
      </c>
      <c r="D2996" t="s">
        <v>7438</v>
      </c>
      <c r="E2996" t="s">
        <v>2256</v>
      </c>
      <c r="F2996" t="s">
        <v>219</v>
      </c>
      <c r="G2996" s="1">
        <v>21118</v>
      </c>
      <c r="H2996" s="1">
        <v>40047</v>
      </c>
      <c r="I2996" t="str">
        <f t="shared" si="59"/>
        <v>51</v>
      </c>
      <c r="J2996" t="s">
        <v>471</v>
      </c>
      <c r="K2996" t="s">
        <v>25</v>
      </c>
      <c r="L2996" t="s">
        <v>26</v>
      </c>
      <c r="M2996" t="s">
        <v>27</v>
      </c>
      <c r="N2996" s="1">
        <v>18629</v>
      </c>
      <c r="O2996">
        <v>0</v>
      </c>
      <c r="P2996">
        <v>0</v>
      </c>
      <c r="Q2996" t="s">
        <v>37</v>
      </c>
      <c r="R2996" t="s">
        <v>71</v>
      </c>
      <c r="S2996" t="s">
        <v>72</v>
      </c>
      <c r="T2996" t="s">
        <v>73</v>
      </c>
    </row>
    <row r="2997" spans="1:20" x14ac:dyDescent="0.25">
      <c r="A2997" t="s">
        <v>7439</v>
      </c>
      <c r="B2997" t="str">
        <f>"6383"</f>
        <v>6383</v>
      </c>
      <c r="C2997" t="str">
        <f>"291746383"</f>
        <v>291746383</v>
      </c>
      <c r="D2997" t="s">
        <v>1156</v>
      </c>
      <c r="E2997" t="s">
        <v>109</v>
      </c>
      <c r="F2997" t="s">
        <v>93</v>
      </c>
      <c r="G2997" s="1">
        <v>23226</v>
      </c>
      <c r="H2997" s="1">
        <v>40047</v>
      </c>
      <c r="I2997" t="str">
        <f t="shared" si="59"/>
        <v>51</v>
      </c>
      <c r="J2997" t="s">
        <v>471</v>
      </c>
      <c r="K2997" t="s">
        <v>25</v>
      </c>
      <c r="L2997" t="s">
        <v>26</v>
      </c>
      <c r="M2997" t="s">
        <v>27</v>
      </c>
      <c r="N2997" s="1">
        <v>18629</v>
      </c>
      <c r="O2997">
        <v>0</v>
      </c>
      <c r="P2997">
        <v>0</v>
      </c>
      <c r="Q2997" t="s">
        <v>37</v>
      </c>
      <c r="R2997" t="s">
        <v>51</v>
      </c>
      <c r="S2997" s="2" t="s">
        <v>774</v>
      </c>
      <c r="T2997" t="s">
        <v>775</v>
      </c>
    </row>
    <row r="2998" spans="1:20" x14ac:dyDescent="0.25">
      <c r="A2998" t="s">
        <v>7440</v>
      </c>
      <c r="B2998" t="str">
        <f>"4739"</f>
        <v>4739</v>
      </c>
      <c r="C2998" t="str">
        <f>"294724739"</f>
        <v>294724739</v>
      </c>
      <c r="D2998" t="s">
        <v>7441</v>
      </c>
      <c r="E2998" t="s">
        <v>1813</v>
      </c>
      <c r="F2998" t="s">
        <v>165</v>
      </c>
      <c r="G2998" s="1">
        <v>22775</v>
      </c>
      <c r="H2998" s="1">
        <v>40047</v>
      </c>
      <c r="I2998" t="str">
        <f t="shared" si="59"/>
        <v>51</v>
      </c>
      <c r="J2998" t="s">
        <v>471</v>
      </c>
      <c r="K2998" t="s">
        <v>25</v>
      </c>
      <c r="L2998" t="s">
        <v>26</v>
      </c>
      <c r="M2998" t="s">
        <v>27</v>
      </c>
      <c r="N2998" s="1">
        <v>18629</v>
      </c>
      <c r="O2998">
        <v>0</v>
      </c>
      <c r="P2998">
        <v>0</v>
      </c>
      <c r="Q2998" t="s">
        <v>37</v>
      </c>
      <c r="R2998" t="s">
        <v>29</v>
      </c>
      <c r="S2998" t="s">
        <v>4090</v>
      </c>
      <c r="T2998" t="s">
        <v>4091</v>
      </c>
    </row>
    <row r="2999" spans="1:20" x14ac:dyDescent="0.25">
      <c r="A2999" t="s">
        <v>7442</v>
      </c>
      <c r="B2999" t="str">
        <f>"7460"</f>
        <v>7460</v>
      </c>
      <c r="C2999" t="str">
        <f>"286827460"</f>
        <v>286827460</v>
      </c>
      <c r="D2999" t="s">
        <v>7443</v>
      </c>
      <c r="E2999" t="s">
        <v>7444</v>
      </c>
      <c r="F2999" t="s">
        <v>239</v>
      </c>
      <c r="G2999" s="1">
        <v>30952</v>
      </c>
      <c r="H2999" s="1">
        <v>40047</v>
      </c>
      <c r="I2999" t="str">
        <f t="shared" si="59"/>
        <v>51</v>
      </c>
      <c r="J2999" t="s">
        <v>471</v>
      </c>
      <c r="K2999" t="s">
        <v>25</v>
      </c>
      <c r="L2999" t="s">
        <v>26</v>
      </c>
      <c r="M2999" t="s">
        <v>27</v>
      </c>
      <c r="N2999" s="1">
        <v>18629</v>
      </c>
      <c r="O2999">
        <v>0</v>
      </c>
      <c r="P2999">
        <v>0</v>
      </c>
      <c r="Q2999" t="s">
        <v>37</v>
      </c>
      <c r="R2999" t="s">
        <v>51</v>
      </c>
      <c r="S2999" s="2" t="s">
        <v>6071</v>
      </c>
      <c r="T2999" t="s">
        <v>6072</v>
      </c>
    </row>
    <row r="3000" spans="1:20" x14ac:dyDescent="0.25">
      <c r="A3000" t="s">
        <v>7445</v>
      </c>
      <c r="B3000" t="str">
        <f>"6102"</f>
        <v>6102</v>
      </c>
      <c r="C3000" t="str">
        <f>"285046102"</f>
        <v>285046102</v>
      </c>
      <c r="D3000" t="s">
        <v>7446</v>
      </c>
      <c r="E3000" t="s">
        <v>7447</v>
      </c>
      <c r="G3000" s="1">
        <v>25307</v>
      </c>
      <c r="H3000" s="1">
        <v>40047</v>
      </c>
      <c r="I3000" t="str">
        <f t="shared" si="59"/>
        <v>51</v>
      </c>
      <c r="J3000" t="s">
        <v>471</v>
      </c>
      <c r="K3000" t="s">
        <v>25</v>
      </c>
      <c r="L3000" t="s">
        <v>26</v>
      </c>
      <c r="M3000" t="s">
        <v>27</v>
      </c>
      <c r="N3000" s="1">
        <v>18629</v>
      </c>
      <c r="O3000">
        <v>0</v>
      </c>
      <c r="P3000">
        <v>0</v>
      </c>
      <c r="Q3000" t="s">
        <v>28</v>
      </c>
      <c r="R3000" t="s">
        <v>29</v>
      </c>
      <c r="S3000" t="s">
        <v>1555</v>
      </c>
      <c r="T3000" t="s">
        <v>1556</v>
      </c>
    </row>
    <row r="3001" spans="1:20" x14ac:dyDescent="0.25">
      <c r="A3001" t="s">
        <v>7448</v>
      </c>
      <c r="B3001" t="str">
        <f>"0552"</f>
        <v>0552</v>
      </c>
      <c r="C3001" t="str">
        <f>"283420552"</f>
        <v>283420552</v>
      </c>
      <c r="D3001" t="s">
        <v>2421</v>
      </c>
      <c r="E3001" t="s">
        <v>1104</v>
      </c>
      <c r="F3001" t="s">
        <v>165</v>
      </c>
      <c r="G3001" s="1">
        <v>22201</v>
      </c>
      <c r="H3001" s="1">
        <v>40047</v>
      </c>
      <c r="I3001" t="str">
        <f t="shared" si="59"/>
        <v>51</v>
      </c>
      <c r="J3001" t="s">
        <v>471</v>
      </c>
      <c r="K3001" t="s">
        <v>25</v>
      </c>
      <c r="L3001" t="s">
        <v>26</v>
      </c>
      <c r="M3001" t="s">
        <v>27</v>
      </c>
      <c r="N3001" s="1">
        <v>18629</v>
      </c>
      <c r="O3001">
        <v>0</v>
      </c>
      <c r="P3001">
        <v>0</v>
      </c>
      <c r="Q3001" t="s">
        <v>37</v>
      </c>
      <c r="R3001" t="s">
        <v>71</v>
      </c>
      <c r="S3001" t="s">
        <v>1585</v>
      </c>
      <c r="T3001" t="s">
        <v>1586</v>
      </c>
    </row>
    <row r="3002" spans="1:20" x14ac:dyDescent="0.25">
      <c r="A3002" t="s">
        <v>7449</v>
      </c>
      <c r="B3002" t="str">
        <f>"7323"</f>
        <v>7323</v>
      </c>
      <c r="C3002" t="str">
        <f>"275927323"</f>
        <v>275927323</v>
      </c>
      <c r="D3002" t="s">
        <v>7450</v>
      </c>
      <c r="E3002" t="s">
        <v>1489</v>
      </c>
      <c r="G3002" s="1">
        <v>29702</v>
      </c>
      <c r="H3002" s="1">
        <v>40047</v>
      </c>
      <c r="I3002" t="str">
        <f t="shared" si="59"/>
        <v>51</v>
      </c>
      <c r="J3002" t="s">
        <v>471</v>
      </c>
      <c r="K3002" t="s">
        <v>25</v>
      </c>
      <c r="L3002" t="s">
        <v>26</v>
      </c>
      <c r="M3002" t="s">
        <v>27</v>
      </c>
      <c r="N3002" s="1">
        <v>18629</v>
      </c>
      <c r="O3002">
        <v>0</v>
      </c>
      <c r="P3002">
        <v>0</v>
      </c>
      <c r="Q3002" t="s">
        <v>37</v>
      </c>
      <c r="R3002" t="s">
        <v>29</v>
      </c>
      <c r="S3002" t="s">
        <v>138</v>
      </c>
      <c r="T3002" t="s">
        <v>139</v>
      </c>
    </row>
    <row r="3003" spans="1:20" x14ac:dyDescent="0.25">
      <c r="A3003" t="s">
        <v>7451</v>
      </c>
      <c r="B3003" t="str">
        <f>"1589"</f>
        <v>1589</v>
      </c>
      <c r="C3003" t="str">
        <f>"038321589"</f>
        <v>038321589</v>
      </c>
      <c r="D3003" t="s">
        <v>7452</v>
      </c>
      <c r="E3003" t="s">
        <v>197</v>
      </c>
      <c r="G3003" s="1">
        <v>18085</v>
      </c>
      <c r="H3003" s="1">
        <v>40047</v>
      </c>
      <c r="I3003" t="str">
        <f t="shared" si="59"/>
        <v>51</v>
      </c>
      <c r="J3003" t="s">
        <v>471</v>
      </c>
      <c r="K3003" t="s">
        <v>25</v>
      </c>
      <c r="L3003" t="s">
        <v>26</v>
      </c>
      <c r="M3003" t="s">
        <v>27</v>
      </c>
      <c r="N3003" s="1">
        <v>18629</v>
      </c>
      <c r="O3003">
        <v>0</v>
      </c>
      <c r="P3003">
        <v>0</v>
      </c>
      <c r="Q3003" t="s">
        <v>28</v>
      </c>
      <c r="R3003" t="s">
        <v>51</v>
      </c>
      <c r="S3003" s="2" t="s">
        <v>2202</v>
      </c>
      <c r="T3003" t="s">
        <v>2203</v>
      </c>
    </row>
    <row r="3004" spans="1:20" x14ac:dyDescent="0.25">
      <c r="A3004" t="s">
        <v>7453</v>
      </c>
      <c r="B3004" t="str">
        <f>"4491"</f>
        <v>4491</v>
      </c>
      <c r="C3004" t="str">
        <f>"276864491"</f>
        <v>276864491</v>
      </c>
      <c r="D3004" t="s">
        <v>7454</v>
      </c>
      <c r="E3004" t="s">
        <v>322</v>
      </c>
      <c r="F3004" t="s">
        <v>414</v>
      </c>
      <c r="G3004" s="1">
        <v>29459</v>
      </c>
      <c r="H3004" s="1">
        <v>40047</v>
      </c>
      <c r="I3004" t="str">
        <f t="shared" si="59"/>
        <v>51</v>
      </c>
      <c r="J3004" t="s">
        <v>471</v>
      </c>
      <c r="K3004" t="s">
        <v>25</v>
      </c>
      <c r="L3004" t="s">
        <v>26</v>
      </c>
      <c r="M3004" t="s">
        <v>27</v>
      </c>
      <c r="N3004" s="1">
        <v>18629</v>
      </c>
      <c r="O3004">
        <v>0</v>
      </c>
      <c r="P3004">
        <v>0</v>
      </c>
      <c r="Q3004" t="s">
        <v>37</v>
      </c>
      <c r="R3004" t="s">
        <v>71</v>
      </c>
      <c r="S3004" t="s">
        <v>157</v>
      </c>
      <c r="T3004" t="s">
        <v>158</v>
      </c>
    </row>
    <row r="3005" spans="1:20" x14ac:dyDescent="0.25">
      <c r="A3005" t="s">
        <v>7455</v>
      </c>
      <c r="B3005" t="str">
        <f>"8102"</f>
        <v>8102</v>
      </c>
      <c r="C3005" t="str">
        <f>"296468102"</f>
        <v>296468102</v>
      </c>
      <c r="D3005" t="s">
        <v>7454</v>
      </c>
      <c r="E3005" t="s">
        <v>304</v>
      </c>
      <c r="F3005" t="s">
        <v>28</v>
      </c>
      <c r="G3005" s="1">
        <v>17843</v>
      </c>
      <c r="H3005" s="1">
        <v>40047</v>
      </c>
      <c r="I3005" t="str">
        <f>"33"</f>
        <v>33</v>
      </c>
      <c r="J3005" t="s">
        <v>45</v>
      </c>
      <c r="K3005" t="s">
        <v>25</v>
      </c>
      <c r="L3005" t="s">
        <v>26</v>
      </c>
      <c r="M3005" t="s">
        <v>27</v>
      </c>
      <c r="N3005" s="1">
        <v>18629</v>
      </c>
      <c r="O3005">
        <v>0</v>
      </c>
      <c r="P3005">
        <v>0</v>
      </c>
      <c r="Q3005" t="s">
        <v>28</v>
      </c>
      <c r="R3005" t="s">
        <v>51</v>
      </c>
      <c r="S3005" s="2" t="s">
        <v>1568</v>
      </c>
      <c r="T3005" t="s">
        <v>1569</v>
      </c>
    </row>
    <row r="3006" spans="1:20" x14ac:dyDescent="0.25">
      <c r="A3006" t="s">
        <v>7456</v>
      </c>
      <c r="B3006" t="str">
        <f>"9234"</f>
        <v>9234</v>
      </c>
      <c r="C3006" t="str">
        <f>"284809234"</f>
        <v>284809234</v>
      </c>
      <c r="D3006" t="s">
        <v>3968</v>
      </c>
      <c r="E3006" t="s">
        <v>4042</v>
      </c>
      <c r="F3006" t="s">
        <v>470</v>
      </c>
      <c r="G3006" s="1">
        <v>27211</v>
      </c>
      <c r="H3006" s="1">
        <v>40047</v>
      </c>
      <c r="I3006" t="str">
        <f>"51"</f>
        <v>51</v>
      </c>
      <c r="J3006" t="s">
        <v>471</v>
      </c>
      <c r="K3006" t="s">
        <v>25</v>
      </c>
      <c r="L3006" t="s">
        <v>26</v>
      </c>
      <c r="M3006" t="s">
        <v>27</v>
      </c>
      <c r="N3006" s="1">
        <v>18629</v>
      </c>
      <c r="O3006">
        <v>0</v>
      </c>
      <c r="P3006">
        <v>0</v>
      </c>
      <c r="Q3006" t="s">
        <v>28</v>
      </c>
      <c r="R3006" t="s">
        <v>29</v>
      </c>
      <c r="S3006" t="s">
        <v>878</v>
      </c>
      <c r="T3006" t="s">
        <v>879</v>
      </c>
    </row>
    <row r="3007" spans="1:20" x14ac:dyDescent="0.25">
      <c r="A3007" t="s">
        <v>7457</v>
      </c>
      <c r="B3007" t="str">
        <f>"2067"</f>
        <v>2067</v>
      </c>
      <c r="C3007" t="str">
        <f>"268642067"</f>
        <v>268642067</v>
      </c>
      <c r="D3007" t="s">
        <v>7356</v>
      </c>
      <c r="E3007" t="s">
        <v>977</v>
      </c>
      <c r="F3007" t="s">
        <v>438</v>
      </c>
      <c r="G3007" s="1">
        <v>23310</v>
      </c>
      <c r="H3007" s="1">
        <v>40047</v>
      </c>
      <c r="I3007" t="str">
        <f>"51"</f>
        <v>51</v>
      </c>
      <c r="J3007" t="s">
        <v>471</v>
      </c>
      <c r="K3007" t="s">
        <v>25</v>
      </c>
      <c r="L3007" t="s">
        <v>26</v>
      </c>
      <c r="M3007" t="s">
        <v>27</v>
      </c>
      <c r="N3007" s="1">
        <v>18629</v>
      </c>
      <c r="O3007">
        <v>0</v>
      </c>
      <c r="P3007">
        <v>0</v>
      </c>
      <c r="Q3007" t="s">
        <v>28</v>
      </c>
      <c r="R3007" t="s">
        <v>29</v>
      </c>
      <c r="S3007" t="s">
        <v>5192</v>
      </c>
      <c r="T3007" t="s">
        <v>5193</v>
      </c>
    </row>
    <row r="3008" spans="1:20" x14ac:dyDescent="0.25">
      <c r="A3008" t="s">
        <v>7458</v>
      </c>
      <c r="B3008" t="str">
        <f>"3001"</f>
        <v>3001</v>
      </c>
      <c r="C3008" t="str">
        <f>"208383001"</f>
        <v>208383001</v>
      </c>
      <c r="D3008" t="s">
        <v>7459</v>
      </c>
      <c r="E3008" t="s">
        <v>944</v>
      </c>
      <c r="F3008" t="s">
        <v>556</v>
      </c>
      <c r="G3008" s="1">
        <v>21866</v>
      </c>
      <c r="H3008" s="1">
        <v>40047</v>
      </c>
      <c r="I3008" t="str">
        <f>"51"</f>
        <v>51</v>
      </c>
      <c r="J3008" t="s">
        <v>471</v>
      </c>
      <c r="K3008" t="s">
        <v>25</v>
      </c>
      <c r="L3008" t="s">
        <v>26</v>
      </c>
      <c r="M3008" t="s">
        <v>27</v>
      </c>
      <c r="N3008" s="1">
        <v>18629</v>
      </c>
      <c r="O3008">
        <v>0</v>
      </c>
      <c r="P3008">
        <v>0</v>
      </c>
      <c r="Q3008" t="s">
        <v>28</v>
      </c>
      <c r="R3008" t="s">
        <v>29</v>
      </c>
      <c r="S3008" t="s">
        <v>717</v>
      </c>
      <c r="T3008" t="s">
        <v>718</v>
      </c>
    </row>
    <row r="3009" spans="1:20" x14ac:dyDescent="0.25">
      <c r="A3009" t="s">
        <v>7460</v>
      </c>
      <c r="B3009" t="str">
        <f>"2930"</f>
        <v>2930</v>
      </c>
      <c r="C3009" t="str">
        <f>"282822930"</f>
        <v>282822930</v>
      </c>
      <c r="D3009" t="s">
        <v>7461</v>
      </c>
      <c r="E3009" t="s">
        <v>7462</v>
      </c>
      <c r="F3009" t="s">
        <v>7463</v>
      </c>
      <c r="G3009" s="1">
        <v>27687</v>
      </c>
      <c r="H3009" s="1">
        <v>40047</v>
      </c>
      <c r="I3009" t="str">
        <f>"51"</f>
        <v>51</v>
      </c>
      <c r="J3009" t="s">
        <v>471</v>
      </c>
      <c r="K3009" t="s">
        <v>25</v>
      </c>
      <c r="L3009" t="s">
        <v>26</v>
      </c>
      <c r="M3009" t="s">
        <v>27</v>
      </c>
      <c r="N3009" s="1">
        <v>18629</v>
      </c>
      <c r="O3009">
        <v>0</v>
      </c>
      <c r="P3009">
        <v>0</v>
      </c>
      <c r="Q3009" t="s">
        <v>37</v>
      </c>
      <c r="R3009" t="s">
        <v>29</v>
      </c>
      <c r="S3009" t="s">
        <v>1075</v>
      </c>
      <c r="T3009" t="s">
        <v>1076</v>
      </c>
    </row>
    <row r="3010" spans="1:20" x14ac:dyDescent="0.25">
      <c r="A3010" t="s">
        <v>7464</v>
      </c>
      <c r="B3010" t="str">
        <f>"7094"</f>
        <v>7094</v>
      </c>
      <c r="C3010" t="str">
        <f>"296847094"</f>
        <v>296847094</v>
      </c>
      <c r="D3010" t="s">
        <v>7465</v>
      </c>
      <c r="E3010" t="s">
        <v>179</v>
      </c>
      <c r="F3010" t="s">
        <v>7466</v>
      </c>
      <c r="G3010" s="1">
        <v>25900</v>
      </c>
      <c r="H3010" s="1">
        <v>40047</v>
      </c>
      <c r="I3010" t="str">
        <f>"41"</f>
        <v>41</v>
      </c>
      <c r="J3010" t="s">
        <v>24</v>
      </c>
      <c r="K3010" t="s">
        <v>25</v>
      </c>
      <c r="L3010" t="s">
        <v>26</v>
      </c>
      <c r="M3010" t="s">
        <v>27</v>
      </c>
      <c r="N3010" s="1">
        <v>18629</v>
      </c>
      <c r="O3010">
        <v>0</v>
      </c>
      <c r="P3010">
        <v>0</v>
      </c>
      <c r="Q3010" t="s">
        <v>28</v>
      </c>
      <c r="R3010" t="s">
        <v>29</v>
      </c>
      <c r="S3010" t="s">
        <v>2699</v>
      </c>
      <c r="T3010" t="s">
        <v>2700</v>
      </c>
    </row>
    <row r="3011" spans="1:20" x14ac:dyDescent="0.25">
      <c r="A3011" t="s">
        <v>7467</v>
      </c>
      <c r="B3011" t="str">
        <f>"0271"</f>
        <v>0271</v>
      </c>
      <c r="C3011" t="str">
        <f>"271720271"</f>
        <v>271720271</v>
      </c>
      <c r="D3011" t="s">
        <v>1279</v>
      </c>
      <c r="E3011" t="s">
        <v>7468</v>
      </c>
      <c r="F3011" t="s">
        <v>414</v>
      </c>
      <c r="G3011" s="1">
        <v>25706</v>
      </c>
      <c r="H3011" s="1">
        <v>40047</v>
      </c>
      <c r="I3011" t="str">
        <f>"41"</f>
        <v>41</v>
      </c>
      <c r="J3011" t="s">
        <v>24</v>
      </c>
      <c r="K3011" t="s">
        <v>25</v>
      </c>
      <c r="L3011" t="s">
        <v>26</v>
      </c>
      <c r="M3011" t="s">
        <v>27</v>
      </c>
      <c r="N3011" s="1">
        <v>18629</v>
      </c>
      <c r="O3011">
        <v>0</v>
      </c>
      <c r="P3011">
        <v>0</v>
      </c>
      <c r="Q3011" t="s">
        <v>37</v>
      </c>
      <c r="R3011" t="s">
        <v>29</v>
      </c>
      <c r="S3011" t="s">
        <v>138</v>
      </c>
      <c r="T3011" t="s">
        <v>139</v>
      </c>
    </row>
    <row r="3012" spans="1:20" x14ac:dyDescent="0.25">
      <c r="A3012" t="s">
        <v>7469</v>
      </c>
      <c r="B3012" t="str">
        <f>"7433"</f>
        <v>7433</v>
      </c>
      <c r="C3012" t="str">
        <f>"284747433"</f>
        <v>284747433</v>
      </c>
      <c r="D3012" t="s">
        <v>7470</v>
      </c>
      <c r="E3012" t="s">
        <v>304</v>
      </c>
      <c r="F3012" t="s">
        <v>933</v>
      </c>
      <c r="G3012" s="1">
        <v>23172</v>
      </c>
      <c r="H3012" s="1">
        <v>40047</v>
      </c>
      <c r="I3012" t="str">
        <f t="shared" ref="I3012:I3018" si="60">"51"</f>
        <v>51</v>
      </c>
      <c r="J3012" t="s">
        <v>471</v>
      </c>
      <c r="K3012" t="s">
        <v>25</v>
      </c>
      <c r="L3012" t="s">
        <v>26</v>
      </c>
      <c r="M3012" t="s">
        <v>27</v>
      </c>
      <c r="N3012" s="1">
        <v>18629</v>
      </c>
      <c r="O3012">
        <v>0</v>
      </c>
      <c r="P3012">
        <v>0</v>
      </c>
      <c r="Q3012" t="s">
        <v>28</v>
      </c>
      <c r="R3012" t="s">
        <v>29</v>
      </c>
      <c r="S3012" t="s">
        <v>2355</v>
      </c>
      <c r="T3012" t="s">
        <v>2356</v>
      </c>
    </row>
    <row r="3013" spans="1:20" x14ac:dyDescent="0.25">
      <c r="A3013" t="s">
        <v>7471</v>
      </c>
      <c r="B3013" t="str">
        <f>"0280"</f>
        <v>0280</v>
      </c>
      <c r="C3013" t="str">
        <f>"214510280"</f>
        <v>214510280</v>
      </c>
      <c r="D3013" t="s">
        <v>7472</v>
      </c>
      <c r="E3013" t="s">
        <v>7473</v>
      </c>
      <c r="G3013" s="1">
        <v>27189</v>
      </c>
      <c r="H3013" s="1">
        <v>40047</v>
      </c>
      <c r="I3013" t="str">
        <f t="shared" si="60"/>
        <v>51</v>
      </c>
      <c r="J3013" t="s">
        <v>471</v>
      </c>
      <c r="K3013" t="s">
        <v>25</v>
      </c>
      <c r="L3013" t="s">
        <v>26</v>
      </c>
      <c r="M3013" t="s">
        <v>27</v>
      </c>
      <c r="N3013" s="1">
        <v>18629</v>
      </c>
      <c r="O3013">
        <v>0</v>
      </c>
      <c r="P3013">
        <v>0</v>
      </c>
      <c r="Q3013" t="s">
        <v>37</v>
      </c>
      <c r="R3013" t="s">
        <v>71</v>
      </c>
      <c r="S3013" t="s">
        <v>305</v>
      </c>
      <c r="T3013" t="s">
        <v>306</v>
      </c>
    </row>
    <row r="3014" spans="1:20" x14ac:dyDescent="0.25">
      <c r="A3014" t="s">
        <v>7474</v>
      </c>
      <c r="B3014" t="str">
        <f>"6762"</f>
        <v>6762</v>
      </c>
      <c r="C3014" t="str">
        <f>"272546762"</f>
        <v>272546762</v>
      </c>
      <c r="D3014" t="s">
        <v>1171</v>
      </c>
      <c r="E3014" t="s">
        <v>1655</v>
      </c>
      <c r="G3014" s="1">
        <v>19691</v>
      </c>
      <c r="H3014" s="1">
        <v>40047</v>
      </c>
      <c r="I3014" t="str">
        <f t="shared" si="60"/>
        <v>51</v>
      </c>
      <c r="J3014" t="s">
        <v>471</v>
      </c>
      <c r="K3014" t="s">
        <v>25</v>
      </c>
      <c r="L3014" t="s">
        <v>26</v>
      </c>
      <c r="M3014" t="s">
        <v>27</v>
      </c>
      <c r="N3014" s="1">
        <v>18629</v>
      </c>
      <c r="O3014">
        <v>0</v>
      </c>
      <c r="P3014">
        <v>0</v>
      </c>
      <c r="Q3014" t="s">
        <v>37</v>
      </c>
      <c r="R3014" t="s">
        <v>29</v>
      </c>
      <c r="S3014" s="2" t="s">
        <v>4664</v>
      </c>
      <c r="T3014" t="s">
        <v>4665</v>
      </c>
    </row>
    <row r="3015" spans="1:20" x14ac:dyDescent="0.25">
      <c r="A3015" t="s">
        <v>7475</v>
      </c>
      <c r="B3015" t="str">
        <f>"8969"</f>
        <v>8969</v>
      </c>
      <c r="C3015" t="str">
        <f>"268668969"</f>
        <v>268668969</v>
      </c>
      <c r="D3015" t="s">
        <v>7476</v>
      </c>
      <c r="E3015" t="s">
        <v>194</v>
      </c>
      <c r="F3015" t="s">
        <v>97</v>
      </c>
      <c r="G3015" s="1">
        <v>22905</v>
      </c>
      <c r="H3015" s="1">
        <v>40047</v>
      </c>
      <c r="I3015" t="str">
        <f t="shared" si="60"/>
        <v>51</v>
      </c>
      <c r="J3015" t="s">
        <v>471</v>
      </c>
      <c r="K3015" t="s">
        <v>25</v>
      </c>
      <c r="L3015" t="s">
        <v>26</v>
      </c>
      <c r="M3015" t="s">
        <v>27</v>
      </c>
      <c r="N3015" s="1">
        <v>18629</v>
      </c>
      <c r="O3015">
        <v>0</v>
      </c>
      <c r="P3015">
        <v>0</v>
      </c>
      <c r="Q3015" t="s">
        <v>37</v>
      </c>
      <c r="R3015" t="s">
        <v>29</v>
      </c>
      <c r="S3015" t="s">
        <v>3258</v>
      </c>
      <c r="T3015" t="s">
        <v>3259</v>
      </c>
    </row>
    <row r="3016" spans="1:20" x14ac:dyDescent="0.25">
      <c r="A3016" t="s">
        <v>7477</v>
      </c>
      <c r="B3016" t="str">
        <f>"8973"</f>
        <v>8973</v>
      </c>
      <c r="C3016" t="str">
        <f>"292628973"</f>
        <v>292628973</v>
      </c>
      <c r="D3016" t="s">
        <v>7478</v>
      </c>
      <c r="E3016" t="s">
        <v>35</v>
      </c>
      <c r="F3016" t="s">
        <v>197</v>
      </c>
      <c r="G3016" s="1">
        <v>23432</v>
      </c>
      <c r="H3016" s="1">
        <v>40047</v>
      </c>
      <c r="I3016" t="str">
        <f t="shared" si="60"/>
        <v>51</v>
      </c>
      <c r="J3016" t="s">
        <v>471</v>
      </c>
      <c r="K3016" t="s">
        <v>25</v>
      </c>
      <c r="L3016" t="s">
        <v>26</v>
      </c>
      <c r="M3016" t="s">
        <v>27</v>
      </c>
      <c r="N3016" s="1">
        <v>18629</v>
      </c>
      <c r="O3016">
        <v>0</v>
      </c>
      <c r="P3016">
        <v>0</v>
      </c>
      <c r="Q3016" t="s">
        <v>28</v>
      </c>
      <c r="R3016" t="s">
        <v>29</v>
      </c>
      <c r="S3016" t="s">
        <v>1555</v>
      </c>
      <c r="T3016" t="s">
        <v>1556</v>
      </c>
    </row>
    <row r="3017" spans="1:20" x14ac:dyDescent="0.25">
      <c r="A3017" t="s">
        <v>7479</v>
      </c>
      <c r="B3017" t="str">
        <f>"3814"</f>
        <v>3814</v>
      </c>
      <c r="C3017" t="str">
        <f>"301703814"</f>
        <v>301703814</v>
      </c>
      <c r="D3017" t="s">
        <v>3232</v>
      </c>
      <c r="E3017" t="s">
        <v>299</v>
      </c>
      <c r="F3017" t="s">
        <v>28</v>
      </c>
      <c r="G3017" s="1">
        <v>26581</v>
      </c>
      <c r="H3017" s="1">
        <v>40047</v>
      </c>
      <c r="I3017" t="str">
        <f t="shared" si="60"/>
        <v>51</v>
      </c>
      <c r="J3017" t="s">
        <v>471</v>
      </c>
      <c r="K3017" t="s">
        <v>25</v>
      </c>
      <c r="L3017" t="s">
        <v>26</v>
      </c>
      <c r="M3017" t="s">
        <v>27</v>
      </c>
      <c r="N3017" s="1">
        <v>18629</v>
      </c>
      <c r="O3017">
        <v>0</v>
      </c>
      <c r="P3017">
        <v>0</v>
      </c>
      <c r="Q3017" t="s">
        <v>37</v>
      </c>
      <c r="R3017" t="s">
        <v>29</v>
      </c>
      <c r="S3017" t="s">
        <v>138</v>
      </c>
      <c r="T3017" t="s">
        <v>139</v>
      </c>
    </row>
    <row r="3018" spans="1:20" x14ac:dyDescent="0.25">
      <c r="A3018" t="s">
        <v>7480</v>
      </c>
      <c r="B3018" t="str">
        <f>"4473"</f>
        <v>4473</v>
      </c>
      <c r="C3018" t="str">
        <f>"286564473"</f>
        <v>286564473</v>
      </c>
      <c r="D3018" t="s">
        <v>7481</v>
      </c>
      <c r="E3018" t="s">
        <v>3747</v>
      </c>
      <c r="F3018" t="s">
        <v>282</v>
      </c>
      <c r="G3018" s="1">
        <v>20537</v>
      </c>
      <c r="H3018" s="1">
        <v>40047</v>
      </c>
      <c r="I3018" t="str">
        <f t="shared" si="60"/>
        <v>51</v>
      </c>
      <c r="J3018" t="s">
        <v>471</v>
      </c>
      <c r="K3018" t="s">
        <v>25</v>
      </c>
      <c r="L3018" t="s">
        <v>26</v>
      </c>
      <c r="M3018" t="s">
        <v>27</v>
      </c>
      <c r="N3018" s="1">
        <v>18629</v>
      </c>
      <c r="O3018">
        <v>0</v>
      </c>
      <c r="P3018">
        <v>0</v>
      </c>
      <c r="Q3018" t="s">
        <v>28</v>
      </c>
      <c r="R3018" t="s">
        <v>29</v>
      </c>
      <c r="S3018" t="s">
        <v>1160</v>
      </c>
      <c r="T3018" t="s">
        <v>1161</v>
      </c>
    </row>
    <row r="3019" spans="1:20" x14ac:dyDescent="0.25">
      <c r="A3019" t="s">
        <v>7482</v>
      </c>
      <c r="B3019" t="str">
        <f>"2801"</f>
        <v>2801</v>
      </c>
      <c r="C3019" t="str">
        <f>"301862801"</f>
        <v>301862801</v>
      </c>
      <c r="D3019" t="s">
        <v>7483</v>
      </c>
      <c r="E3019" t="s">
        <v>1007</v>
      </c>
      <c r="F3019" t="s">
        <v>282</v>
      </c>
      <c r="G3019" s="1">
        <v>28582</v>
      </c>
      <c r="H3019" s="1">
        <v>40047</v>
      </c>
      <c r="I3019" t="str">
        <f>"33"</f>
        <v>33</v>
      </c>
      <c r="J3019" t="s">
        <v>45</v>
      </c>
      <c r="K3019" t="s">
        <v>25</v>
      </c>
      <c r="L3019" t="s">
        <v>26</v>
      </c>
      <c r="M3019" t="s">
        <v>27</v>
      </c>
      <c r="N3019" s="1">
        <v>18629</v>
      </c>
      <c r="O3019">
        <v>0</v>
      </c>
      <c r="P3019">
        <v>0</v>
      </c>
      <c r="Q3019" t="s">
        <v>37</v>
      </c>
      <c r="R3019" t="s">
        <v>51</v>
      </c>
      <c r="S3019" s="2" t="s">
        <v>1568</v>
      </c>
      <c r="T3019" t="s">
        <v>1569</v>
      </c>
    </row>
    <row r="3020" spans="1:20" x14ac:dyDescent="0.25">
      <c r="A3020" t="s">
        <v>7484</v>
      </c>
      <c r="B3020" t="str">
        <f>"2365"</f>
        <v>2365</v>
      </c>
      <c r="C3020" t="str">
        <f>"300862365"</f>
        <v>300862365</v>
      </c>
      <c r="D3020" t="s">
        <v>7485</v>
      </c>
      <c r="E3020" t="s">
        <v>7486</v>
      </c>
      <c r="G3020" s="1">
        <v>23943</v>
      </c>
      <c r="H3020" s="1">
        <v>40047</v>
      </c>
      <c r="I3020" t="str">
        <f t="shared" ref="I3020:I3053" si="61">"51"</f>
        <v>51</v>
      </c>
      <c r="J3020" t="s">
        <v>471</v>
      </c>
      <c r="K3020" t="s">
        <v>25</v>
      </c>
      <c r="L3020" t="s">
        <v>26</v>
      </c>
      <c r="M3020" t="s">
        <v>27</v>
      </c>
      <c r="N3020" s="1">
        <v>18629</v>
      </c>
      <c r="O3020">
        <v>0</v>
      </c>
      <c r="P3020">
        <v>0</v>
      </c>
      <c r="Q3020" t="s">
        <v>37</v>
      </c>
      <c r="R3020" t="s">
        <v>29</v>
      </c>
      <c r="S3020" t="s">
        <v>138</v>
      </c>
      <c r="T3020" t="s">
        <v>139</v>
      </c>
    </row>
    <row r="3021" spans="1:20" x14ac:dyDescent="0.25">
      <c r="A3021" t="s">
        <v>7487</v>
      </c>
      <c r="B3021" t="str">
        <f>"4809"</f>
        <v>4809</v>
      </c>
      <c r="C3021" t="str">
        <f>"286564809"</f>
        <v>286564809</v>
      </c>
      <c r="D3021" t="s">
        <v>7488</v>
      </c>
      <c r="E3021" t="s">
        <v>959</v>
      </c>
      <c r="F3021" t="s">
        <v>97</v>
      </c>
      <c r="G3021" s="1">
        <v>22279</v>
      </c>
      <c r="H3021" s="1">
        <v>40047</v>
      </c>
      <c r="I3021" t="str">
        <f t="shared" si="61"/>
        <v>51</v>
      </c>
      <c r="J3021" t="s">
        <v>471</v>
      </c>
      <c r="K3021" t="s">
        <v>25</v>
      </c>
      <c r="L3021" t="s">
        <v>26</v>
      </c>
      <c r="M3021" t="s">
        <v>27</v>
      </c>
      <c r="N3021" s="1">
        <v>18629</v>
      </c>
      <c r="O3021">
        <v>0</v>
      </c>
      <c r="P3021">
        <v>0</v>
      </c>
      <c r="Q3021" t="s">
        <v>28</v>
      </c>
      <c r="R3021" t="s">
        <v>71</v>
      </c>
      <c r="S3021" t="s">
        <v>1585</v>
      </c>
      <c r="T3021" t="s">
        <v>1586</v>
      </c>
    </row>
    <row r="3022" spans="1:20" x14ac:dyDescent="0.25">
      <c r="A3022" t="s">
        <v>7489</v>
      </c>
      <c r="B3022" t="str">
        <f>"0939"</f>
        <v>0939</v>
      </c>
      <c r="C3022" t="str">
        <f>"644520939"</f>
        <v>644520939</v>
      </c>
      <c r="D3022" t="s">
        <v>6631</v>
      </c>
      <c r="E3022" t="s">
        <v>7490</v>
      </c>
      <c r="G3022" s="1">
        <v>30666</v>
      </c>
      <c r="H3022" s="1">
        <v>40047</v>
      </c>
      <c r="I3022" t="str">
        <f t="shared" si="61"/>
        <v>51</v>
      </c>
      <c r="J3022" t="s">
        <v>471</v>
      </c>
      <c r="K3022" t="s">
        <v>25</v>
      </c>
      <c r="L3022" t="s">
        <v>26</v>
      </c>
      <c r="M3022" t="s">
        <v>27</v>
      </c>
      <c r="N3022" s="1">
        <v>18629</v>
      </c>
      <c r="O3022">
        <v>0</v>
      </c>
      <c r="P3022">
        <v>0</v>
      </c>
      <c r="Q3022" t="s">
        <v>37</v>
      </c>
      <c r="R3022" t="s">
        <v>71</v>
      </c>
      <c r="S3022" t="s">
        <v>2458</v>
      </c>
      <c r="T3022" t="s">
        <v>2459</v>
      </c>
    </row>
    <row r="3023" spans="1:20" x14ac:dyDescent="0.25">
      <c r="A3023" t="s">
        <v>7491</v>
      </c>
      <c r="B3023" t="str">
        <f>"8155"</f>
        <v>8155</v>
      </c>
      <c r="C3023" t="str">
        <f>"386608155"</f>
        <v>386608155</v>
      </c>
      <c r="D3023" t="s">
        <v>2022</v>
      </c>
      <c r="E3023" t="s">
        <v>35</v>
      </c>
      <c r="F3023" t="s">
        <v>178</v>
      </c>
      <c r="G3023" s="1">
        <v>20854</v>
      </c>
      <c r="H3023" s="1">
        <v>40047</v>
      </c>
      <c r="I3023" t="str">
        <f t="shared" si="61"/>
        <v>51</v>
      </c>
      <c r="J3023" t="s">
        <v>471</v>
      </c>
      <c r="K3023" t="s">
        <v>25</v>
      </c>
      <c r="L3023" t="s">
        <v>26</v>
      </c>
      <c r="M3023" t="s">
        <v>27</v>
      </c>
      <c r="N3023" s="1">
        <v>18629</v>
      </c>
      <c r="O3023">
        <v>0</v>
      </c>
      <c r="P3023">
        <v>0</v>
      </c>
      <c r="Q3023" t="s">
        <v>28</v>
      </c>
      <c r="R3023" t="s">
        <v>29</v>
      </c>
      <c r="S3023" t="s">
        <v>1572</v>
      </c>
      <c r="T3023" t="s">
        <v>1573</v>
      </c>
    </row>
    <row r="3024" spans="1:20" x14ac:dyDescent="0.25">
      <c r="A3024" t="s">
        <v>7492</v>
      </c>
      <c r="B3024" t="str">
        <f>"4103"</f>
        <v>4103</v>
      </c>
      <c r="C3024" t="str">
        <f>"283864103"</f>
        <v>283864103</v>
      </c>
      <c r="D3024" t="s">
        <v>7493</v>
      </c>
      <c r="E3024" t="s">
        <v>335</v>
      </c>
      <c r="F3024" t="s">
        <v>5889</v>
      </c>
      <c r="G3024" s="1">
        <v>31124</v>
      </c>
      <c r="H3024" s="1">
        <v>40047</v>
      </c>
      <c r="I3024" t="str">
        <f t="shared" si="61"/>
        <v>51</v>
      </c>
      <c r="J3024" t="s">
        <v>471</v>
      </c>
      <c r="K3024" t="s">
        <v>25</v>
      </c>
      <c r="L3024" t="s">
        <v>26</v>
      </c>
      <c r="M3024" t="s">
        <v>27</v>
      </c>
      <c r="N3024" s="1">
        <v>18629</v>
      </c>
      <c r="O3024">
        <v>0</v>
      </c>
      <c r="P3024">
        <v>0</v>
      </c>
      <c r="Q3024" t="s">
        <v>28</v>
      </c>
      <c r="R3024" t="s">
        <v>71</v>
      </c>
      <c r="S3024" t="s">
        <v>1474</v>
      </c>
      <c r="T3024" t="s">
        <v>1475</v>
      </c>
    </row>
    <row r="3025" spans="1:20" x14ac:dyDescent="0.25">
      <c r="A3025" t="s">
        <v>7494</v>
      </c>
      <c r="B3025" t="str">
        <f>"2432"</f>
        <v>2432</v>
      </c>
      <c r="C3025" t="str">
        <f>"282882432"</f>
        <v>282882432</v>
      </c>
      <c r="D3025" t="s">
        <v>7495</v>
      </c>
      <c r="E3025" t="s">
        <v>2162</v>
      </c>
      <c r="G3025" s="1">
        <v>29544</v>
      </c>
      <c r="H3025" s="1">
        <v>40047</v>
      </c>
      <c r="I3025" t="str">
        <f t="shared" si="61"/>
        <v>51</v>
      </c>
      <c r="J3025" t="s">
        <v>471</v>
      </c>
      <c r="K3025" t="s">
        <v>25</v>
      </c>
      <c r="L3025" t="s">
        <v>26</v>
      </c>
      <c r="M3025" t="s">
        <v>27</v>
      </c>
      <c r="N3025" s="1">
        <v>18629</v>
      </c>
      <c r="O3025">
        <v>0</v>
      </c>
      <c r="P3025">
        <v>0</v>
      </c>
      <c r="Q3025" t="s">
        <v>37</v>
      </c>
      <c r="R3025" t="s">
        <v>29</v>
      </c>
      <c r="S3025" t="s">
        <v>3017</v>
      </c>
      <c r="T3025" t="s">
        <v>3018</v>
      </c>
    </row>
    <row r="3026" spans="1:20" x14ac:dyDescent="0.25">
      <c r="A3026" t="s">
        <v>7496</v>
      </c>
      <c r="B3026" t="str">
        <f>"2786"</f>
        <v>2786</v>
      </c>
      <c r="C3026" t="str">
        <f>"279942786"</f>
        <v>279942786</v>
      </c>
      <c r="D3026" t="s">
        <v>7497</v>
      </c>
      <c r="E3026" t="s">
        <v>7498</v>
      </c>
      <c r="G3026" s="1">
        <v>19887</v>
      </c>
      <c r="H3026" s="1">
        <v>40047</v>
      </c>
      <c r="I3026" t="str">
        <f t="shared" si="61"/>
        <v>51</v>
      </c>
      <c r="J3026" t="s">
        <v>471</v>
      </c>
      <c r="K3026" t="s">
        <v>25</v>
      </c>
      <c r="L3026" t="s">
        <v>26</v>
      </c>
      <c r="M3026" t="s">
        <v>27</v>
      </c>
      <c r="N3026" s="1">
        <v>18629</v>
      </c>
      <c r="O3026">
        <v>0</v>
      </c>
      <c r="P3026">
        <v>0</v>
      </c>
      <c r="Q3026" t="s">
        <v>28</v>
      </c>
      <c r="R3026" t="s">
        <v>51</v>
      </c>
      <c r="S3026" s="2" t="s">
        <v>774</v>
      </c>
      <c r="T3026" t="s">
        <v>775</v>
      </c>
    </row>
    <row r="3027" spans="1:20" x14ac:dyDescent="0.25">
      <c r="A3027" t="s">
        <v>7499</v>
      </c>
      <c r="B3027" t="str">
        <f>"4470"</f>
        <v>4470</v>
      </c>
      <c r="C3027" t="str">
        <f>"505704470"</f>
        <v>505704470</v>
      </c>
      <c r="D3027" t="s">
        <v>7500</v>
      </c>
      <c r="E3027" t="s">
        <v>7501</v>
      </c>
      <c r="F3027" t="s">
        <v>44</v>
      </c>
      <c r="G3027" s="1">
        <v>18730</v>
      </c>
      <c r="H3027" s="1">
        <v>40047</v>
      </c>
      <c r="I3027" t="str">
        <f t="shared" si="61"/>
        <v>51</v>
      </c>
      <c r="J3027" t="s">
        <v>471</v>
      </c>
      <c r="K3027" t="s">
        <v>25</v>
      </c>
      <c r="L3027" t="s">
        <v>26</v>
      </c>
      <c r="M3027" t="s">
        <v>27</v>
      </c>
      <c r="N3027" s="1">
        <v>18629</v>
      </c>
      <c r="O3027">
        <v>0</v>
      </c>
      <c r="P3027">
        <v>0</v>
      </c>
      <c r="Q3027" t="s">
        <v>37</v>
      </c>
      <c r="R3027" t="s">
        <v>29</v>
      </c>
      <c r="S3027" t="s">
        <v>3763</v>
      </c>
      <c r="T3027" t="s">
        <v>3764</v>
      </c>
    </row>
    <row r="3028" spans="1:20" x14ac:dyDescent="0.25">
      <c r="A3028" t="s">
        <v>7502</v>
      </c>
      <c r="B3028" t="str">
        <f>"5541"</f>
        <v>5541</v>
      </c>
      <c r="C3028" t="str">
        <f>"279585541"</f>
        <v>279585541</v>
      </c>
      <c r="D3028" t="s">
        <v>5752</v>
      </c>
      <c r="E3028" t="s">
        <v>7503</v>
      </c>
      <c r="G3028" s="1">
        <v>20896</v>
      </c>
      <c r="H3028" s="1">
        <v>40047</v>
      </c>
      <c r="I3028" t="str">
        <f t="shared" si="61"/>
        <v>51</v>
      </c>
      <c r="J3028" t="s">
        <v>471</v>
      </c>
      <c r="K3028" t="s">
        <v>25</v>
      </c>
      <c r="L3028" t="s">
        <v>26</v>
      </c>
      <c r="M3028" t="s">
        <v>27</v>
      </c>
      <c r="N3028" s="1">
        <v>18629</v>
      </c>
      <c r="O3028">
        <v>0</v>
      </c>
      <c r="P3028">
        <v>0</v>
      </c>
      <c r="Q3028" t="s">
        <v>28</v>
      </c>
      <c r="R3028" t="s">
        <v>29</v>
      </c>
      <c r="S3028" s="2" t="s">
        <v>2202</v>
      </c>
      <c r="T3028" t="s">
        <v>2203</v>
      </c>
    </row>
    <row r="3029" spans="1:20" x14ac:dyDescent="0.25">
      <c r="A3029" t="s">
        <v>7504</v>
      </c>
      <c r="B3029" t="str">
        <f>"7108"</f>
        <v>7108</v>
      </c>
      <c r="C3029" t="str">
        <f>"272887108"</f>
        <v>272887108</v>
      </c>
      <c r="D3029" t="s">
        <v>7505</v>
      </c>
      <c r="E3029" t="s">
        <v>2674</v>
      </c>
      <c r="F3029" t="s">
        <v>35</v>
      </c>
      <c r="G3029" s="1">
        <v>26882</v>
      </c>
      <c r="H3029" s="1">
        <v>40047</v>
      </c>
      <c r="I3029" t="str">
        <f t="shared" si="61"/>
        <v>51</v>
      </c>
      <c r="J3029" t="s">
        <v>471</v>
      </c>
      <c r="K3029" t="s">
        <v>25</v>
      </c>
      <c r="L3029" t="s">
        <v>26</v>
      </c>
      <c r="M3029" t="s">
        <v>27</v>
      </c>
      <c r="N3029" s="1">
        <v>18629</v>
      </c>
      <c r="O3029">
        <v>0</v>
      </c>
      <c r="P3029">
        <v>0</v>
      </c>
      <c r="Q3029" t="s">
        <v>28</v>
      </c>
      <c r="R3029" t="s">
        <v>71</v>
      </c>
      <c r="S3029" t="s">
        <v>790</v>
      </c>
      <c r="T3029" t="s">
        <v>791</v>
      </c>
    </row>
    <row r="3030" spans="1:20" x14ac:dyDescent="0.25">
      <c r="A3030" t="s">
        <v>7506</v>
      </c>
      <c r="B3030" t="str">
        <f>"1981"</f>
        <v>1981</v>
      </c>
      <c r="C3030" t="str">
        <f>"283621981"</f>
        <v>283621981</v>
      </c>
      <c r="D3030" t="s">
        <v>7507</v>
      </c>
      <c r="E3030" t="s">
        <v>900</v>
      </c>
      <c r="F3030" t="s">
        <v>174</v>
      </c>
      <c r="G3030" s="1">
        <v>26264</v>
      </c>
      <c r="H3030" s="1">
        <v>40047</v>
      </c>
      <c r="I3030" t="str">
        <f t="shared" si="61"/>
        <v>51</v>
      </c>
      <c r="J3030" t="s">
        <v>471</v>
      </c>
      <c r="K3030" t="s">
        <v>25</v>
      </c>
      <c r="L3030" t="s">
        <v>26</v>
      </c>
      <c r="M3030" t="s">
        <v>27</v>
      </c>
      <c r="N3030" s="1">
        <v>18629</v>
      </c>
      <c r="O3030">
        <v>0</v>
      </c>
      <c r="P3030">
        <v>0</v>
      </c>
      <c r="Q3030" t="s">
        <v>37</v>
      </c>
      <c r="R3030" t="s">
        <v>51</v>
      </c>
      <c r="S3030" s="2" t="s">
        <v>2202</v>
      </c>
      <c r="T3030" t="s">
        <v>2203</v>
      </c>
    </row>
    <row r="3031" spans="1:20" x14ac:dyDescent="0.25">
      <c r="A3031" t="s">
        <v>7508</v>
      </c>
      <c r="B3031" t="str">
        <f>"0171"</f>
        <v>0171</v>
      </c>
      <c r="C3031" t="str">
        <f>"299460171"</f>
        <v>299460171</v>
      </c>
      <c r="D3031" t="s">
        <v>7509</v>
      </c>
      <c r="E3031" t="s">
        <v>164</v>
      </c>
      <c r="F3031" t="s">
        <v>28</v>
      </c>
      <c r="G3031" s="1">
        <v>17437</v>
      </c>
      <c r="H3031" s="1">
        <v>40047</v>
      </c>
      <c r="I3031" t="str">
        <f t="shared" si="61"/>
        <v>51</v>
      </c>
      <c r="J3031" t="s">
        <v>471</v>
      </c>
      <c r="K3031" t="s">
        <v>25</v>
      </c>
      <c r="L3031" t="s">
        <v>26</v>
      </c>
      <c r="M3031" t="s">
        <v>27</v>
      </c>
      <c r="N3031" s="1">
        <v>18629</v>
      </c>
      <c r="O3031">
        <v>0</v>
      </c>
      <c r="P3031">
        <v>0</v>
      </c>
      <c r="Q3031" t="s">
        <v>37</v>
      </c>
      <c r="R3031" t="s">
        <v>71</v>
      </c>
      <c r="S3031" t="s">
        <v>4090</v>
      </c>
      <c r="T3031" t="s">
        <v>4091</v>
      </c>
    </row>
    <row r="3032" spans="1:20" x14ac:dyDescent="0.25">
      <c r="A3032" t="s">
        <v>7510</v>
      </c>
      <c r="B3032" t="str">
        <f>"2665"</f>
        <v>2665</v>
      </c>
      <c r="C3032" t="str">
        <f>"289542665"</f>
        <v>289542665</v>
      </c>
      <c r="D3032" t="s">
        <v>7511</v>
      </c>
      <c r="E3032" t="s">
        <v>430</v>
      </c>
      <c r="F3032" t="s">
        <v>37</v>
      </c>
      <c r="G3032" s="1">
        <v>19434</v>
      </c>
      <c r="H3032" s="1">
        <v>40047</v>
      </c>
      <c r="I3032" t="str">
        <f t="shared" si="61"/>
        <v>51</v>
      </c>
      <c r="J3032" t="s">
        <v>471</v>
      </c>
      <c r="K3032" t="s">
        <v>25</v>
      </c>
      <c r="L3032" t="s">
        <v>26</v>
      </c>
      <c r="M3032" t="s">
        <v>27</v>
      </c>
      <c r="N3032" s="1">
        <v>18629</v>
      </c>
      <c r="O3032">
        <v>0</v>
      </c>
      <c r="P3032">
        <v>0</v>
      </c>
      <c r="Q3032" t="s">
        <v>28</v>
      </c>
      <c r="R3032" t="s">
        <v>51</v>
      </c>
      <c r="S3032" s="2" t="s">
        <v>2202</v>
      </c>
      <c r="T3032" t="s">
        <v>2203</v>
      </c>
    </row>
    <row r="3033" spans="1:20" x14ac:dyDescent="0.25">
      <c r="A3033" t="s">
        <v>7512</v>
      </c>
      <c r="B3033" t="str">
        <f>"9818"</f>
        <v>9818</v>
      </c>
      <c r="C3033" t="str">
        <f>"282969818"</f>
        <v>282969818</v>
      </c>
      <c r="D3033" t="s">
        <v>7513</v>
      </c>
      <c r="E3033" t="s">
        <v>7514</v>
      </c>
      <c r="G3033" s="1">
        <v>27661</v>
      </c>
      <c r="H3033" s="1">
        <v>40047</v>
      </c>
      <c r="I3033" t="str">
        <f t="shared" si="61"/>
        <v>51</v>
      </c>
      <c r="J3033" t="s">
        <v>471</v>
      </c>
      <c r="K3033" t="s">
        <v>25</v>
      </c>
      <c r="L3033" t="s">
        <v>26</v>
      </c>
      <c r="M3033" t="s">
        <v>27</v>
      </c>
      <c r="N3033" s="1">
        <v>18629</v>
      </c>
      <c r="O3033">
        <v>0</v>
      </c>
      <c r="P3033">
        <v>0</v>
      </c>
      <c r="Q3033" t="s">
        <v>37</v>
      </c>
      <c r="R3033" t="s">
        <v>51</v>
      </c>
      <c r="S3033" s="2" t="s">
        <v>4118</v>
      </c>
      <c r="T3033" t="s">
        <v>4119</v>
      </c>
    </row>
    <row r="3034" spans="1:20" x14ac:dyDescent="0.25">
      <c r="A3034" t="s">
        <v>7515</v>
      </c>
      <c r="B3034" t="str">
        <f>"1767"</f>
        <v>1767</v>
      </c>
      <c r="C3034" t="str">
        <f>"268321767"</f>
        <v>268321767</v>
      </c>
      <c r="D3034" t="s">
        <v>7516</v>
      </c>
      <c r="E3034" t="s">
        <v>4183</v>
      </c>
      <c r="F3034" t="s">
        <v>239</v>
      </c>
      <c r="G3034" s="1">
        <v>13024</v>
      </c>
      <c r="H3034" s="1">
        <v>40047</v>
      </c>
      <c r="I3034" t="str">
        <f t="shared" si="61"/>
        <v>51</v>
      </c>
      <c r="J3034" t="s">
        <v>471</v>
      </c>
      <c r="K3034" t="s">
        <v>25</v>
      </c>
      <c r="L3034" t="s">
        <v>26</v>
      </c>
      <c r="M3034" t="s">
        <v>27</v>
      </c>
      <c r="N3034" s="1">
        <v>18629</v>
      </c>
      <c r="O3034">
        <v>0</v>
      </c>
      <c r="P3034">
        <v>0</v>
      </c>
      <c r="Q3034" t="s">
        <v>37</v>
      </c>
      <c r="R3034" t="s">
        <v>51</v>
      </c>
      <c r="S3034" t="s">
        <v>1585</v>
      </c>
      <c r="T3034" t="s">
        <v>1586</v>
      </c>
    </row>
    <row r="3035" spans="1:20" x14ac:dyDescent="0.25">
      <c r="A3035" t="s">
        <v>7517</v>
      </c>
      <c r="B3035" t="str">
        <f>"7179"</f>
        <v>7179</v>
      </c>
      <c r="C3035" t="str">
        <f>"285887179"</f>
        <v>285887179</v>
      </c>
      <c r="D3035" t="s">
        <v>2757</v>
      </c>
      <c r="E3035" t="s">
        <v>1198</v>
      </c>
      <c r="F3035" t="s">
        <v>239</v>
      </c>
      <c r="G3035" s="1">
        <v>29363</v>
      </c>
      <c r="H3035" s="1">
        <v>40047</v>
      </c>
      <c r="I3035" t="str">
        <f t="shared" si="61"/>
        <v>51</v>
      </c>
      <c r="J3035" t="s">
        <v>471</v>
      </c>
      <c r="K3035" t="s">
        <v>25</v>
      </c>
      <c r="L3035" t="s">
        <v>26</v>
      </c>
      <c r="M3035" t="s">
        <v>27</v>
      </c>
      <c r="N3035" s="1">
        <v>18629</v>
      </c>
      <c r="O3035">
        <v>0</v>
      </c>
      <c r="P3035">
        <v>0</v>
      </c>
      <c r="Q3035" t="s">
        <v>28</v>
      </c>
      <c r="R3035" t="s">
        <v>29</v>
      </c>
      <c r="S3035" t="s">
        <v>1555</v>
      </c>
      <c r="T3035" t="s">
        <v>1556</v>
      </c>
    </row>
    <row r="3036" spans="1:20" x14ac:dyDescent="0.25">
      <c r="A3036" t="s">
        <v>7518</v>
      </c>
      <c r="B3036" t="str">
        <f>"8786"</f>
        <v>8786</v>
      </c>
      <c r="C3036" t="str">
        <f>"283648786"</f>
        <v>283648786</v>
      </c>
      <c r="D3036" t="s">
        <v>895</v>
      </c>
      <c r="E3036" t="s">
        <v>1453</v>
      </c>
      <c r="F3036" t="s">
        <v>165</v>
      </c>
      <c r="G3036" s="1">
        <v>24204</v>
      </c>
      <c r="H3036" s="1">
        <v>40047</v>
      </c>
      <c r="I3036" t="str">
        <f t="shared" si="61"/>
        <v>51</v>
      </c>
      <c r="J3036" t="s">
        <v>471</v>
      </c>
      <c r="K3036" t="s">
        <v>25</v>
      </c>
      <c r="L3036" t="s">
        <v>26</v>
      </c>
      <c r="M3036" t="s">
        <v>27</v>
      </c>
      <c r="N3036" s="1">
        <v>18629</v>
      </c>
      <c r="O3036">
        <v>0</v>
      </c>
      <c r="P3036">
        <v>0</v>
      </c>
      <c r="Q3036" t="s">
        <v>28</v>
      </c>
      <c r="R3036" t="s">
        <v>51</v>
      </c>
      <c r="S3036" s="2" t="s">
        <v>6575</v>
      </c>
      <c r="T3036" t="s">
        <v>6576</v>
      </c>
    </row>
    <row r="3037" spans="1:20" x14ac:dyDescent="0.25">
      <c r="A3037" t="s">
        <v>7519</v>
      </c>
      <c r="B3037" t="str">
        <f>"1682"</f>
        <v>1682</v>
      </c>
      <c r="C3037" t="str">
        <f>"075681682"</f>
        <v>075681682</v>
      </c>
      <c r="D3037" t="s">
        <v>7520</v>
      </c>
      <c r="E3037" t="s">
        <v>1691</v>
      </c>
      <c r="F3037" t="s">
        <v>44</v>
      </c>
      <c r="G3037" s="1">
        <v>29251</v>
      </c>
      <c r="H3037" s="1">
        <v>40047</v>
      </c>
      <c r="I3037" t="str">
        <f t="shared" si="61"/>
        <v>51</v>
      </c>
      <c r="J3037" t="s">
        <v>471</v>
      </c>
      <c r="K3037" t="s">
        <v>25</v>
      </c>
      <c r="L3037" t="s">
        <v>26</v>
      </c>
      <c r="M3037" t="s">
        <v>27</v>
      </c>
      <c r="N3037" s="1">
        <v>18629</v>
      </c>
      <c r="O3037">
        <v>0</v>
      </c>
      <c r="P3037">
        <v>0</v>
      </c>
      <c r="Q3037" t="s">
        <v>37</v>
      </c>
      <c r="R3037" t="s">
        <v>71</v>
      </c>
      <c r="S3037" t="s">
        <v>1547</v>
      </c>
      <c r="T3037" t="s">
        <v>1548</v>
      </c>
    </row>
    <row r="3038" spans="1:20" x14ac:dyDescent="0.25">
      <c r="A3038" t="s">
        <v>7521</v>
      </c>
      <c r="B3038" t="str">
        <f>"3316"</f>
        <v>3316</v>
      </c>
      <c r="C3038" t="str">
        <f>"217483316"</f>
        <v>217483316</v>
      </c>
      <c r="D3038" t="s">
        <v>677</v>
      </c>
      <c r="E3038" t="s">
        <v>263</v>
      </c>
      <c r="F3038" t="s">
        <v>282</v>
      </c>
      <c r="G3038" s="1">
        <v>17696</v>
      </c>
      <c r="H3038" s="1">
        <v>40047</v>
      </c>
      <c r="I3038" t="str">
        <f t="shared" si="61"/>
        <v>51</v>
      </c>
      <c r="J3038" t="s">
        <v>471</v>
      </c>
      <c r="K3038" t="s">
        <v>25</v>
      </c>
      <c r="L3038" t="s">
        <v>26</v>
      </c>
      <c r="M3038" t="s">
        <v>27</v>
      </c>
      <c r="N3038" s="1">
        <v>18629</v>
      </c>
      <c r="O3038">
        <v>0</v>
      </c>
      <c r="P3038">
        <v>0</v>
      </c>
      <c r="Q3038" t="s">
        <v>28</v>
      </c>
      <c r="R3038" t="s">
        <v>51</v>
      </c>
      <c r="S3038" s="2" t="s">
        <v>4118</v>
      </c>
      <c r="T3038" t="s">
        <v>4119</v>
      </c>
    </row>
    <row r="3039" spans="1:20" x14ac:dyDescent="0.25">
      <c r="A3039" t="s">
        <v>7522</v>
      </c>
      <c r="B3039" t="str">
        <f>"2811"</f>
        <v>2811</v>
      </c>
      <c r="C3039" t="str">
        <f>"273482811"</f>
        <v>273482811</v>
      </c>
      <c r="D3039" t="s">
        <v>1883</v>
      </c>
      <c r="E3039" t="s">
        <v>1074</v>
      </c>
      <c r="F3039" t="s">
        <v>2014</v>
      </c>
      <c r="G3039" s="1">
        <v>17909</v>
      </c>
      <c r="H3039" s="1">
        <v>40047</v>
      </c>
      <c r="I3039" t="str">
        <f t="shared" si="61"/>
        <v>51</v>
      </c>
      <c r="J3039" t="s">
        <v>471</v>
      </c>
      <c r="K3039" t="s">
        <v>25</v>
      </c>
      <c r="L3039" t="s">
        <v>26</v>
      </c>
      <c r="M3039" t="s">
        <v>27</v>
      </c>
      <c r="N3039" s="1">
        <v>18629</v>
      </c>
      <c r="O3039">
        <v>0</v>
      </c>
      <c r="P3039">
        <v>0</v>
      </c>
      <c r="Q3039" t="s">
        <v>37</v>
      </c>
      <c r="R3039" t="s">
        <v>29</v>
      </c>
      <c r="S3039" t="s">
        <v>1075</v>
      </c>
      <c r="T3039" t="s">
        <v>1076</v>
      </c>
    </row>
    <row r="3040" spans="1:20" x14ac:dyDescent="0.25">
      <c r="A3040" t="s">
        <v>7523</v>
      </c>
      <c r="B3040" t="str">
        <f>"1937"</f>
        <v>1937</v>
      </c>
      <c r="C3040" t="str">
        <f>"285061937"</f>
        <v>285061937</v>
      </c>
      <c r="D3040" t="s">
        <v>7524</v>
      </c>
      <c r="E3040" t="s">
        <v>4383</v>
      </c>
      <c r="G3040" s="1">
        <v>24253</v>
      </c>
      <c r="H3040" s="1">
        <v>40047</v>
      </c>
      <c r="I3040" t="str">
        <f t="shared" si="61"/>
        <v>51</v>
      </c>
      <c r="J3040" t="s">
        <v>471</v>
      </c>
      <c r="K3040" t="s">
        <v>25</v>
      </c>
      <c r="L3040" t="s">
        <v>26</v>
      </c>
      <c r="M3040" t="s">
        <v>27</v>
      </c>
      <c r="N3040" s="1">
        <v>18629</v>
      </c>
      <c r="O3040">
        <v>0</v>
      </c>
      <c r="P3040">
        <v>0</v>
      </c>
      <c r="Q3040" t="s">
        <v>28</v>
      </c>
      <c r="R3040" t="s">
        <v>51</v>
      </c>
      <c r="S3040" s="2" t="s">
        <v>2202</v>
      </c>
      <c r="T3040" t="s">
        <v>2203</v>
      </c>
    </row>
    <row r="3041" spans="1:20" x14ac:dyDescent="0.25">
      <c r="A3041" t="s">
        <v>7525</v>
      </c>
      <c r="B3041" t="str">
        <f>"7522"</f>
        <v>7522</v>
      </c>
      <c r="C3041" t="str">
        <f>"279527522"</f>
        <v>279527522</v>
      </c>
      <c r="D3041" t="s">
        <v>860</v>
      </c>
      <c r="E3041" t="s">
        <v>184</v>
      </c>
      <c r="F3041" t="s">
        <v>470</v>
      </c>
      <c r="G3041" s="1">
        <v>19186</v>
      </c>
      <c r="H3041" s="1">
        <v>40047</v>
      </c>
      <c r="I3041" t="str">
        <f t="shared" si="61"/>
        <v>51</v>
      </c>
      <c r="J3041" t="s">
        <v>471</v>
      </c>
      <c r="K3041" t="s">
        <v>25</v>
      </c>
      <c r="L3041" t="s">
        <v>26</v>
      </c>
      <c r="M3041" t="s">
        <v>27</v>
      </c>
      <c r="N3041" s="1">
        <v>18629</v>
      </c>
      <c r="O3041">
        <v>0</v>
      </c>
      <c r="P3041">
        <v>0</v>
      </c>
      <c r="Q3041" t="s">
        <v>37</v>
      </c>
      <c r="R3041" t="s">
        <v>29</v>
      </c>
      <c r="S3041" t="s">
        <v>138</v>
      </c>
      <c r="T3041" t="s">
        <v>139</v>
      </c>
    </row>
    <row r="3042" spans="1:20" x14ac:dyDescent="0.25">
      <c r="A3042" t="s">
        <v>7526</v>
      </c>
      <c r="B3042" t="str">
        <f>"7049"</f>
        <v>7049</v>
      </c>
      <c r="C3042" t="str">
        <f>"296487049"</f>
        <v>296487049</v>
      </c>
      <c r="D3042" t="s">
        <v>7527</v>
      </c>
      <c r="E3042" t="s">
        <v>96</v>
      </c>
      <c r="F3042" t="s">
        <v>97</v>
      </c>
      <c r="G3042" s="1">
        <v>19176</v>
      </c>
      <c r="H3042" s="1">
        <v>40047</v>
      </c>
      <c r="I3042" t="str">
        <f t="shared" si="61"/>
        <v>51</v>
      </c>
      <c r="J3042" t="s">
        <v>471</v>
      </c>
      <c r="K3042" t="s">
        <v>25</v>
      </c>
      <c r="L3042" t="s">
        <v>26</v>
      </c>
      <c r="M3042" t="s">
        <v>27</v>
      </c>
      <c r="N3042" s="1">
        <v>18629</v>
      </c>
      <c r="O3042">
        <v>0</v>
      </c>
      <c r="P3042">
        <v>0</v>
      </c>
      <c r="Q3042" t="s">
        <v>37</v>
      </c>
      <c r="R3042" t="s">
        <v>71</v>
      </c>
      <c r="S3042" t="s">
        <v>305</v>
      </c>
      <c r="T3042" t="s">
        <v>306</v>
      </c>
    </row>
    <row r="3043" spans="1:20" x14ac:dyDescent="0.25">
      <c r="A3043" t="s">
        <v>7528</v>
      </c>
      <c r="B3043" t="str">
        <f>"6374"</f>
        <v>6374</v>
      </c>
      <c r="C3043" t="str">
        <f>"280306374"</f>
        <v>280306374</v>
      </c>
      <c r="D3043" t="s">
        <v>7529</v>
      </c>
      <c r="E3043" t="s">
        <v>178</v>
      </c>
      <c r="F3043" t="s">
        <v>97</v>
      </c>
      <c r="G3043" s="1">
        <v>12966</v>
      </c>
      <c r="H3043" s="1">
        <v>40047</v>
      </c>
      <c r="I3043" t="str">
        <f t="shared" si="61"/>
        <v>51</v>
      </c>
      <c r="J3043" t="s">
        <v>471</v>
      </c>
      <c r="K3043" t="s">
        <v>25</v>
      </c>
      <c r="L3043" t="s">
        <v>26</v>
      </c>
      <c r="M3043" t="s">
        <v>27</v>
      </c>
      <c r="N3043" s="1">
        <v>18629</v>
      </c>
      <c r="O3043">
        <v>0</v>
      </c>
      <c r="P3043">
        <v>0</v>
      </c>
      <c r="Q3043" t="s">
        <v>28</v>
      </c>
      <c r="R3043" t="s">
        <v>51</v>
      </c>
      <c r="S3043" s="2" t="s">
        <v>2202</v>
      </c>
      <c r="T3043" t="s">
        <v>2203</v>
      </c>
    </row>
    <row r="3044" spans="1:20" x14ac:dyDescent="0.25">
      <c r="A3044" t="s">
        <v>7530</v>
      </c>
      <c r="B3044" t="str">
        <f>"0146"</f>
        <v>0146</v>
      </c>
      <c r="C3044" t="str">
        <f>"276820146"</f>
        <v>276820146</v>
      </c>
      <c r="D3044" t="s">
        <v>7531</v>
      </c>
      <c r="E3044" t="s">
        <v>3760</v>
      </c>
      <c r="F3044" t="s">
        <v>358</v>
      </c>
      <c r="G3044" s="1">
        <v>29173</v>
      </c>
      <c r="H3044" s="1">
        <v>40047</v>
      </c>
      <c r="I3044" t="str">
        <f t="shared" si="61"/>
        <v>51</v>
      </c>
      <c r="J3044" t="s">
        <v>471</v>
      </c>
      <c r="K3044" t="s">
        <v>25</v>
      </c>
      <c r="L3044" t="s">
        <v>26</v>
      </c>
      <c r="M3044" t="s">
        <v>27</v>
      </c>
      <c r="N3044" s="1">
        <v>18629</v>
      </c>
      <c r="O3044">
        <v>0</v>
      </c>
      <c r="P3044">
        <v>0</v>
      </c>
      <c r="Q3044" t="s">
        <v>37</v>
      </c>
      <c r="R3044" t="s">
        <v>29</v>
      </c>
      <c r="S3044" t="s">
        <v>1572</v>
      </c>
      <c r="T3044" t="s">
        <v>1573</v>
      </c>
    </row>
    <row r="3045" spans="1:20" x14ac:dyDescent="0.25">
      <c r="A3045" t="s">
        <v>7532</v>
      </c>
      <c r="B3045" t="str">
        <f>"6650"</f>
        <v>6650</v>
      </c>
      <c r="C3045" t="str">
        <f>"285586650"</f>
        <v>285586650</v>
      </c>
      <c r="D3045" t="s">
        <v>7533</v>
      </c>
      <c r="E3045" t="s">
        <v>106</v>
      </c>
      <c r="F3045" t="s">
        <v>26</v>
      </c>
      <c r="G3045" s="1">
        <v>20231</v>
      </c>
      <c r="H3045" s="1">
        <v>40047</v>
      </c>
      <c r="I3045" t="str">
        <f t="shared" si="61"/>
        <v>51</v>
      </c>
      <c r="J3045" t="s">
        <v>471</v>
      </c>
      <c r="K3045" t="s">
        <v>25</v>
      </c>
      <c r="L3045" t="s">
        <v>26</v>
      </c>
      <c r="M3045" t="s">
        <v>27</v>
      </c>
      <c r="N3045" s="1">
        <v>18629</v>
      </c>
      <c r="O3045">
        <v>0</v>
      </c>
      <c r="P3045">
        <v>0</v>
      </c>
      <c r="Q3045" t="s">
        <v>28</v>
      </c>
      <c r="R3045" t="s">
        <v>71</v>
      </c>
      <c r="S3045" t="s">
        <v>157</v>
      </c>
      <c r="T3045" t="s">
        <v>158</v>
      </c>
    </row>
    <row r="3046" spans="1:20" x14ac:dyDescent="0.25">
      <c r="A3046" t="s">
        <v>7534</v>
      </c>
      <c r="B3046" t="str">
        <f>"2057"</f>
        <v>2057</v>
      </c>
      <c r="C3046" t="str">
        <f>"204482057"</f>
        <v>204482057</v>
      </c>
      <c r="D3046" t="s">
        <v>7535</v>
      </c>
      <c r="E3046" t="s">
        <v>609</v>
      </c>
      <c r="F3046" t="s">
        <v>28</v>
      </c>
      <c r="G3046" s="1">
        <v>25061</v>
      </c>
      <c r="H3046" s="1">
        <v>40047</v>
      </c>
      <c r="I3046" t="str">
        <f t="shared" si="61"/>
        <v>51</v>
      </c>
      <c r="J3046" t="s">
        <v>471</v>
      </c>
      <c r="K3046" t="s">
        <v>25</v>
      </c>
      <c r="L3046" t="s">
        <v>26</v>
      </c>
      <c r="M3046" t="s">
        <v>27</v>
      </c>
      <c r="N3046" s="1">
        <v>18629</v>
      </c>
      <c r="O3046">
        <v>0</v>
      </c>
      <c r="P3046">
        <v>0</v>
      </c>
      <c r="Q3046" t="s">
        <v>28</v>
      </c>
      <c r="R3046" t="s">
        <v>29</v>
      </c>
      <c r="S3046" t="s">
        <v>7536</v>
      </c>
      <c r="T3046" t="s">
        <v>7537</v>
      </c>
    </row>
    <row r="3047" spans="1:20" x14ac:dyDescent="0.25">
      <c r="A3047" t="s">
        <v>7538</v>
      </c>
      <c r="B3047" t="str">
        <f>"8580"</f>
        <v>8580</v>
      </c>
      <c r="C3047" t="str">
        <f>"090408580"</f>
        <v>090408580</v>
      </c>
      <c r="D3047" t="s">
        <v>7539</v>
      </c>
      <c r="E3047" t="s">
        <v>7540</v>
      </c>
      <c r="F3047" t="s">
        <v>37</v>
      </c>
      <c r="G3047" s="1">
        <v>18093</v>
      </c>
      <c r="H3047" s="1">
        <v>40047</v>
      </c>
      <c r="I3047" t="str">
        <f t="shared" si="61"/>
        <v>51</v>
      </c>
      <c r="J3047" t="s">
        <v>471</v>
      </c>
      <c r="K3047" t="s">
        <v>25</v>
      </c>
      <c r="L3047" t="s">
        <v>26</v>
      </c>
      <c r="M3047" t="s">
        <v>27</v>
      </c>
      <c r="N3047" s="1">
        <v>18629</v>
      </c>
      <c r="O3047">
        <v>0</v>
      </c>
      <c r="P3047">
        <v>0</v>
      </c>
      <c r="Q3047" t="s">
        <v>28</v>
      </c>
      <c r="R3047" t="s">
        <v>29</v>
      </c>
      <c r="S3047" t="s">
        <v>1677</v>
      </c>
      <c r="T3047" t="s">
        <v>1678</v>
      </c>
    </row>
    <row r="3048" spans="1:20" x14ac:dyDescent="0.25">
      <c r="A3048" t="s">
        <v>7541</v>
      </c>
      <c r="B3048" t="str">
        <f>"6858"</f>
        <v>6858</v>
      </c>
      <c r="C3048" t="str">
        <f>"289326858"</f>
        <v>289326858</v>
      </c>
      <c r="D3048" t="s">
        <v>7542</v>
      </c>
      <c r="E3048" t="s">
        <v>197</v>
      </c>
      <c r="F3048" t="s">
        <v>93</v>
      </c>
      <c r="G3048" s="1">
        <v>13713</v>
      </c>
      <c r="H3048" s="1">
        <v>40047</v>
      </c>
      <c r="I3048" t="str">
        <f t="shared" si="61"/>
        <v>51</v>
      </c>
      <c r="J3048" t="s">
        <v>471</v>
      </c>
      <c r="K3048" t="s">
        <v>25</v>
      </c>
      <c r="L3048" t="s">
        <v>26</v>
      </c>
      <c r="M3048" t="s">
        <v>27</v>
      </c>
      <c r="N3048" s="1">
        <v>18629</v>
      </c>
      <c r="O3048">
        <v>0</v>
      </c>
      <c r="P3048">
        <v>0</v>
      </c>
      <c r="Q3048" t="s">
        <v>28</v>
      </c>
      <c r="R3048" t="s">
        <v>71</v>
      </c>
      <c r="S3048" t="s">
        <v>1585</v>
      </c>
      <c r="T3048" t="s">
        <v>1586</v>
      </c>
    </row>
    <row r="3049" spans="1:20" x14ac:dyDescent="0.25">
      <c r="A3049" t="s">
        <v>7543</v>
      </c>
      <c r="B3049" t="str">
        <f>"8215"</f>
        <v>8215</v>
      </c>
      <c r="C3049" t="str">
        <f>"276448215"</f>
        <v>276448215</v>
      </c>
      <c r="D3049" t="s">
        <v>7544</v>
      </c>
      <c r="E3049" t="s">
        <v>381</v>
      </c>
      <c r="F3049" t="s">
        <v>219</v>
      </c>
      <c r="G3049" s="1">
        <v>19530</v>
      </c>
      <c r="H3049" s="1">
        <v>40047</v>
      </c>
      <c r="I3049" t="str">
        <f t="shared" si="61"/>
        <v>51</v>
      </c>
      <c r="J3049" t="s">
        <v>471</v>
      </c>
      <c r="K3049" t="s">
        <v>25</v>
      </c>
      <c r="L3049" t="s">
        <v>26</v>
      </c>
      <c r="M3049" t="s">
        <v>27</v>
      </c>
      <c r="N3049" s="1">
        <v>18629</v>
      </c>
      <c r="O3049">
        <v>0</v>
      </c>
      <c r="P3049">
        <v>0</v>
      </c>
      <c r="Q3049" t="s">
        <v>37</v>
      </c>
      <c r="R3049" t="s">
        <v>51</v>
      </c>
      <c r="S3049" s="2" t="s">
        <v>3778</v>
      </c>
      <c r="T3049" t="s">
        <v>3779</v>
      </c>
    </row>
    <row r="3050" spans="1:20" x14ac:dyDescent="0.25">
      <c r="A3050" t="s">
        <v>7545</v>
      </c>
      <c r="B3050" t="str">
        <f>"8517"</f>
        <v>8517</v>
      </c>
      <c r="C3050" t="str">
        <f>"302628517"</f>
        <v>302628517</v>
      </c>
      <c r="D3050" t="s">
        <v>876</v>
      </c>
      <c r="E3050" t="s">
        <v>7546</v>
      </c>
      <c r="F3050" t="s">
        <v>282</v>
      </c>
      <c r="G3050" s="1">
        <v>21472</v>
      </c>
      <c r="H3050" s="1">
        <v>40047</v>
      </c>
      <c r="I3050" t="str">
        <f t="shared" si="61"/>
        <v>51</v>
      </c>
      <c r="J3050" t="s">
        <v>471</v>
      </c>
      <c r="K3050" t="s">
        <v>25</v>
      </c>
      <c r="L3050" t="s">
        <v>26</v>
      </c>
      <c r="M3050" t="s">
        <v>27</v>
      </c>
      <c r="N3050" s="1">
        <v>18629</v>
      </c>
      <c r="O3050">
        <v>0</v>
      </c>
      <c r="P3050">
        <v>0</v>
      </c>
      <c r="Q3050" t="s">
        <v>28</v>
      </c>
      <c r="R3050" t="s">
        <v>29</v>
      </c>
      <c r="S3050" t="s">
        <v>878</v>
      </c>
      <c r="T3050" t="s">
        <v>879</v>
      </c>
    </row>
    <row r="3051" spans="1:20" x14ac:dyDescent="0.25">
      <c r="A3051" t="s">
        <v>7547</v>
      </c>
      <c r="B3051" t="str">
        <f>"3848"</f>
        <v>3848</v>
      </c>
      <c r="C3051" t="str">
        <f>"272603848"</f>
        <v>272603848</v>
      </c>
      <c r="D3051" t="s">
        <v>7548</v>
      </c>
      <c r="E3051" t="s">
        <v>1081</v>
      </c>
      <c r="F3051" t="s">
        <v>556</v>
      </c>
      <c r="G3051" s="1">
        <v>21728</v>
      </c>
      <c r="H3051" s="1">
        <v>40047</v>
      </c>
      <c r="I3051" t="str">
        <f t="shared" si="61"/>
        <v>51</v>
      </c>
      <c r="J3051" t="s">
        <v>471</v>
      </c>
      <c r="K3051" t="s">
        <v>25</v>
      </c>
      <c r="L3051" t="s">
        <v>26</v>
      </c>
      <c r="M3051" t="s">
        <v>27</v>
      </c>
      <c r="N3051" s="1">
        <v>18629</v>
      </c>
      <c r="O3051">
        <v>0</v>
      </c>
      <c r="P3051">
        <v>0</v>
      </c>
      <c r="Q3051" t="s">
        <v>28</v>
      </c>
      <c r="R3051" t="s">
        <v>51</v>
      </c>
      <c r="S3051" s="2" t="s">
        <v>2202</v>
      </c>
      <c r="T3051" t="s">
        <v>2203</v>
      </c>
    </row>
    <row r="3052" spans="1:20" x14ac:dyDescent="0.25">
      <c r="A3052" t="s">
        <v>7549</v>
      </c>
      <c r="B3052" t="str">
        <f>"1117"</f>
        <v>1117</v>
      </c>
      <c r="C3052" t="str">
        <f>"252821117"</f>
        <v>252821117</v>
      </c>
      <c r="D3052" t="s">
        <v>881</v>
      </c>
      <c r="E3052" t="s">
        <v>7550</v>
      </c>
      <c r="G3052" s="1">
        <v>17670</v>
      </c>
      <c r="H3052" s="1">
        <v>40047</v>
      </c>
      <c r="I3052" t="str">
        <f t="shared" si="61"/>
        <v>51</v>
      </c>
      <c r="J3052" t="s">
        <v>471</v>
      </c>
      <c r="K3052" t="s">
        <v>25</v>
      </c>
      <c r="L3052" t="s">
        <v>26</v>
      </c>
      <c r="M3052" t="s">
        <v>27</v>
      </c>
      <c r="N3052" s="1">
        <v>18629</v>
      </c>
      <c r="O3052">
        <v>0</v>
      </c>
      <c r="P3052">
        <v>0</v>
      </c>
      <c r="Q3052" t="s">
        <v>37</v>
      </c>
      <c r="R3052" t="s">
        <v>51</v>
      </c>
      <c r="S3052" s="2" t="s">
        <v>2202</v>
      </c>
      <c r="T3052" t="s">
        <v>2203</v>
      </c>
    </row>
    <row r="3053" spans="1:20" x14ac:dyDescent="0.25">
      <c r="A3053" t="s">
        <v>7551</v>
      </c>
      <c r="B3053" t="str">
        <f>"5881"</f>
        <v>5881</v>
      </c>
      <c r="C3053" t="str">
        <f>"578845881"</f>
        <v>578845881</v>
      </c>
      <c r="D3053" t="s">
        <v>7552</v>
      </c>
      <c r="E3053" t="s">
        <v>1026</v>
      </c>
      <c r="F3053" t="s">
        <v>69</v>
      </c>
      <c r="G3053" s="1">
        <v>24737</v>
      </c>
      <c r="H3053" s="1">
        <v>40046</v>
      </c>
      <c r="I3053" t="str">
        <f t="shared" si="61"/>
        <v>51</v>
      </c>
      <c r="J3053" t="s">
        <v>471</v>
      </c>
      <c r="K3053" t="s">
        <v>25</v>
      </c>
      <c r="L3053" t="s">
        <v>26</v>
      </c>
      <c r="M3053" t="s">
        <v>27</v>
      </c>
      <c r="N3053" s="1">
        <v>18629</v>
      </c>
      <c r="O3053">
        <v>0</v>
      </c>
      <c r="P3053">
        <v>0</v>
      </c>
      <c r="Q3053" t="s">
        <v>37</v>
      </c>
      <c r="R3053" t="s">
        <v>71</v>
      </c>
      <c r="S3053" t="s">
        <v>157</v>
      </c>
      <c r="T3053" t="s">
        <v>158</v>
      </c>
    </row>
    <row r="3054" spans="1:20" x14ac:dyDescent="0.25">
      <c r="A3054" t="s">
        <v>7553</v>
      </c>
      <c r="B3054" t="str">
        <f>"5846"</f>
        <v>5846</v>
      </c>
      <c r="C3054" t="str">
        <f>"370685846"</f>
        <v>370685846</v>
      </c>
      <c r="D3054" t="s">
        <v>7554</v>
      </c>
      <c r="E3054" t="s">
        <v>7555</v>
      </c>
      <c r="G3054" s="1">
        <v>20278</v>
      </c>
      <c r="H3054" s="1">
        <v>40044</v>
      </c>
      <c r="I3054" t="str">
        <f>"41"</f>
        <v>41</v>
      </c>
      <c r="J3054" t="s">
        <v>24</v>
      </c>
      <c r="K3054" t="s">
        <v>25</v>
      </c>
      <c r="L3054" t="s">
        <v>26</v>
      </c>
      <c r="M3054" t="s">
        <v>27</v>
      </c>
      <c r="N3054" s="1">
        <v>18629</v>
      </c>
      <c r="O3054">
        <v>0</v>
      </c>
      <c r="P3054">
        <v>0</v>
      </c>
      <c r="Q3054" t="s">
        <v>28</v>
      </c>
      <c r="R3054" t="s">
        <v>71</v>
      </c>
      <c r="S3054" t="s">
        <v>3844</v>
      </c>
      <c r="T3054" t="s">
        <v>3845</v>
      </c>
    </row>
    <row r="3055" spans="1:20" x14ac:dyDescent="0.25">
      <c r="A3055" t="s">
        <v>7556</v>
      </c>
      <c r="B3055" t="str">
        <f>"6042"</f>
        <v>6042</v>
      </c>
      <c r="C3055" t="str">
        <f>"322546042"</f>
        <v>322546042</v>
      </c>
      <c r="D3055" t="s">
        <v>7557</v>
      </c>
      <c r="E3055" t="s">
        <v>7558</v>
      </c>
      <c r="G3055" s="1">
        <v>20680</v>
      </c>
      <c r="H3055" s="1">
        <v>40044</v>
      </c>
      <c r="I3055" t="str">
        <f>"01"</f>
        <v>01</v>
      </c>
      <c r="J3055" t="s">
        <v>116</v>
      </c>
      <c r="K3055" t="s">
        <v>98</v>
      </c>
      <c r="L3055" t="s">
        <v>37</v>
      </c>
      <c r="M3055" t="s">
        <v>257</v>
      </c>
      <c r="N3055" s="1">
        <v>41617</v>
      </c>
      <c r="O3055">
        <v>10753.08</v>
      </c>
      <c r="P3055">
        <v>2688.4</v>
      </c>
      <c r="Q3055" t="s">
        <v>37</v>
      </c>
      <c r="R3055" t="s">
        <v>110</v>
      </c>
      <c r="S3055" t="s">
        <v>1828</v>
      </c>
      <c r="T3055" t="s">
        <v>1829</v>
      </c>
    </row>
    <row r="3056" spans="1:20" x14ac:dyDescent="0.25">
      <c r="A3056" t="s">
        <v>7559</v>
      </c>
      <c r="B3056" t="str">
        <f>"2576"</f>
        <v>2576</v>
      </c>
      <c r="C3056" t="str">
        <f>"269582576"</f>
        <v>269582576</v>
      </c>
      <c r="D3056" t="s">
        <v>860</v>
      </c>
      <c r="E3056" t="s">
        <v>2339</v>
      </c>
      <c r="F3056" t="s">
        <v>44</v>
      </c>
      <c r="G3056" s="1">
        <v>20424</v>
      </c>
      <c r="H3056" s="1">
        <v>40044</v>
      </c>
      <c r="I3056" t="str">
        <f>"41"</f>
        <v>41</v>
      </c>
      <c r="J3056" t="s">
        <v>24</v>
      </c>
      <c r="K3056" t="s">
        <v>25</v>
      </c>
      <c r="L3056" t="s">
        <v>26</v>
      </c>
      <c r="M3056" t="s">
        <v>27</v>
      </c>
      <c r="N3056" s="1">
        <v>18629</v>
      </c>
      <c r="O3056">
        <v>0</v>
      </c>
      <c r="P3056">
        <v>0</v>
      </c>
      <c r="Q3056" t="s">
        <v>37</v>
      </c>
      <c r="R3056" t="s">
        <v>71</v>
      </c>
      <c r="S3056" t="s">
        <v>2297</v>
      </c>
      <c r="T3056" t="s">
        <v>2298</v>
      </c>
    </row>
    <row r="3057" spans="1:20" x14ac:dyDescent="0.25">
      <c r="A3057" t="s">
        <v>7560</v>
      </c>
      <c r="B3057" t="str">
        <f>"6924"</f>
        <v>6924</v>
      </c>
      <c r="C3057" t="str">
        <f>"290466924"</f>
        <v>290466924</v>
      </c>
      <c r="D3057" t="s">
        <v>7561</v>
      </c>
      <c r="E3057" t="s">
        <v>1854</v>
      </c>
      <c r="F3057" t="s">
        <v>276</v>
      </c>
      <c r="G3057" s="1">
        <v>17286</v>
      </c>
      <c r="H3057" s="1">
        <v>40044</v>
      </c>
      <c r="I3057" t="str">
        <f>"41"</f>
        <v>41</v>
      </c>
      <c r="J3057" t="s">
        <v>24</v>
      </c>
      <c r="K3057" t="s">
        <v>25</v>
      </c>
      <c r="L3057" t="s">
        <v>26</v>
      </c>
      <c r="M3057" t="s">
        <v>27</v>
      </c>
      <c r="N3057" s="1">
        <v>18629</v>
      </c>
      <c r="O3057">
        <v>0</v>
      </c>
      <c r="P3057">
        <v>0</v>
      </c>
      <c r="Q3057" t="s">
        <v>28</v>
      </c>
      <c r="R3057" t="s">
        <v>71</v>
      </c>
      <c r="S3057" t="s">
        <v>3844</v>
      </c>
      <c r="T3057" t="s">
        <v>3845</v>
      </c>
    </row>
    <row r="3058" spans="1:20" x14ac:dyDescent="0.25">
      <c r="A3058" t="s">
        <v>7562</v>
      </c>
      <c r="B3058" t="str">
        <f>"5228"</f>
        <v>5228</v>
      </c>
      <c r="C3058" t="str">
        <f>"290625228"</f>
        <v>290625228</v>
      </c>
      <c r="D3058" t="s">
        <v>7563</v>
      </c>
      <c r="E3058" t="s">
        <v>22</v>
      </c>
      <c r="G3058" s="1">
        <v>20924</v>
      </c>
      <c r="H3058" s="1">
        <v>40042</v>
      </c>
      <c r="I3058" t="str">
        <f>"01"</f>
        <v>01</v>
      </c>
      <c r="J3058" t="s">
        <v>116</v>
      </c>
      <c r="K3058" t="s">
        <v>98</v>
      </c>
      <c r="L3058" t="s">
        <v>37</v>
      </c>
      <c r="M3058" t="s">
        <v>99</v>
      </c>
      <c r="N3058" s="1">
        <v>41673</v>
      </c>
      <c r="O3058">
        <v>14801.8</v>
      </c>
      <c r="P3058">
        <v>3700.32</v>
      </c>
      <c r="Q3058" t="s">
        <v>28</v>
      </c>
      <c r="R3058" t="s">
        <v>38</v>
      </c>
      <c r="S3058" t="s">
        <v>1194</v>
      </c>
      <c r="T3058" t="s">
        <v>1195</v>
      </c>
    </row>
    <row r="3059" spans="1:20" x14ac:dyDescent="0.25">
      <c r="A3059" t="s">
        <v>7564</v>
      </c>
      <c r="B3059" t="str">
        <f>"9181"</f>
        <v>9181</v>
      </c>
      <c r="C3059" t="str">
        <f>"038469181"</f>
        <v>038469181</v>
      </c>
      <c r="D3059" t="s">
        <v>7565</v>
      </c>
      <c r="E3059" t="s">
        <v>1377</v>
      </c>
      <c r="F3059" t="s">
        <v>93</v>
      </c>
      <c r="G3059" s="1">
        <v>27936</v>
      </c>
      <c r="H3059" s="1">
        <v>40041</v>
      </c>
      <c r="I3059" t="str">
        <f t="shared" ref="I3059:I3066" si="62">"51"</f>
        <v>51</v>
      </c>
      <c r="J3059" t="s">
        <v>471</v>
      </c>
      <c r="K3059" t="s">
        <v>25</v>
      </c>
      <c r="L3059" t="s">
        <v>26</v>
      </c>
      <c r="M3059" t="s">
        <v>27</v>
      </c>
      <c r="N3059" s="1">
        <v>18629</v>
      </c>
      <c r="O3059">
        <v>0</v>
      </c>
      <c r="P3059">
        <v>0</v>
      </c>
      <c r="Q3059" t="s">
        <v>37</v>
      </c>
      <c r="R3059" t="s">
        <v>29</v>
      </c>
      <c r="S3059" t="s">
        <v>3763</v>
      </c>
      <c r="T3059" t="s">
        <v>3764</v>
      </c>
    </row>
    <row r="3060" spans="1:20" x14ac:dyDescent="0.25">
      <c r="A3060" t="s">
        <v>7566</v>
      </c>
      <c r="B3060" t="str">
        <f>"5387"</f>
        <v>5387</v>
      </c>
      <c r="C3060" t="str">
        <f>"112625387"</f>
        <v>112625387</v>
      </c>
      <c r="D3060" t="s">
        <v>7567</v>
      </c>
      <c r="E3060" t="s">
        <v>106</v>
      </c>
      <c r="F3060" t="s">
        <v>44</v>
      </c>
      <c r="G3060" s="1">
        <v>25107</v>
      </c>
      <c r="H3060" s="1">
        <v>40039</v>
      </c>
      <c r="I3060" t="str">
        <f t="shared" si="62"/>
        <v>51</v>
      </c>
      <c r="J3060" t="s">
        <v>471</v>
      </c>
      <c r="K3060" t="s">
        <v>25</v>
      </c>
      <c r="L3060" t="s">
        <v>26</v>
      </c>
      <c r="M3060" t="s">
        <v>27</v>
      </c>
      <c r="N3060" s="1">
        <v>18629</v>
      </c>
      <c r="O3060">
        <v>0</v>
      </c>
      <c r="P3060">
        <v>0</v>
      </c>
      <c r="Q3060" t="s">
        <v>28</v>
      </c>
      <c r="R3060" t="s">
        <v>71</v>
      </c>
      <c r="S3060" t="s">
        <v>3963</v>
      </c>
      <c r="T3060" t="s">
        <v>3964</v>
      </c>
    </row>
    <row r="3061" spans="1:20" x14ac:dyDescent="0.25">
      <c r="A3061" t="s">
        <v>7568</v>
      </c>
      <c r="B3061" t="str">
        <f>"3133"</f>
        <v>3133</v>
      </c>
      <c r="C3061" t="str">
        <f>"269503133"</f>
        <v>269503133</v>
      </c>
      <c r="D3061" t="s">
        <v>7569</v>
      </c>
      <c r="E3061" t="s">
        <v>197</v>
      </c>
      <c r="F3061" t="s">
        <v>44</v>
      </c>
      <c r="G3061" s="1">
        <v>18890</v>
      </c>
      <c r="H3061" s="1">
        <v>40039</v>
      </c>
      <c r="I3061" t="str">
        <f t="shared" si="62"/>
        <v>51</v>
      </c>
      <c r="J3061" t="s">
        <v>471</v>
      </c>
      <c r="K3061" t="s">
        <v>25</v>
      </c>
      <c r="L3061" t="s">
        <v>26</v>
      </c>
      <c r="M3061" t="s">
        <v>27</v>
      </c>
      <c r="N3061" s="1">
        <v>18629</v>
      </c>
      <c r="O3061">
        <v>0</v>
      </c>
      <c r="P3061">
        <v>0</v>
      </c>
      <c r="Q3061" t="s">
        <v>28</v>
      </c>
      <c r="R3061" t="s">
        <v>71</v>
      </c>
      <c r="S3061" t="s">
        <v>5125</v>
      </c>
      <c r="T3061" t="s">
        <v>5126</v>
      </c>
    </row>
    <row r="3062" spans="1:20" x14ac:dyDescent="0.25">
      <c r="A3062" t="s">
        <v>7570</v>
      </c>
      <c r="B3062" t="str">
        <f>"5777"</f>
        <v>5777</v>
      </c>
      <c r="C3062" t="str">
        <f>"302585777"</f>
        <v>302585777</v>
      </c>
      <c r="D3062" t="s">
        <v>7571</v>
      </c>
      <c r="E3062" t="s">
        <v>3534</v>
      </c>
      <c r="F3062" t="s">
        <v>44</v>
      </c>
      <c r="G3062" s="1">
        <v>21307</v>
      </c>
      <c r="H3062" s="1">
        <v>40039</v>
      </c>
      <c r="I3062" t="str">
        <f t="shared" si="62"/>
        <v>51</v>
      </c>
      <c r="J3062" t="s">
        <v>471</v>
      </c>
      <c r="K3062" t="s">
        <v>25</v>
      </c>
      <c r="L3062" t="s">
        <v>26</v>
      </c>
      <c r="M3062" t="s">
        <v>27</v>
      </c>
      <c r="N3062" s="1">
        <v>18629</v>
      </c>
      <c r="O3062">
        <v>0</v>
      </c>
      <c r="P3062">
        <v>0</v>
      </c>
      <c r="Q3062" t="s">
        <v>37</v>
      </c>
      <c r="R3062" t="s">
        <v>71</v>
      </c>
      <c r="S3062" t="s">
        <v>1474</v>
      </c>
      <c r="T3062" t="s">
        <v>1475</v>
      </c>
    </row>
    <row r="3063" spans="1:20" x14ac:dyDescent="0.25">
      <c r="A3063" t="s">
        <v>7572</v>
      </c>
      <c r="B3063" t="str">
        <f>"5800"</f>
        <v>5800</v>
      </c>
      <c r="C3063" t="str">
        <f>"295505800"</f>
        <v>295505800</v>
      </c>
      <c r="D3063" t="s">
        <v>7573</v>
      </c>
      <c r="E3063" t="s">
        <v>1081</v>
      </c>
      <c r="F3063" t="s">
        <v>219</v>
      </c>
      <c r="G3063" s="1">
        <v>18871</v>
      </c>
      <c r="H3063" s="1">
        <v>40039</v>
      </c>
      <c r="I3063" t="str">
        <f t="shared" si="62"/>
        <v>51</v>
      </c>
      <c r="J3063" t="s">
        <v>471</v>
      </c>
      <c r="K3063" t="s">
        <v>25</v>
      </c>
      <c r="L3063" t="s">
        <v>26</v>
      </c>
      <c r="M3063" t="s">
        <v>27</v>
      </c>
      <c r="N3063" s="1">
        <v>18629</v>
      </c>
      <c r="O3063">
        <v>0</v>
      </c>
      <c r="P3063">
        <v>0</v>
      </c>
      <c r="Q3063" t="s">
        <v>28</v>
      </c>
      <c r="R3063" t="s">
        <v>71</v>
      </c>
      <c r="S3063" t="s">
        <v>305</v>
      </c>
      <c r="T3063" t="s">
        <v>306</v>
      </c>
    </row>
    <row r="3064" spans="1:20" x14ac:dyDescent="0.25">
      <c r="A3064" t="s">
        <v>7574</v>
      </c>
      <c r="B3064" t="str">
        <f>"7503"</f>
        <v>7503</v>
      </c>
      <c r="C3064" t="str">
        <f>"275047503"</f>
        <v>275047503</v>
      </c>
      <c r="D3064" t="s">
        <v>7575</v>
      </c>
      <c r="E3064" t="s">
        <v>7576</v>
      </c>
      <c r="G3064" s="1">
        <v>23712</v>
      </c>
      <c r="H3064" s="1">
        <v>40039</v>
      </c>
      <c r="I3064" t="str">
        <f t="shared" si="62"/>
        <v>51</v>
      </c>
      <c r="J3064" t="s">
        <v>471</v>
      </c>
      <c r="K3064" t="s">
        <v>25</v>
      </c>
      <c r="L3064" t="s">
        <v>26</v>
      </c>
      <c r="M3064" t="s">
        <v>27</v>
      </c>
      <c r="N3064" s="1">
        <v>18629</v>
      </c>
      <c r="O3064">
        <v>0</v>
      </c>
      <c r="P3064">
        <v>0</v>
      </c>
      <c r="Q3064" t="s">
        <v>37</v>
      </c>
      <c r="R3064" t="s">
        <v>71</v>
      </c>
      <c r="S3064" t="s">
        <v>790</v>
      </c>
      <c r="T3064" t="s">
        <v>791</v>
      </c>
    </row>
    <row r="3065" spans="1:20" x14ac:dyDescent="0.25">
      <c r="A3065" t="s">
        <v>7577</v>
      </c>
      <c r="B3065" t="str">
        <f>"3815"</f>
        <v>3815</v>
      </c>
      <c r="C3065" t="str">
        <f>"220563815"</f>
        <v>220563815</v>
      </c>
      <c r="D3065" t="s">
        <v>7578</v>
      </c>
      <c r="E3065" t="s">
        <v>96</v>
      </c>
      <c r="F3065" t="s">
        <v>219</v>
      </c>
      <c r="G3065" s="1">
        <v>12813</v>
      </c>
      <c r="H3065" s="1">
        <v>40039</v>
      </c>
      <c r="I3065" t="str">
        <f t="shared" si="62"/>
        <v>51</v>
      </c>
      <c r="J3065" t="s">
        <v>471</v>
      </c>
      <c r="K3065" t="s">
        <v>25</v>
      </c>
      <c r="L3065" t="s">
        <v>26</v>
      </c>
      <c r="M3065" t="s">
        <v>27</v>
      </c>
      <c r="N3065" s="1">
        <v>18629</v>
      </c>
      <c r="O3065">
        <v>0</v>
      </c>
      <c r="P3065">
        <v>0</v>
      </c>
      <c r="Q3065" t="s">
        <v>37</v>
      </c>
      <c r="R3065" t="s">
        <v>71</v>
      </c>
      <c r="S3065" t="s">
        <v>790</v>
      </c>
      <c r="T3065" t="s">
        <v>791</v>
      </c>
    </row>
    <row r="3066" spans="1:20" x14ac:dyDescent="0.25">
      <c r="A3066" t="s">
        <v>7579</v>
      </c>
      <c r="B3066" t="str">
        <f>"5093"</f>
        <v>5093</v>
      </c>
      <c r="C3066" t="str">
        <f>"284625093"</f>
        <v>284625093</v>
      </c>
      <c r="D3066" t="s">
        <v>7580</v>
      </c>
      <c r="E3066" t="s">
        <v>1981</v>
      </c>
      <c r="F3066" t="s">
        <v>93</v>
      </c>
      <c r="G3066" s="1">
        <v>24336</v>
      </c>
      <c r="H3066" s="1">
        <v>40039</v>
      </c>
      <c r="I3066" t="str">
        <f t="shared" si="62"/>
        <v>51</v>
      </c>
      <c r="J3066" t="s">
        <v>471</v>
      </c>
      <c r="K3066" t="s">
        <v>25</v>
      </c>
      <c r="L3066" t="s">
        <v>26</v>
      </c>
      <c r="M3066" t="s">
        <v>27</v>
      </c>
      <c r="N3066" s="1">
        <v>18629</v>
      </c>
      <c r="O3066">
        <v>0</v>
      </c>
      <c r="P3066">
        <v>0</v>
      </c>
      <c r="Q3066" t="s">
        <v>37</v>
      </c>
      <c r="R3066" t="s">
        <v>71</v>
      </c>
      <c r="S3066" t="s">
        <v>1547</v>
      </c>
      <c r="T3066" t="s">
        <v>1548</v>
      </c>
    </row>
    <row r="3067" spans="1:20" x14ac:dyDescent="0.25">
      <c r="A3067" t="s">
        <v>7581</v>
      </c>
      <c r="B3067" t="str">
        <f>"0707"</f>
        <v>0707</v>
      </c>
      <c r="C3067" t="str">
        <f>"286560707"</f>
        <v>286560707</v>
      </c>
      <c r="D3067" t="s">
        <v>907</v>
      </c>
      <c r="E3067" t="s">
        <v>304</v>
      </c>
      <c r="F3067" t="s">
        <v>26</v>
      </c>
      <c r="G3067" s="1">
        <v>24913</v>
      </c>
      <c r="H3067" s="1">
        <v>40036</v>
      </c>
      <c r="I3067" t="str">
        <f t="shared" ref="I3067:I3072" si="63">"41"</f>
        <v>41</v>
      </c>
      <c r="J3067" t="s">
        <v>24</v>
      </c>
      <c r="K3067" t="s">
        <v>25</v>
      </c>
      <c r="L3067" t="s">
        <v>26</v>
      </c>
      <c r="M3067" t="s">
        <v>27</v>
      </c>
      <c r="N3067" s="1">
        <v>18629</v>
      </c>
      <c r="O3067">
        <v>0</v>
      </c>
      <c r="P3067">
        <v>0</v>
      </c>
      <c r="Q3067" t="s">
        <v>28</v>
      </c>
      <c r="R3067" t="s">
        <v>51</v>
      </c>
      <c r="S3067" s="2" t="s">
        <v>2496</v>
      </c>
      <c r="T3067" t="s">
        <v>2497</v>
      </c>
    </row>
    <row r="3068" spans="1:20" x14ac:dyDescent="0.25">
      <c r="A3068" t="s">
        <v>7582</v>
      </c>
      <c r="B3068" t="str">
        <f>"5950"</f>
        <v>5950</v>
      </c>
      <c r="C3068" t="str">
        <f>"275745950"</f>
        <v>275745950</v>
      </c>
      <c r="D3068" t="s">
        <v>7366</v>
      </c>
      <c r="E3068" t="s">
        <v>214</v>
      </c>
      <c r="F3068" t="s">
        <v>174</v>
      </c>
      <c r="G3068" s="1">
        <v>23549</v>
      </c>
      <c r="H3068" s="1">
        <v>40036</v>
      </c>
      <c r="I3068" t="str">
        <f t="shared" si="63"/>
        <v>41</v>
      </c>
      <c r="J3068" t="s">
        <v>24</v>
      </c>
      <c r="K3068" t="s">
        <v>25</v>
      </c>
      <c r="L3068" t="s">
        <v>26</v>
      </c>
      <c r="M3068" t="s">
        <v>27</v>
      </c>
      <c r="N3068" s="1">
        <v>18629</v>
      </c>
      <c r="O3068">
        <v>0</v>
      </c>
      <c r="P3068">
        <v>0</v>
      </c>
      <c r="Q3068" t="s">
        <v>28</v>
      </c>
      <c r="R3068" t="s">
        <v>71</v>
      </c>
      <c r="S3068" t="s">
        <v>2066</v>
      </c>
      <c r="T3068" t="s">
        <v>2067</v>
      </c>
    </row>
    <row r="3069" spans="1:20" x14ac:dyDescent="0.25">
      <c r="A3069" t="s">
        <v>7583</v>
      </c>
      <c r="B3069" t="str">
        <f>"9424"</f>
        <v>9424</v>
      </c>
      <c r="C3069" t="str">
        <f>"284429424"</f>
        <v>284429424</v>
      </c>
      <c r="D3069" t="s">
        <v>7584</v>
      </c>
      <c r="E3069" t="s">
        <v>106</v>
      </c>
      <c r="G3069" s="1">
        <v>17353</v>
      </c>
      <c r="H3069" s="1">
        <v>40036</v>
      </c>
      <c r="I3069" t="str">
        <f t="shared" si="63"/>
        <v>41</v>
      </c>
      <c r="J3069" t="s">
        <v>24</v>
      </c>
      <c r="K3069" t="s">
        <v>25</v>
      </c>
      <c r="L3069" t="s">
        <v>26</v>
      </c>
      <c r="M3069" t="s">
        <v>27</v>
      </c>
      <c r="N3069" s="1">
        <v>18629</v>
      </c>
      <c r="O3069">
        <v>0</v>
      </c>
      <c r="P3069">
        <v>0</v>
      </c>
      <c r="Q3069" t="s">
        <v>28</v>
      </c>
      <c r="R3069" t="s">
        <v>71</v>
      </c>
      <c r="S3069" t="s">
        <v>72</v>
      </c>
      <c r="T3069" t="s">
        <v>73</v>
      </c>
    </row>
    <row r="3070" spans="1:20" x14ac:dyDescent="0.25">
      <c r="A3070" t="s">
        <v>7585</v>
      </c>
      <c r="B3070" t="str">
        <f>"9264"</f>
        <v>9264</v>
      </c>
      <c r="C3070" t="str">
        <f>"299609264"</f>
        <v>299609264</v>
      </c>
      <c r="D3070" t="s">
        <v>7586</v>
      </c>
      <c r="E3070" t="s">
        <v>769</v>
      </c>
      <c r="F3070" t="s">
        <v>93</v>
      </c>
      <c r="G3070" s="1">
        <v>25309</v>
      </c>
      <c r="H3070" s="1">
        <v>40036</v>
      </c>
      <c r="I3070" t="str">
        <f t="shared" si="63"/>
        <v>41</v>
      </c>
      <c r="J3070" t="s">
        <v>24</v>
      </c>
      <c r="K3070" t="s">
        <v>25</v>
      </c>
      <c r="L3070" t="s">
        <v>26</v>
      </c>
      <c r="M3070" t="s">
        <v>27</v>
      </c>
      <c r="N3070" s="1">
        <v>18629</v>
      </c>
      <c r="O3070">
        <v>0</v>
      </c>
      <c r="P3070">
        <v>0</v>
      </c>
      <c r="Q3070" t="s">
        <v>37</v>
      </c>
      <c r="R3070" t="s">
        <v>51</v>
      </c>
      <c r="S3070" s="2" t="s">
        <v>2496</v>
      </c>
      <c r="T3070" t="s">
        <v>2497</v>
      </c>
    </row>
    <row r="3071" spans="1:20" x14ac:dyDescent="0.25">
      <c r="A3071" t="s">
        <v>7587</v>
      </c>
      <c r="B3071" t="str">
        <f>"4233"</f>
        <v>4233</v>
      </c>
      <c r="C3071" t="str">
        <f>"299524233"</f>
        <v>299524233</v>
      </c>
      <c r="D3071" t="s">
        <v>7588</v>
      </c>
      <c r="E3071" t="s">
        <v>4190</v>
      </c>
      <c r="F3071" t="s">
        <v>165</v>
      </c>
      <c r="G3071" s="1">
        <v>19901</v>
      </c>
      <c r="H3071" s="1">
        <v>40036</v>
      </c>
      <c r="I3071" t="str">
        <f t="shared" si="63"/>
        <v>41</v>
      </c>
      <c r="J3071" t="s">
        <v>24</v>
      </c>
      <c r="K3071" t="s">
        <v>25</v>
      </c>
      <c r="L3071" t="s">
        <v>26</v>
      </c>
      <c r="M3071" t="s">
        <v>27</v>
      </c>
      <c r="N3071" s="1">
        <v>18629</v>
      </c>
      <c r="O3071">
        <v>0</v>
      </c>
      <c r="P3071">
        <v>0</v>
      </c>
      <c r="Q3071" t="s">
        <v>28</v>
      </c>
      <c r="R3071" t="s">
        <v>29</v>
      </c>
      <c r="S3071" t="s">
        <v>2066</v>
      </c>
      <c r="T3071" t="s">
        <v>2067</v>
      </c>
    </row>
    <row r="3072" spans="1:20" x14ac:dyDescent="0.25">
      <c r="A3072" t="s">
        <v>7589</v>
      </c>
      <c r="B3072" t="str">
        <f>"1530"</f>
        <v>1530</v>
      </c>
      <c r="C3072" t="str">
        <f>"273661530"</f>
        <v>273661530</v>
      </c>
      <c r="D3072" t="s">
        <v>1417</v>
      </c>
      <c r="E3072" t="s">
        <v>3160</v>
      </c>
      <c r="F3072" t="s">
        <v>93</v>
      </c>
      <c r="G3072" s="1">
        <v>26921</v>
      </c>
      <c r="H3072" s="1">
        <v>40036</v>
      </c>
      <c r="I3072" t="str">
        <f t="shared" si="63"/>
        <v>41</v>
      </c>
      <c r="J3072" t="s">
        <v>24</v>
      </c>
      <c r="K3072" t="s">
        <v>25</v>
      </c>
      <c r="L3072" t="s">
        <v>26</v>
      </c>
      <c r="M3072" t="s">
        <v>27</v>
      </c>
      <c r="N3072" s="1">
        <v>18629</v>
      </c>
      <c r="O3072">
        <v>0</v>
      </c>
      <c r="P3072">
        <v>0</v>
      </c>
      <c r="Q3072" t="s">
        <v>28</v>
      </c>
      <c r="R3072" t="s">
        <v>71</v>
      </c>
      <c r="S3072" t="s">
        <v>7054</v>
      </c>
      <c r="T3072" t="s">
        <v>7055</v>
      </c>
    </row>
    <row r="3073" spans="1:20" x14ac:dyDescent="0.25">
      <c r="A3073" t="s">
        <v>7590</v>
      </c>
      <c r="B3073" t="str">
        <f>"1602"</f>
        <v>1602</v>
      </c>
      <c r="C3073" t="str">
        <f>"547291602"</f>
        <v>547291602</v>
      </c>
      <c r="D3073" t="s">
        <v>1810</v>
      </c>
      <c r="E3073" t="s">
        <v>202</v>
      </c>
      <c r="F3073" t="s">
        <v>264</v>
      </c>
      <c r="G3073" s="1">
        <v>26442</v>
      </c>
      <c r="H3073" s="1">
        <v>40035</v>
      </c>
      <c r="I3073" t="str">
        <f>"20"</f>
        <v>20</v>
      </c>
      <c r="J3073" t="s">
        <v>123</v>
      </c>
      <c r="K3073" t="s">
        <v>98</v>
      </c>
      <c r="L3073" t="s">
        <v>37</v>
      </c>
      <c r="M3073" t="s">
        <v>99</v>
      </c>
      <c r="N3073" s="1">
        <v>41631</v>
      </c>
      <c r="O3073">
        <v>14801.82</v>
      </c>
      <c r="P3073">
        <v>3700.4</v>
      </c>
      <c r="Q3073" t="s">
        <v>37</v>
      </c>
      <c r="R3073" t="s">
        <v>5592</v>
      </c>
      <c r="S3073" t="s">
        <v>717</v>
      </c>
      <c r="T3073" t="s">
        <v>718</v>
      </c>
    </row>
    <row r="3074" spans="1:20" x14ac:dyDescent="0.25">
      <c r="A3074" t="s">
        <v>7591</v>
      </c>
      <c r="B3074" t="str">
        <f>"0044"</f>
        <v>0044</v>
      </c>
      <c r="C3074" t="str">
        <f>"273640044"</f>
        <v>273640044</v>
      </c>
      <c r="D3074" t="s">
        <v>7592</v>
      </c>
      <c r="E3074" t="s">
        <v>7593</v>
      </c>
      <c r="F3074" t="s">
        <v>264</v>
      </c>
      <c r="G3074" s="1">
        <v>20895</v>
      </c>
      <c r="H3074" s="1">
        <v>40035</v>
      </c>
      <c r="I3074" t="str">
        <f>"08"</f>
        <v>08</v>
      </c>
      <c r="J3074" t="s">
        <v>265</v>
      </c>
      <c r="K3074" t="s">
        <v>175</v>
      </c>
      <c r="L3074" t="s">
        <v>37</v>
      </c>
      <c r="M3074" t="s">
        <v>117</v>
      </c>
      <c r="N3074" s="1">
        <v>41617</v>
      </c>
      <c r="O3074">
        <v>5288.66</v>
      </c>
      <c r="P3074">
        <v>1322.1</v>
      </c>
      <c r="Q3074" t="s">
        <v>28</v>
      </c>
      <c r="R3074" t="s">
        <v>258</v>
      </c>
      <c r="S3074" t="s">
        <v>266</v>
      </c>
      <c r="T3074" t="s">
        <v>267</v>
      </c>
    </row>
    <row r="3075" spans="1:20" x14ac:dyDescent="0.25">
      <c r="A3075" t="s">
        <v>7594</v>
      </c>
      <c r="B3075" t="str">
        <f>"8998"</f>
        <v>8998</v>
      </c>
      <c r="C3075" t="str">
        <f>"278848998"</f>
        <v>278848998</v>
      </c>
      <c r="D3075" t="s">
        <v>2093</v>
      </c>
      <c r="E3075" t="s">
        <v>197</v>
      </c>
      <c r="F3075" t="s">
        <v>556</v>
      </c>
      <c r="G3075" s="1">
        <v>25177</v>
      </c>
      <c r="H3075" s="1">
        <v>40035</v>
      </c>
      <c r="I3075" t="str">
        <f>"41"</f>
        <v>41</v>
      </c>
      <c r="J3075" t="s">
        <v>24</v>
      </c>
      <c r="K3075" t="s">
        <v>25</v>
      </c>
      <c r="L3075" t="s">
        <v>26</v>
      </c>
      <c r="M3075" t="s">
        <v>27</v>
      </c>
      <c r="N3075" s="1">
        <v>18629</v>
      </c>
      <c r="O3075">
        <v>0</v>
      </c>
      <c r="P3075">
        <v>0</v>
      </c>
      <c r="Q3075" t="s">
        <v>28</v>
      </c>
      <c r="R3075" t="s">
        <v>71</v>
      </c>
      <c r="S3075" t="s">
        <v>402</v>
      </c>
      <c r="T3075" t="s">
        <v>403</v>
      </c>
    </row>
    <row r="3076" spans="1:20" x14ac:dyDescent="0.25">
      <c r="A3076" t="s">
        <v>7595</v>
      </c>
      <c r="B3076" t="str">
        <f>"8519"</f>
        <v>8519</v>
      </c>
      <c r="C3076" t="str">
        <f>"278668519"</f>
        <v>278668519</v>
      </c>
      <c r="D3076" t="s">
        <v>4125</v>
      </c>
      <c r="E3076" t="s">
        <v>704</v>
      </c>
      <c r="F3076" t="s">
        <v>44</v>
      </c>
      <c r="G3076" s="1">
        <v>22849</v>
      </c>
      <c r="H3076" s="1">
        <v>40035</v>
      </c>
      <c r="I3076" t="str">
        <f>"41"</f>
        <v>41</v>
      </c>
      <c r="J3076" t="s">
        <v>24</v>
      </c>
      <c r="K3076" t="s">
        <v>25</v>
      </c>
      <c r="L3076" t="s">
        <v>26</v>
      </c>
      <c r="M3076" t="s">
        <v>27</v>
      </c>
      <c r="N3076" s="1">
        <v>18629</v>
      </c>
      <c r="O3076">
        <v>0</v>
      </c>
      <c r="P3076">
        <v>0</v>
      </c>
      <c r="Q3076" t="s">
        <v>28</v>
      </c>
      <c r="R3076" t="s">
        <v>71</v>
      </c>
      <c r="S3076" t="s">
        <v>402</v>
      </c>
      <c r="T3076" t="s">
        <v>403</v>
      </c>
    </row>
    <row r="3077" spans="1:20" x14ac:dyDescent="0.25">
      <c r="A3077" t="s">
        <v>7596</v>
      </c>
      <c r="B3077" t="str">
        <f>"2115"</f>
        <v>2115</v>
      </c>
      <c r="C3077" t="str">
        <f>"405822115"</f>
        <v>405822115</v>
      </c>
      <c r="D3077" t="s">
        <v>7597</v>
      </c>
      <c r="E3077" t="s">
        <v>7598</v>
      </c>
      <c r="G3077" s="1">
        <v>25396</v>
      </c>
      <c r="H3077" s="1">
        <v>40035</v>
      </c>
      <c r="I3077" t="str">
        <f>"52"</f>
        <v>52</v>
      </c>
      <c r="J3077" t="s">
        <v>330</v>
      </c>
      <c r="K3077" t="s">
        <v>25</v>
      </c>
      <c r="L3077" t="s">
        <v>26</v>
      </c>
      <c r="M3077" t="s">
        <v>27</v>
      </c>
      <c r="N3077" s="1">
        <v>18629</v>
      </c>
      <c r="O3077">
        <v>0</v>
      </c>
      <c r="P3077">
        <v>0</v>
      </c>
      <c r="Q3077" t="s">
        <v>28</v>
      </c>
      <c r="R3077" t="s">
        <v>71</v>
      </c>
      <c r="S3077" t="s">
        <v>377</v>
      </c>
      <c r="T3077" t="s">
        <v>378</v>
      </c>
    </row>
    <row r="3078" spans="1:20" x14ac:dyDescent="0.25">
      <c r="A3078" t="s">
        <v>7599</v>
      </c>
      <c r="B3078" t="str">
        <f>"4568"</f>
        <v>4568</v>
      </c>
      <c r="C3078" t="str">
        <f>"298604568"</f>
        <v>298604568</v>
      </c>
      <c r="D3078" t="s">
        <v>7597</v>
      </c>
      <c r="E3078" t="s">
        <v>6966</v>
      </c>
      <c r="F3078" t="s">
        <v>33</v>
      </c>
      <c r="G3078" s="1">
        <v>28009</v>
      </c>
      <c r="H3078" s="1">
        <v>40035</v>
      </c>
      <c r="I3078" t="str">
        <f t="shared" ref="I3078:I3083" si="64">"41"</f>
        <v>41</v>
      </c>
      <c r="J3078" t="s">
        <v>24</v>
      </c>
      <c r="K3078" t="s">
        <v>25</v>
      </c>
      <c r="L3078" t="s">
        <v>26</v>
      </c>
      <c r="M3078" t="s">
        <v>27</v>
      </c>
      <c r="N3078" s="1">
        <v>18629</v>
      </c>
      <c r="O3078">
        <v>0</v>
      </c>
      <c r="P3078">
        <v>0</v>
      </c>
      <c r="Q3078" t="s">
        <v>28</v>
      </c>
      <c r="R3078" t="s">
        <v>258</v>
      </c>
      <c r="S3078" t="s">
        <v>402</v>
      </c>
      <c r="T3078" t="s">
        <v>403</v>
      </c>
    </row>
    <row r="3079" spans="1:20" x14ac:dyDescent="0.25">
      <c r="A3079" t="s">
        <v>7600</v>
      </c>
      <c r="B3079" t="str">
        <f>"0470"</f>
        <v>0470</v>
      </c>
      <c r="C3079" t="str">
        <f>"290720470"</f>
        <v>290720470</v>
      </c>
      <c r="D3079" t="s">
        <v>1717</v>
      </c>
      <c r="E3079" t="s">
        <v>214</v>
      </c>
      <c r="F3079" t="s">
        <v>7601</v>
      </c>
      <c r="G3079" s="1">
        <v>23875</v>
      </c>
      <c r="H3079" s="1">
        <v>40035</v>
      </c>
      <c r="I3079" t="str">
        <f t="shared" si="64"/>
        <v>41</v>
      </c>
      <c r="J3079" t="s">
        <v>24</v>
      </c>
      <c r="K3079" t="s">
        <v>25</v>
      </c>
      <c r="L3079" t="s">
        <v>26</v>
      </c>
      <c r="M3079" t="s">
        <v>27</v>
      </c>
      <c r="N3079" s="1">
        <v>18629</v>
      </c>
      <c r="O3079">
        <v>0</v>
      </c>
      <c r="P3079">
        <v>0</v>
      </c>
      <c r="Q3079" t="s">
        <v>28</v>
      </c>
      <c r="R3079" t="s">
        <v>71</v>
      </c>
      <c r="S3079" t="s">
        <v>402</v>
      </c>
      <c r="T3079" t="s">
        <v>403</v>
      </c>
    </row>
    <row r="3080" spans="1:20" x14ac:dyDescent="0.25">
      <c r="A3080" t="s">
        <v>7602</v>
      </c>
      <c r="B3080" t="str">
        <f>"9515"</f>
        <v>9515</v>
      </c>
      <c r="C3080" t="str">
        <f>"272889515"</f>
        <v>272889515</v>
      </c>
      <c r="D3080" t="s">
        <v>7603</v>
      </c>
      <c r="E3080" t="s">
        <v>1453</v>
      </c>
      <c r="F3080" t="s">
        <v>44</v>
      </c>
      <c r="G3080" s="1">
        <v>28619</v>
      </c>
      <c r="H3080" s="1">
        <v>40035</v>
      </c>
      <c r="I3080" t="str">
        <f t="shared" si="64"/>
        <v>41</v>
      </c>
      <c r="J3080" t="s">
        <v>24</v>
      </c>
      <c r="K3080" t="s">
        <v>25</v>
      </c>
      <c r="L3080" t="s">
        <v>26</v>
      </c>
      <c r="M3080" t="s">
        <v>27</v>
      </c>
      <c r="N3080" s="1">
        <v>18629</v>
      </c>
      <c r="O3080">
        <v>0</v>
      </c>
      <c r="P3080">
        <v>0</v>
      </c>
      <c r="Q3080" t="s">
        <v>28</v>
      </c>
      <c r="R3080" t="s">
        <v>29</v>
      </c>
      <c r="S3080" t="s">
        <v>2066</v>
      </c>
      <c r="T3080" t="s">
        <v>2067</v>
      </c>
    </row>
    <row r="3081" spans="1:20" x14ac:dyDescent="0.25">
      <c r="A3081" t="s">
        <v>7604</v>
      </c>
      <c r="B3081" t="str">
        <f>"7986"</f>
        <v>7986</v>
      </c>
      <c r="C3081" t="str">
        <f>"272567986"</f>
        <v>272567986</v>
      </c>
      <c r="D3081" t="s">
        <v>7605</v>
      </c>
      <c r="E3081" t="s">
        <v>609</v>
      </c>
      <c r="F3081" t="s">
        <v>7606</v>
      </c>
      <c r="G3081" s="1">
        <v>21731</v>
      </c>
      <c r="H3081" s="1">
        <v>40035</v>
      </c>
      <c r="I3081" t="str">
        <f t="shared" si="64"/>
        <v>41</v>
      </c>
      <c r="J3081" t="s">
        <v>24</v>
      </c>
      <c r="K3081" t="s">
        <v>25</v>
      </c>
      <c r="L3081" t="s">
        <v>26</v>
      </c>
      <c r="M3081" t="s">
        <v>27</v>
      </c>
      <c r="N3081" s="1">
        <v>18629</v>
      </c>
      <c r="O3081">
        <v>0</v>
      </c>
      <c r="P3081">
        <v>0</v>
      </c>
      <c r="Q3081" t="s">
        <v>28</v>
      </c>
      <c r="R3081" t="s">
        <v>71</v>
      </c>
      <c r="S3081" t="s">
        <v>402</v>
      </c>
      <c r="T3081" t="s">
        <v>403</v>
      </c>
    </row>
    <row r="3082" spans="1:20" x14ac:dyDescent="0.25">
      <c r="A3082" t="s">
        <v>7607</v>
      </c>
      <c r="B3082" t="str">
        <f>"5022"</f>
        <v>5022</v>
      </c>
      <c r="C3082" t="str">
        <f>"295605022"</f>
        <v>295605022</v>
      </c>
      <c r="D3082" t="s">
        <v>7608</v>
      </c>
      <c r="E3082" t="s">
        <v>430</v>
      </c>
      <c r="F3082" t="s">
        <v>28</v>
      </c>
      <c r="G3082" s="1">
        <v>26010</v>
      </c>
      <c r="H3082" s="1">
        <v>40035</v>
      </c>
      <c r="I3082" t="str">
        <f t="shared" si="64"/>
        <v>41</v>
      </c>
      <c r="J3082" t="s">
        <v>24</v>
      </c>
      <c r="K3082" t="s">
        <v>25</v>
      </c>
      <c r="L3082" t="s">
        <v>26</v>
      </c>
      <c r="M3082" t="s">
        <v>27</v>
      </c>
      <c r="N3082" s="1">
        <v>18629</v>
      </c>
      <c r="O3082">
        <v>0</v>
      </c>
      <c r="P3082">
        <v>0</v>
      </c>
      <c r="Q3082" t="s">
        <v>28</v>
      </c>
      <c r="R3082" t="s">
        <v>258</v>
      </c>
      <c r="S3082" t="s">
        <v>402</v>
      </c>
      <c r="T3082" t="s">
        <v>403</v>
      </c>
    </row>
    <row r="3083" spans="1:20" x14ac:dyDescent="0.25">
      <c r="A3083" t="s">
        <v>7609</v>
      </c>
      <c r="B3083" t="str">
        <f>"4483"</f>
        <v>4483</v>
      </c>
      <c r="C3083" t="str">
        <f>"296904483"</f>
        <v>296904483</v>
      </c>
      <c r="D3083" t="s">
        <v>7608</v>
      </c>
      <c r="E3083" t="s">
        <v>238</v>
      </c>
      <c r="F3083" t="s">
        <v>609</v>
      </c>
      <c r="G3083" s="1">
        <v>30938</v>
      </c>
      <c r="H3083" s="1">
        <v>40035</v>
      </c>
      <c r="I3083" t="str">
        <f t="shared" si="64"/>
        <v>41</v>
      </c>
      <c r="J3083" t="s">
        <v>24</v>
      </c>
      <c r="K3083" t="s">
        <v>25</v>
      </c>
      <c r="L3083" t="s">
        <v>26</v>
      </c>
      <c r="M3083" t="s">
        <v>27</v>
      </c>
      <c r="N3083" s="1">
        <v>18629</v>
      </c>
      <c r="O3083">
        <v>0</v>
      </c>
      <c r="P3083">
        <v>0</v>
      </c>
      <c r="Q3083" t="s">
        <v>28</v>
      </c>
      <c r="R3083" t="s">
        <v>71</v>
      </c>
      <c r="S3083" t="s">
        <v>402</v>
      </c>
      <c r="T3083" t="s">
        <v>403</v>
      </c>
    </row>
    <row r="3084" spans="1:20" x14ac:dyDescent="0.25">
      <c r="A3084" t="s">
        <v>7610</v>
      </c>
      <c r="B3084" t="str">
        <f>"5869"</f>
        <v>5869</v>
      </c>
      <c r="C3084" t="str">
        <f>"283565869"</f>
        <v>283565869</v>
      </c>
      <c r="D3084" t="s">
        <v>7611</v>
      </c>
      <c r="E3084" t="s">
        <v>184</v>
      </c>
      <c r="F3084" t="s">
        <v>44</v>
      </c>
      <c r="G3084" s="1">
        <v>19929</v>
      </c>
      <c r="H3084" s="1">
        <v>40035</v>
      </c>
      <c r="I3084" t="str">
        <f>"20"</f>
        <v>20</v>
      </c>
      <c r="J3084" t="s">
        <v>123</v>
      </c>
      <c r="K3084" t="s">
        <v>98</v>
      </c>
      <c r="L3084" t="s">
        <v>37</v>
      </c>
      <c r="M3084" t="s">
        <v>257</v>
      </c>
      <c r="N3084" s="1">
        <v>41883</v>
      </c>
      <c r="O3084">
        <v>10753.16</v>
      </c>
      <c r="P3084">
        <v>2688.4</v>
      </c>
      <c r="Q3084" t="s">
        <v>37</v>
      </c>
      <c r="R3084" t="s">
        <v>51</v>
      </c>
      <c r="S3084" t="s">
        <v>138</v>
      </c>
      <c r="T3084" t="s">
        <v>139</v>
      </c>
    </row>
    <row r="3085" spans="1:20" x14ac:dyDescent="0.25">
      <c r="A3085" t="s">
        <v>7612</v>
      </c>
      <c r="B3085" t="str">
        <f>"3093"</f>
        <v>3093</v>
      </c>
      <c r="C3085" t="str">
        <f>"297503093"</f>
        <v>297503093</v>
      </c>
      <c r="D3085" t="s">
        <v>6896</v>
      </c>
      <c r="E3085" t="s">
        <v>197</v>
      </c>
      <c r="F3085" t="s">
        <v>97</v>
      </c>
      <c r="G3085" s="1">
        <v>20046</v>
      </c>
      <c r="H3085" s="1">
        <v>40035</v>
      </c>
      <c r="I3085" t="str">
        <f>"41"</f>
        <v>41</v>
      </c>
      <c r="J3085" t="s">
        <v>24</v>
      </c>
      <c r="K3085" t="s">
        <v>25</v>
      </c>
      <c r="L3085" t="s">
        <v>26</v>
      </c>
      <c r="M3085" t="s">
        <v>27</v>
      </c>
      <c r="N3085" s="1">
        <v>18629</v>
      </c>
      <c r="O3085">
        <v>0</v>
      </c>
      <c r="P3085">
        <v>0</v>
      </c>
      <c r="Q3085" t="s">
        <v>28</v>
      </c>
      <c r="R3085" t="s">
        <v>71</v>
      </c>
      <c r="S3085" t="s">
        <v>402</v>
      </c>
      <c r="T3085" t="s">
        <v>403</v>
      </c>
    </row>
    <row r="3086" spans="1:20" x14ac:dyDescent="0.25">
      <c r="A3086" t="s">
        <v>7613</v>
      </c>
      <c r="B3086" t="str">
        <f>"6266"</f>
        <v>6266</v>
      </c>
      <c r="C3086" t="str">
        <f>"297746266"</f>
        <v>297746266</v>
      </c>
      <c r="D3086" t="s">
        <v>7614</v>
      </c>
      <c r="E3086" t="s">
        <v>1192</v>
      </c>
      <c r="F3086" t="s">
        <v>28</v>
      </c>
      <c r="G3086" s="1">
        <v>29088</v>
      </c>
      <c r="H3086" s="1">
        <v>40035</v>
      </c>
      <c r="I3086" t="str">
        <f>"20"</f>
        <v>20</v>
      </c>
      <c r="J3086" t="s">
        <v>123</v>
      </c>
      <c r="K3086" t="s">
        <v>98</v>
      </c>
      <c r="L3086" t="s">
        <v>37</v>
      </c>
      <c r="M3086" t="s">
        <v>117</v>
      </c>
      <c r="N3086" s="1">
        <v>41631</v>
      </c>
      <c r="O3086">
        <v>4951.9799999999996</v>
      </c>
      <c r="P3086">
        <v>1237.94</v>
      </c>
      <c r="Q3086" t="s">
        <v>37</v>
      </c>
      <c r="R3086" t="s">
        <v>71</v>
      </c>
      <c r="S3086" t="s">
        <v>157</v>
      </c>
      <c r="T3086" t="s">
        <v>158</v>
      </c>
    </row>
    <row r="3087" spans="1:20" x14ac:dyDescent="0.25">
      <c r="A3087" t="s">
        <v>7615</v>
      </c>
      <c r="B3087" t="str">
        <f>"5403"</f>
        <v>5403</v>
      </c>
      <c r="C3087" t="str">
        <f>"281605403"</f>
        <v>281605403</v>
      </c>
      <c r="D3087" t="s">
        <v>7616</v>
      </c>
      <c r="E3087" t="s">
        <v>7617</v>
      </c>
      <c r="G3087" s="1">
        <v>26095</v>
      </c>
      <c r="H3087" s="1">
        <v>40035</v>
      </c>
      <c r="I3087" t="str">
        <f>"41"</f>
        <v>41</v>
      </c>
      <c r="J3087" t="s">
        <v>24</v>
      </c>
      <c r="K3087" t="s">
        <v>25</v>
      </c>
      <c r="L3087" t="s">
        <v>26</v>
      </c>
      <c r="M3087" t="s">
        <v>27</v>
      </c>
      <c r="N3087" s="1">
        <v>18629</v>
      </c>
      <c r="O3087">
        <v>0</v>
      </c>
      <c r="P3087">
        <v>0</v>
      </c>
      <c r="Q3087" t="s">
        <v>28</v>
      </c>
      <c r="R3087" t="s">
        <v>51</v>
      </c>
      <c r="S3087" t="s">
        <v>2066</v>
      </c>
      <c r="T3087" t="s">
        <v>2067</v>
      </c>
    </row>
    <row r="3088" spans="1:20" x14ac:dyDescent="0.25">
      <c r="A3088" t="s">
        <v>7618</v>
      </c>
      <c r="B3088" t="str">
        <f>"8342"</f>
        <v>8342</v>
      </c>
      <c r="C3088" t="str">
        <f>"274588342"</f>
        <v>274588342</v>
      </c>
      <c r="D3088" t="s">
        <v>2183</v>
      </c>
      <c r="E3088" t="s">
        <v>57</v>
      </c>
      <c r="F3088" t="s">
        <v>93</v>
      </c>
      <c r="G3088" s="1">
        <v>22899</v>
      </c>
      <c r="H3088" s="1">
        <v>40035</v>
      </c>
      <c r="I3088" t="str">
        <f>"20"</f>
        <v>20</v>
      </c>
      <c r="J3088" t="s">
        <v>123</v>
      </c>
      <c r="K3088" t="s">
        <v>98</v>
      </c>
      <c r="L3088" t="s">
        <v>37</v>
      </c>
      <c r="M3088" t="s">
        <v>117</v>
      </c>
      <c r="N3088" s="1">
        <v>41631</v>
      </c>
      <c r="O3088">
        <v>4951.9799999999996</v>
      </c>
      <c r="P3088">
        <v>1237.94</v>
      </c>
      <c r="Q3088" t="s">
        <v>28</v>
      </c>
      <c r="R3088" t="s">
        <v>51</v>
      </c>
      <c r="S3088" s="2" t="s">
        <v>6142</v>
      </c>
      <c r="T3088" t="s">
        <v>6143</v>
      </c>
    </row>
    <row r="3089" spans="1:20" x14ac:dyDescent="0.25">
      <c r="A3089" t="s">
        <v>7619</v>
      </c>
      <c r="B3089" t="str">
        <f>"3597"</f>
        <v>3597</v>
      </c>
      <c r="C3089" t="str">
        <f>"165543597"</f>
        <v>165543597</v>
      </c>
      <c r="D3089" t="s">
        <v>7620</v>
      </c>
      <c r="E3089" t="s">
        <v>682</v>
      </c>
      <c r="G3089" s="1">
        <v>22438</v>
      </c>
      <c r="H3089" s="1">
        <v>40035</v>
      </c>
      <c r="I3089" t="str">
        <f>"20"</f>
        <v>20</v>
      </c>
      <c r="J3089" t="s">
        <v>123</v>
      </c>
      <c r="K3089" t="s">
        <v>510</v>
      </c>
      <c r="L3089" t="s">
        <v>37</v>
      </c>
      <c r="M3089" t="s">
        <v>257</v>
      </c>
      <c r="N3089" s="1">
        <v>41813</v>
      </c>
      <c r="O3089">
        <v>14110.8</v>
      </c>
      <c r="P3089">
        <v>3527.7</v>
      </c>
      <c r="Q3089" t="s">
        <v>37</v>
      </c>
      <c r="R3089" t="s">
        <v>29</v>
      </c>
      <c r="S3089" t="s">
        <v>717</v>
      </c>
      <c r="T3089" t="s">
        <v>718</v>
      </c>
    </row>
    <row r="3090" spans="1:20" x14ac:dyDescent="0.25">
      <c r="A3090" t="s">
        <v>7621</v>
      </c>
      <c r="B3090" t="str">
        <f>"9890"</f>
        <v>9890</v>
      </c>
      <c r="C3090" t="str">
        <f>"286589890"</f>
        <v>286589890</v>
      </c>
      <c r="D3090" t="s">
        <v>7622</v>
      </c>
      <c r="E3090" t="s">
        <v>184</v>
      </c>
      <c r="F3090" t="s">
        <v>174</v>
      </c>
      <c r="G3090" s="1">
        <v>21753</v>
      </c>
      <c r="H3090" s="1">
        <v>40035</v>
      </c>
      <c r="I3090" t="str">
        <f>"20"</f>
        <v>20</v>
      </c>
      <c r="J3090" t="s">
        <v>123</v>
      </c>
      <c r="K3090" t="s">
        <v>98</v>
      </c>
      <c r="L3090" t="s">
        <v>37</v>
      </c>
      <c r="M3090" t="s">
        <v>117</v>
      </c>
      <c r="N3090" s="1">
        <v>41631</v>
      </c>
      <c r="O3090">
        <v>4951.9799999999996</v>
      </c>
      <c r="P3090">
        <v>1237.94</v>
      </c>
      <c r="Q3090" t="s">
        <v>37</v>
      </c>
      <c r="R3090" t="s">
        <v>71</v>
      </c>
      <c r="S3090" t="s">
        <v>4234</v>
      </c>
      <c r="T3090" t="s">
        <v>4235</v>
      </c>
    </row>
    <row r="3091" spans="1:20" x14ac:dyDescent="0.25">
      <c r="A3091" t="s">
        <v>7623</v>
      </c>
      <c r="B3091" t="str">
        <f>"8013"</f>
        <v>8013</v>
      </c>
      <c r="C3091" t="str">
        <f>"286528013"</f>
        <v>286528013</v>
      </c>
      <c r="D3091" t="s">
        <v>3393</v>
      </c>
      <c r="E3091" t="s">
        <v>3346</v>
      </c>
      <c r="F3091" t="s">
        <v>26</v>
      </c>
      <c r="G3091" s="1">
        <v>18971</v>
      </c>
      <c r="H3091" s="1">
        <v>40035</v>
      </c>
      <c r="I3091" t="str">
        <f>"41"</f>
        <v>41</v>
      </c>
      <c r="J3091" t="s">
        <v>24</v>
      </c>
      <c r="K3091" t="s">
        <v>25</v>
      </c>
      <c r="L3091" t="s">
        <v>26</v>
      </c>
      <c r="M3091" t="s">
        <v>27</v>
      </c>
      <c r="N3091" s="1">
        <v>18629</v>
      </c>
      <c r="O3091">
        <v>0</v>
      </c>
      <c r="P3091">
        <v>0</v>
      </c>
      <c r="Q3091" t="s">
        <v>28</v>
      </c>
      <c r="R3091" t="s">
        <v>71</v>
      </c>
      <c r="S3091" t="s">
        <v>402</v>
      </c>
      <c r="T3091" t="s">
        <v>403</v>
      </c>
    </row>
    <row r="3092" spans="1:20" x14ac:dyDescent="0.25">
      <c r="A3092" t="s">
        <v>7624</v>
      </c>
      <c r="B3092" t="str">
        <f>"6866"</f>
        <v>6866</v>
      </c>
      <c r="C3092" t="str">
        <f>"298526866"</f>
        <v>298526866</v>
      </c>
      <c r="D3092" t="s">
        <v>1624</v>
      </c>
      <c r="E3092" t="s">
        <v>1071</v>
      </c>
      <c r="F3092" t="s">
        <v>28</v>
      </c>
      <c r="G3092" s="1">
        <v>25115</v>
      </c>
      <c r="H3092" s="1">
        <v>40035</v>
      </c>
      <c r="I3092" t="str">
        <f>"20"</f>
        <v>20</v>
      </c>
      <c r="J3092" t="s">
        <v>123</v>
      </c>
      <c r="K3092" t="s">
        <v>98</v>
      </c>
      <c r="L3092" t="s">
        <v>37</v>
      </c>
      <c r="M3092" t="s">
        <v>117</v>
      </c>
      <c r="N3092" s="1">
        <v>41631</v>
      </c>
      <c r="O3092">
        <v>4951.9799999999996</v>
      </c>
      <c r="P3092">
        <v>1237.94</v>
      </c>
      <c r="Q3092" t="s">
        <v>37</v>
      </c>
      <c r="R3092" t="s">
        <v>71</v>
      </c>
      <c r="S3092" t="s">
        <v>808</v>
      </c>
      <c r="T3092" t="s">
        <v>809</v>
      </c>
    </row>
    <row r="3093" spans="1:20" x14ac:dyDescent="0.25">
      <c r="A3093" t="s">
        <v>7625</v>
      </c>
      <c r="B3093" t="str">
        <f>"9902"</f>
        <v>9902</v>
      </c>
      <c r="C3093" t="str">
        <f>"268869902"</f>
        <v>268869902</v>
      </c>
      <c r="D3093" t="s">
        <v>7626</v>
      </c>
      <c r="E3093" t="s">
        <v>1081</v>
      </c>
      <c r="F3093" t="s">
        <v>1104</v>
      </c>
      <c r="G3093" s="1">
        <v>27766</v>
      </c>
      <c r="H3093" s="1">
        <v>40035</v>
      </c>
      <c r="I3093" t="str">
        <f>"41"</f>
        <v>41</v>
      </c>
      <c r="J3093" t="s">
        <v>24</v>
      </c>
      <c r="K3093" t="s">
        <v>25</v>
      </c>
      <c r="L3093" t="s">
        <v>26</v>
      </c>
      <c r="M3093" t="s">
        <v>27</v>
      </c>
      <c r="N3093" s="1">
        <v>18629</v>
      </c>
      <c r="O3093">
        <v>0</v>
      </c>
      <c r="P3093">
        <v>0</v>
      </c>
      <c r="Q3093" t="s">
        <v>28</v>
      </c>
      <c r="R3093" t="s">
        <v>71</v>
      </c>
      <c r="S3093" t="s">
        <v>402</v>
      </c>
      <c r="T3093" t="s">
        <v>403</v>
      </c>
    </row>
    <row r="3094" spans="1:20" x14ac:dyDescent="0.25">
      <c r="A3094" t="s">
        <v>7627</v>
      </c>
      <c r="B3094" t="str">
        <f>"9362"</f>
        <v>9362</v>
      </c>
      <c r="C3094" t="str">
        <f>"286549362"</f>
        <v>286549362</v>
      </c>
      <c r="D3094" t="s">
        <v>1049</v>
      </c>
      <c r="E3094" t="s">
        <v>3318</v>
      </c>
      <c r="F3094" t="s">
        <v>219</v>
      </c>
      <c r="G3094" s="1">
        <v>20087</v>
      </c>
      <c r="H3094" s="1">
        <v>40035</v>
      </c>
      <c r="I3094" t="str">
        <f>"41"</f>
        <v>41</v>
      </c>
      <c r="J3094" t="s">
        <v>24</v>
      </c>
      <c r="K3094" t="s">
        <v>25</v>
      </c>
      <c r="L3094" t="s">
        <v>26</v>
      </c>
      <c r="M3094" t="s">
        <v>27</v>
      </c>
      <c r="N3094" s="1">
        <v>18629</v>
      </c>
      <c r="O3094">
        <v>0</v>
      </c>
      <c r="P3094">
        <v>0</v>
      </c>
      <c r="Q3094" t="s">
        <v>37</v>
      </c>
      <c r="R3094" t="s">
        <v>71</v>
      </c>
      <c r="S3094" t="s">
        <v>402</v>
      </c>
      <c r="T3094" t="s">
        <v>403</v>
      </c>
    </row>
    <row r="3095" spans="1:20" x14ac:dyDescent="0.25">
      <c r="A3095" t="s">
        <v>7628</v>
      </c>
      <c r="B3095" t="str">
        <f>"1802"</f>
        <v>1802</v>
      </c>
      <c r="C3095" t="str">
        <f>"275761802"</f>
        <v>275761802</v>
      </c>
      <c r="D3095" t="s">
        <v>7629</v>
      </c>
      <c r="E3095" t="s">
        <v>230</v>
      </c>
      <c r="F3095" t="s">
        <v>28</v>
      </c>
      <c r="G3095" s="1">
        <v>23525</v>
      </c>
      <c r="H3095" s="1">
        <v>40035</v>
      </c>
      <c r="I3095" t="str">
        <f>"20"</f>
        <v>20</v>
      </c>
      <c r="J3095" t="s">
        <v>123</v>
      </c>
      <c r="K3095" t="s">
        <v>175</v>
      </c>
      <c r="L3095" t="s">
        <v>37</v>
      </c>
      <c r="M3095" t="s">
        <v>99</v>
      </c>
      <c r="N3095" s="1">
        <v>41631</v>
      </c>
      <c r="O3095">
        <v>16411.78</v>
      </c>
      <c r="P3095">
        <v>4103</v>
      </c>
      <c r="Q3095" t="s">
        <v>37</v>
      </c>
      <c r="R3095" t="s">
        <v>29</v>
      </c>
      <c r="S3095" t="s">
        <v>6614</v>
      </c>
      <c r="T3095" t="s">
        <v>6615</v>
      </c>
    </row>
    <row r="3096" spans="1:20" x14ac:dyDescent="0.25">
      <c r="A3096" t="s">
        <v>7630</v>
      </c>
      <c r="B3096" t="str">
        <f>"3863"</f>
        <v>3863</v>
      </c>
      <c r="C3096" t="str">
        <f>"268603863"</f>
        <v>268603863</v>
      </c>
      <c r="D3096" t="s">
        <v>7631</v>
      </c>
      <c r="E3096" t="s">
        <v>1589</v>
      </c>
      <c r="F3096" t="s">
        <v>28</v>
      </c>
      <c r="G3096" s="1">
        <v>21006</v>
      </c>
      <c r="H3096" s="1">
        <v>40035</v>
      </c>
      <c r="I3096" t="str">
        <f>"20"</f>
        <v>20</v>
      </c>
      <c r="J3096" t="s">
        <v>123</v>
      </c>
      <c r="K3096" t="s">
        <v>98</v>
      </c>
      <c r="L3096" t="s">
        <v>37</v>
      </c>
      <c r="M3096" t="s">
        <v>99</v>
      </c>
      <c r="N3096" s="1">
        <v>41631</v>
      </c>
      <c r="O3096">
        <v>14801.82</v>
      </c>
      <c r="P3096">
        <v>3700.4</v>
      </c>
      <c r="Q3096" t="s">
        <v>37</v>
      </c>
      <c r="R3096" t="s">
        <v>71</v>
      </c>
      <c r="S3096" t="s">
        <v>305</v>
      </c>
      <c r="T3096" t="s">
        <v>306</v>
      </c>
    </row>
    <row r="3097" spans="1:20" x14ac:dyDescent="0.25">
      <c r="A3097" t="s">
        <v>7632</v>
      </c>
      <c r="B3097" t="str">
        <f>"5669"</f>
        <v>5669</v>
      </c>
      <c r="C3097" t="str">
        <f>"577645669"</f>
        <v>577645669</v>
      </c>
      <c r="D3097" t="s">
        <v>7633</v>
      </c>
      <c r="E3097" t="s">
        <v>1813</v>
      </c>
      <c r="F3097" t="s">
        <v>93</v>
      </c>
      <c r="G3097" s="1">
        <v>17985</v>
      </c>
      <c r="H3097" s="1">
        <v>40035</v>
      </c>
      <c r="I3097" t="str">
        <f>"52"</f>
        <v>52</v>
      </c>
      <c r="J3097" t="s">
        <v>330</v>
      </c>
      <c r="K3097" t="s">
        <v>25</v>
      </c>
      <c r="L3097" t="s">
        <v>26</v>
      </c>
      <c r="M3097" t="s">
        <v>27</v>
      </c>
      <c r="N3097" s="1">
        <v>18629</v>
      </c>
      <c r="O3097">
        <v>0</v>
      </c>
      <c r="P3097">
        <v>0</v>
      </c>
      <c r="Q3097" t="s">
        <v>37</v>
      </c>
      <c r="R3097" t="s">
        <v>258</v>
      </c>
      <c r="S3097" t="s">
        <v>331</v>
      </c>
      <c r="T3097" t="s">
        <v>332</v>
      </c>
    </row>
    <row r="3098" spans="1:20" x14ac:dyDescent="0.25">
      <c r="A3098" t="s">
        <v>7634</v>
      </c>
      <c r="B3098" t="str">
        <f>"5071"</f>
        <v>5071</v>
      </c>
      <c r="C3098" t="str">
        <f>"279585071"</f>
        <v>279585071</v>
      </c>
      <c r="D3098" t="s">
        <v>7635</v>
      </c>
      <c r="E3098" t="s">
        <v>609</v>
      </c>
      <c r="F3098" t="s">
        <v>190</v>
      </c>
      <c r="G3098" s="1">
        <v>21138</v>
      </c>
      <c r="H3098" s="1">
        <v>40035</v>
      </c>
      <c r="I3098" t="str">
        <f>"41"</f>
        <v>41</v>
      </c>
      <c r="J3098" t="s">
        <v>24</v>
      </c>
      <c r="K3098" t="s">
        <v>25</v>
      </c>
      <c r="L3098" t="s">
        <v>26</v>
      </c>
      <c r="M3098" t="s">
        <v>27</v>
      </c>
      <c r="N3098" s="1">
        <v>18629</v>
      </c>
      <c r="O3098">
        <v>0</v>
      </c>
      <c r="P3098">
        <v>0</v>
      </c>
      <c r="Q3098" t="s">
        <v>28</v>
      </c>
      <c r="R3098" t="s">
        <v>71</v>
      </c>
      <c r="S3098" t="s">
        <v>402</v>
      </c>
      <c r="T3098" t="s">
        <v>403</v>
      </c>
    </row>
    <row r="3099" spans="1:20" x14ac:dyDescent="0.25">
      <c r="A3099" t="s">
        <v>7636</v>
      </c>
      <c r="B3099" t="str">
        <f>"7791"</f>
        <v>7791</v>
      </c>
      <c r="C3099" t="str">
        <f>"289907791"</f>
        <v>289907791</v>
      </c>
      <c r="D3099" t="s">
        <v>7637</v>
      </c>
      <c r="E3099" t="s">
        <v>7638</v>
      </c>
      <c r="G3099" s="1">
        <v>24404</v>
      </c>
      <c r="H3099" s="1">
        <v>40035</v>
      </c>
      <c r="I3099" t="str">
        <f>"20"</f>
        <v>20</v>
      </c>
      <c r="J3099" t="s">
        <v>123</v>
      </c>
      <c r="K3099" t="s">
        <v>98</v>
      </c>
      <c r="L3099" t="s">
        <v>37</v>
      </c>
      <c r="M3099" t="s">
        <v>117</v>
      </c>
      <c r="N3099" s="1">
        <v>41631</v>
      </c>
      <c r="O3099">
        <v>4951.9799999999996</v>
      </c>
      <c r="P3099">
        <v>1237.94</v>
      </c>
      <c r="Q3099" t="s">
        <v>28</v>
      </c>
      <c r="R3099" t="s">
        <v>71</v>
      </c>
      <c r="S3099" t="s">
        <v>3734</v>
      </c>
      <c r="T3099" t="s">
        <v>3735</v>
      </c>
    </row>
    <row r="3100" spans="1:20" x14ac:dyDescent="0.25">
      <c r="A3100" t="s">
        <v>7639</v>
      </c>
      <c r="B3100" t="str">
        <f>"0543"</f>
        <v>0543</v>
      </c>
      <c r="C3100" t="str">
        <f>"119300543"</f>
        <v>119300543</v>
      </c>
      <c r="D3100" t="s">
        <v>7640</v>
      </c>
      <c r="E3100" t="s">
        <v>1234</v>
      </c>
      <c r="G3100" s="1">
        <v>15144</v>
      </c>
      <c r="H3100" s="1">
        <v>40035</v>
      </c>
      <c r="I3100" t="str">
        <f>"41"</f>
        <v>41</v>
      </c>
      <c r="J3100" t="s">
        <v>24</v>
      </c>
      <c r="K3100" t="s">
        <v>25</v>
      </c>
      <c r="L3100" t="s">
        <v>26</v>
      </c>
      <c r="M3100" t="s">
        <v>27</v>
      </c>
      <c r="N3100" s="1">
        <v>18629</v>
      </c>
      <c r="O3100">
        <v>0</v>
      </c>
      <c r="P3100">
        <v>0</v>
      </c>
      <c r="Q3100" t="s">
        <v>28</v>
      </c>
      <c r="R3100" t="s">
        <v>29</v>
      </c>
      <c r="S3100" t="s">
        <v>2066</v>
      </c>
      <c r="T3100" t="s">
        <v>2067</v>
      </c>
    </row>
    <row r="3101" spans="1:20" x14ac:dyDescent="0.25">
      <c r="A3101" t="s">
        <v>7641</v>
      </c>
      <c r="B3101" t="str">
        <f>"8625"</f>
        <v>8625</v>
      </c>
      <c r="C3101" t="str">
        <f>"134628625"</f>
        <v>134628625</v>
      </c>
      <c r="D3101" t="s">
        <v>7642</v>
      </c>
      <c r="E3101" t="s">
        <v>7643</v>
      </c>
      <c r="F3101" t="s">
        <v>165</v>
      </c>
      <c r="G3101" s="1">
        <v>24995</v>
      </c>
      <c r="H3101" s="1">
        <v>40035</v>
      </c>
      <c r="I3101" t="str">
        <f>"20"</f>
        <v>20</v>
      </c>
      <c r="J3101" t="s">
        <v>123</v>
      </c>
      <c r="K3101" t="s">
        <v>98</v>
      </c>
      <c r="L3101" t="s">
        <v>37</v>
      </c>
      <c r="M3101" t="s">
        <v>99</v>
      </c>
      <c r="N3101" s="1">
        <v>41631</v>
      </c>
      <c r="O3101">
        <v>14801.82</v>
      </c>
      <c r="P3101">
        <v>3700.4</v>
      </c>
      <c r="Q3101" t="s">
        <v>37</v>
      </c>
      <c r="R3101" t="s">
        <v>29</v>
      </c>
      <c r="S3101" t="s">
        <v>765</v>
      </c>
      <c r="T3101" t="s">
        <v>766</v>
      </c>
    </row>
    <row r="3102" spans="1:20" x14ac:dyDescent="0.25">
      <c r="A3102" t="s">
        <v>7644</v>
      </c>
      <c r="B3102" t="str">
        <f>"6684"</f>
        <v>6684</v>
      </c>
      <c r="C3102" t="str">
        <f>"271486684"</f>
        <v>271486684</v>
      </c>
      <c r="D3102" t="s">
        <v>7645</v>
      </c>
      <c r="E3102" t="s">
        <v>1907</v>
      </c>
      <c r="G3102" s="1">
        <v>19572</v>
      </c>
      <c r="H3102" s="1">
        <v>40029</v>
      </c>
      <c r="I3102" t="str">
        <f>"41"</f>
        <v>41</v>
      </c>
      <c r="J3102" t="s">
        <v>24</v>
      </c>
      <c r="K3102" t="s">
        <v>25</v>
      </c>
      <c r="L3102" t="s">
        <v>26</v>
      </c>
      <c r="M3102" t="s">
        <v>27</v>
      </c>
      <c r="N3102" s="1">
        <v>18629</v>
      </c>
      <c r="O3102">
        <v>0</v>
      </c>
      <c r="P3102">
        <v>0</v>
      </c>
      <c r="Q3102" t="s">
        <v>28</v>
      </c>
      <c r="R3102" t="s">
        <v>258</v>
      </c>
      <c r="S3102" t="s">
        <v>336</v>
      </c>
      <c r="T3102" t="s">
        <v>337</v>
      </c>
    </row>
    <row r="3103" spans="1:20" x14ac:dyDescent="0.25">
      <c r="A3103" t="s">
        <v>7646</v>
      </c>
      <c r="B3103" t="str">
        <f>"7769"</f>
        <v>7769</v>
      </c>
      <c r="C3103" t="str">
        <f>"290447769"</f>
        <v>290447769</v>
      </c>
      <c r="D3103" t="s">
        <v>7645</v>
      </c>
      <c r="E3103" t="s">
        <v>7647</v>
      </c>
      <c r="G3103" s="1">
        <v>20310</v>
      </c>
      <c r="H3103" s="1">
        <v>40028</v>
      </c>
      <c r="I3103" t="str">
        <f>"41"</f>
        <v>41</v>
      </c>
      <c r="J3103" t="s">
        <v>24</v>
      </c>
      <c r="K3103" t="s">
        <v>25</v>
      </c>
      <c r="L3103" t="s">
        <v>26</v>
      </c>
      <c r="M3103" t="s">
        <v>27</v>
      </c>
      <c r="N3103" s="1">
        <v>18629</v>
      </c>
      <c r="O3103">
        <v>0</v>
      </c>
      <c r="P3103">
        <v>0</v>
      </c>
      <c r="Q3103" t="s">
        <v>37</v>
      </c>
      <c r="R3103" t="s">
        <v>258</v>
      </c>
      <c r="S3103" t="s">
        <v>336</v>
      </c>
      <c r="T3103" t="s">
        <v>337</v>
      </c>
    </row>
    <row r="3104" spans="1:20" x14ac:dyDescent="0.25">
      <c r="A3104" t="s">
        <v>7648</v>
      </c>
      <c r="B3104" t="str">
        <f>"7038"</f>
        <v>7038</v>
      </c>
      <c r="C3104" t="str">
        <f>"269707038"</f>
        <v>269707038</v>
      </c>
      <c r="D3104" t="s">
        <v>75</v>
      </c>
      <c r="E3104" t="s">
        <v>7649</v>
      </c>
      <c r="F3104" t="s">
        <v>239</v>
      </c>
      <c r="G3104" s="1">
        <v>22740</v>
      </c>
      <c r="H3104" s="1">
        <v>40028</v>
      </c>
      <c r="I3104" t="str">
        <f>"41"</f>
        <v>41</v>
      </c>
      <c r="J3104" t="s">
        <v>24</v>
      </c>
      <c r="K3104" t="s">
        <v>25</v>
      </c>
      <c r="L3104" t="s">
        <v>26</v>
      </c>
      <c r="M3104" t="s">
        <v>27</v>
      </c>
      <c r="N3104" s="1">
        <v>18629</v>
      </c>
      <c r="O3104">
        <v>0</v>
      </c>
      <c r="P3104">
        <v>0</v>
      </c>
      <c r="Q3104" t="s">
        <v>28</v>
      </c>
      <c r="R3104" t="s">
        <v>51</v>
      </c>
      <c r="S3104" t="s">
        <v>336</v>
      </c>
      <c r="T3104" t="s">
        <v>337</v>
      </c>
    </row>
    <row r="3105" spans="1:20" x14ac:dyDescent="0.25">
      <c r="A3105" t="s">
        <v>7650</v>
      </c>
      <c r="B3105" t="str">
        <f>"4598"</f>
        <v>4598</v>
      </c>
      <c r="C3105" t="str">
        <f>"281824598"</f>
        <v>281824598</v>
      </c>
      <c r="D3105" t="s">
        <v>7651</v>
      </c>
      <c r="E3105" t="s">
        <v>466</v>
      </c>
      <c r="G3105" s="1">
        <v>14719</v>
      </c>
      <c r="H3105" s="1">
        <v>40026</v>
      </c>
      <c r="I3105" t="str">
        <f>"51"</f>
        <v>51</v>
      </c>
      <c r="J3105" t="s">
        <v>471</v>
      </c>
      <c r="K3105" t="s">
        <v>25</v>
      </c>
      <c r="L3105" t="s">
        <v>26</v>
      </c>
      <c r="M3105" t="s">
        <v>27</v>
      </c>
      <c r="N3105" s="1">
        <v>18629</v>
      </c>
      <c r="O3105">
        <v>0</v>
      </c>
      <c r="P3105">
        <v>0</v>
      </c>
      <c r="Q3105" t="s">
        <v>28</v>
      </c>
      <c r="R3105" t="s">
        <v>71</v>
      </c>
      <c r="S3105" t="s">
        <v>180</v>
      </c>
      <c r="T3105" t="s">
        <v>181</v>
      </c>
    </row>
    <row r="3106" spans="1:20" x14ac:dyDescent="0.25">
      <c r="A3106" t="s">
        <v>7652</v>
      </c>
      <c r="B3106" t="str">
        <f>"4281"</f>
        <v>4281</v>
      </c>
      <c r="C3106" t="str">
        <f>"295784281"</f>
        <v>295784281</v>
      </c>
      <c r="D3106" t="s">
        <v>7653</v>
      </c>
      <c r="E3106" t="s">
        <v>769</v>
      </c>
      <c r="G3106" s="1">
        <v>24321</v>
      </c>
      <c r="H3106" s="1">
        <v>40021</v>
      </c>
      <c r="I3106" t="str">
        <f>"20"</f>
        <v>20</v>
      </c>
      <c r="J3106" t="s">
        <v>123</v>
      </c>
      <c r="K3106" t="s">
        <v>510</v>
      </c>
      <c r="L3106" t="s">
        <v>37</v>
      </c>
      <c r="M3106" t="s">
        <v>257</v>
      </c>
      <c r="N3106" s="1">
        <v>41631</v>
      </c>
      <c r="O3106">
        <v>14110.8</v>
      </c>
      <c r="P3106">
        <v>3527.7</v>
      </c>
      <c r="Q3106" t="s">
        <v>37</v>
      </c>
      <c r="R3106" t="s">
        <v>51</v>
      </c>
      <c r="S3106" s="2" t="s">
        <v>1727</v>
      </c>
      <c r="T3106" t="s">
        <v>1728</v>
      </c>
    </row>
    <row r="3107" spans="1:20" x14ac:dyDescent="0.25">
      <c r="A3107" t="s">
        <v>7654</v>
      </c>
      <c r="B3107" t="str">
        <f>"0501"</f>
        <v>0501</v>
      </c>
      <c r="C3107" t="str">
        <f>"301560501"</f>
        <v>301560501</v>
      </c>
      <c r="D3107" t="s">
        <v>7655</v>
      </c>
      <c r="E3107" t="s">
        <v>2599</v>
      </c>
      <c r="F3107" t="s">
        <v>264</v>
      </c>
      <c r="G3107" s="1">
        <v>25435</v>
      </c>
      <c r="H3107" s="1">
        <v>40021</v>
      </c>
      <c r="I3107" t="str">
        <f>"20"</f>
        <v>20</v>
      </c>
      <c r="J3107" t="s">
        <v>123</v>
      </c>
      <c r="K3107" t="s">
        <v>98</v>
      </c>
      <c r="L3107" t="s">
        <v>37</v>
      </c>
      <c r="M3107" t="s">
        <v>99</v>
      </c>
      <c r="N3107" s="1">
        <v>41631</v>
      </c>
      <c r="O3107">
        <v>14801.82</v>
      </c>
      <c r="P3107">
        <v>3700.4</v>
      </c>
      <c r="Q3107" t="s">
        <v>28</v>
      </c>
      <c r="R3107" t="s">
        <v>51</v>
      </c>
      <c r="S3107" s="2" t="s">
        <v>2202</v>
      </c>
      <c r="T3107" t="s">
        <v>2203</v>
      </c>
    </row>
    <row r="3108" spans="1:20" x14ac:dyDescent="0.25">
      <c r="A3108" t="s">
        <v>7656</v>
      </c>
      <c r="B3108" t="str">
        <f>"4462"</f>
        <v>4462</v>
      </c>
      <c r="C3108" t="str">
        <f>"272884462"</f>
        <v>272884462</v>
      </c>
      <c r="D3108" t="s">
        <v>7657</v>
      </c>
      <c r="E3108" t="s">
        <v>7658</v>
      </c>
      <c r="F3108" t="s">
        <v>264</v>
      </c>
      <c r="G3108" s="1">
        <v>24748</v>
      </c>
      <c r="H3108" s="1">
        <v>40021</v>
      </c>
      <c r="I3108" t="str">
        <f>"20"</f>
        <v>20</v>
      </c>
      <c r="J3108" t="s">
        <v>123</v>
      </c>
      <c r="L3108" t="s">
        <v>37</v>
      </c>
      <c r="M3108" t="s">
        <v>143</v>
      </c>
      <c r="N3108" s="1">
        <v>41631</v>
      </c>
      <c r="O3108">
        <v>185.9</v>
      </c>
      <c r="P3108">
        <v>-185.9</v>
      </c>
      <c r="Q3108" t="s">
        <v>28</v>
      </c>
      <c r="R3108" t="s">
        <v>71</v>
      </c>
      <c r="S3108" t="s">
        <v>2297</v>
      </c>
      <c r="T3108" t="s">
        <v>2298</v>
      </c>
    </row>
    <row r="3109" spans="1:20" x14ac:dyDescent="0.25">
      <c r="A3109" t="s">
        <v>7659</v>
      </c>
      <c r="B3109" t="str">
        <f>"7052"</f>
        <v>7052</v>
      </c>
      <c r="C3109" t="str">
        <f>"302447052"</f>
        <v>302447052</v>
      </c>
      <c r="D3109" t="s">
        <v>7660</v>
      </c>
      <c r="E3109" t="s">
        <v>381</v>
      </c>
      <c r="F3109" t="s">
        <v>165</v>
      </c>
      <c r="G3109" s="1">
        <v>17006</v>
      </c>
      <c r="H3109" s="1">
        <v>40021</v>
      </c>
      <c r="I3109" t="str">
        <f>"52"</f>
        <v>52</v>
      </c>
      <c r="J3109" t="s">
        <v>330</v>
      </c>
      <c r="K3109" t="s">
        <v>25</v>
      </c>
      <c r="L3109" t="s">
        <v>26</v>
      </c>
      <c r="M3109" t="s">
        <v>27</v>
      </c>
      <c r="N3109" s="1">
        <v>18629</v>
      </c>
      <c r="O3109">
        <v>0</v>
      </c>
      <c r="P3109">
        <v>0</v>
      </c>
      <c r="Q3109" t="s">
        <v>37</v>
      </c>
      <c r="R3109" t="s">
        <v>71</v>
      </c>
      <c r="S3109" s="2" t="s">
        <v>362</v>
      </c>
      <c r="T3109" t="s">
        <v>363</v>
      </c>
    </row>
    <row r="3110" spans="1:20" x14ac:dyDescent="0.25">
      <c r="A3110" t="s">
        <v>7661</v>
      </c>
      <c r="B3110" t="str">
        <f>"5731"</f>
        <v>5731</v>
      </c>
      <c r="C3110" t="str">
        <f>"256535731"</f>
        <v>256535731</v>
      </c>
      <c r="D3110" t="s">
        <v>7662</v>
      </c>
      <c r="E3110" t="s">
        <v>574</v>
      </c>
      <c r="F3110" t="s">
        <v>28</v>
      </c>
      <c r="G3110" s="1">
        <v>26982</v>
      </c>
      <c r="H3110" s="1">
        <v>40021</v>
      </c>
      <c r="I3110" t="str">
        <f>"12"</f>
        <v>12</v>
      </c>
      <c r="J3110" t="s">
        <v>245</v>
      </c>
      <c r="K3110" t="s">
        <v>98</v>
      </c>
      <c r="L3110" t="s">
        <v>37</v>
      </c>
      <c r="M3110" t="s">
        <v>99</v>
      </c>
      <c r="N3110" s="1">
        <v>41617</v>
      </c>
      <c r="O3110">
        <v>14801.8</v>
      </c>
      <c r="P3110">
        <v>3700.32</v>
      </c>
      <c r="Q3110" t="s">
        <v>37</v>
      </c>
      <c r="R3110" t="s">
        <v>29</v>
      </c>
      <c r="S3110" t="s">
        <v>1095</v>
      </c>
      <c r="T3110" t="s">
        <v>1096</v>
      </c>
    </row>
    <row r="3111" spans="1:20" x14ac:dyDescent="0.25">
      <c r="A3111" t="s">
        <v>7663</v>
      </c>
      <c r="B3111" t="str">
        <f>"4021"</f>
        <v>4021</v>
      </c>
      <c r="C3111" t="str">
        <f>"295504021"</f>
        <v>295504021</v>
      </c>
      <c r="D3111" t="s">
        <v>7664</v>
      </c>
      <c r="E3111" t="s">
        <v>2643</v>
      </c>
      <c r="F3111" t="s">
        <v>1032</v>
      </c>
      <c r="G3111" s="1">
        <v>21728</v>
      </c>
      <c r="H3111" s="1">
        <v>40021</v>
      </c>
      <c r="I3111" t="str">
        <f>"20"</f>
        <v>20</v>
      </c>
      <c r="J3111" t="s">
        <v>123</v>
      </c>
      <c r="L3111" t="s">
        <v>37</v>
      </c>
      <c r="M3111" t="s">
        <v>143</v>
      </c>
      <c r="N3111" s="1">
        <v>41631</v>
      </c>
      <c r="O3111">
        <v>185.9</v>
      </c>
      <c r="P3111">
        <v>-185.9</v>
      </c>
      <c r="Q3111" t="s">
        <v>28</v>
      </c>
      <c r="R3111" t="s">
        <v>51</v>
      </c>
      <c r="S3111" s="2" t="s">
        <v>4118</v>
      </c>
      <c r="T3111" t="s">
        <v>4119</v>
      </c>
    </row>
    <row r="3112" spans="1:20" x14ac:dyDescent="0.25">
      <c r="A3112" t="s">
        <v>7665</v>
      </c>
      <c r="B3112" t="str">
        <f>"1829"</f>
        <v>1829</v>
      </c>
      <c r="C3112" t="str">
        <f>"058381829"</f>
        <v>058381829</v>
      </c>
      <c r="D3112" t="s">
        <v>6965</v>
      </c>
      <c r="E3112" t="s">
        <v>323</v>
      </c>
      <c r="F3112" t="s">
        <v>219</v>
      </c>
      <c r="G3112" s="1">
        <v>19219</v>
      </c>
      <c r="H3112" s="1">
        <v>40015</v>
      </c>
      <c r="I3112" t="str">
        <f>"51"</f>
        <v>51</v>
      </c>
      <c r="J3112" t="s">
        <v>471</v>
      </c>
      <c r="K3112" t="s">
        <v>25</v>
      </c>
      <c r="L3112" t="s">
        <v>26</v>
      </c>
      <c r="M3112" t="s">
        <v>27</v>
      </c>
      <c r="N3112" s="1">
        <v>18629</v>
      </c>
      <c r="O3112">
        <v>0</v>
      </c>
      <c r="P3112">
        <v>0</v>
      </c>
      <c r="Q3112" t="s">
        <v>37</v>
      </c>
      <c r="R3112" t="s">
        <v>71</v>
      </c>
      <c r="S3112" t="s">
        <v>1474</v>
      </c>
      <c r="T3112" t="s">
        <v>1475</v>
      </c>
    </row>
    <row r="3113" spans="1:20" x14ac:dyDescent="0.25">
      <c r="A3113" t="s">
        <v>7666</v>
      </c>
      <c r="B3113" t="str">
        <f>"5869"</f>
        <v>5869</v>
      </c>
      <c r="C3113" t="str">
        <f>"248515869"</f>
        <v>248515869</v>
      </c>
      <c r="D3113" t="s">
        <v>7667</v>
      </c>
      <c r="E3113" t="s">
        <v>1074</v>
      </c>
      <c r="F3113" t="s">
        <v>44</v>
      </c>
      <c r="G3113" s="1">
        <v>29056</v>
      </c>
      <c r="H3113" s="1">
        <v>40012</v>
      </c>
      <c r="I3113" t="str">
        <f>"52"</f>
        <v>52</v>
      </c>
      <c r="J3113" t="s">
        <v>330</v>
      </c>
      <c r="K3113" t="s">
        <v>25</v>
      </c>
      <c r="L3113" t="s">
        <v>26</v>
      </c>
      <c r="M3113" t="s">
        <v>27</v>
      </c>
      <c r="N3113" s="1">
        <v>18629</v>
      </c>
      <c r="O3113">
        <v>0</v>
      </c>
      <c r="P3113">
        <v>0</v>
      </c>
      <c r="Q3113" t="s">
        <v>37</v>
      </c>
      <c r="R3113" t="s">
        <v>29</v>
      </c>
      <c r="S3113" t="s">
        <v>4000</v>
      </c>
      <c r="T3113" t="s">
        <v>4001</v>
      </c>
    </row>
    <row r="3114" spans="1:20" x14ac:dyDescent="0.25">
      <c r="A3114" t="s">
        <v>7668</v>
      </c>
      <c r="B3114" t="str">
        <f>"4815"</f>
        <v>4815</v>
      </c>
      <c r="C3114" t="str">
        <f>"301444815"</f>
        <v>301444815</v>
      </c>
      <c r="D3114" t="s">
        <v>6415</v>
      </c>
      <c r="E3114" t="s">
        <v>197</v>
      </c>
      <c r="G3114" s="1">
        <v>21802</v>
      </c>
      <c r="H3114" s="1">
        <v>40008</v>
      </c>
      <c r="I3114" t="str">
        <f>"41"</f>
        <v>41</v>
      </c>
      <c r="J3114" t="s">
        <v>24</v>
      </c>
      <c r="K3114" t="s">
        <v>25</v>
      </c>
      <c r="L3114" t="s">
        <v>26</v>
      </c>
      <c r="M3114" t="s">
        <v>27</v>
      </c>
      <c r="N3114" s="1">
        <v>18629</v>
      </c>
      <c r="O3114">
        <v>0</v>
      </c>
      <c r="P3114">
        <v>0</v>
      </c>
      <c r="Q3114" t="s">
        <v>28</v>
      </c>
      <c r="R3114" t="s">
        <v>29</v>
      </c>
      <c r="S3114" t="s">
        <v>83</v>
      </c>
      <c r="T3114" t="s">
        <v>84</v>
      </c>
    </row>
    <row r="3115" spans="1:20" x14ac:dyDescent="0.25">
      <c r="A3115" t="s">
        <v>7669</v>
      </c>
      <c r="B3115" t="str">
        <f>"9784"</f>
        <v>9784</v>
      </c>
      <c r="C3115" t="str">
        <f>"099569784"</f>
        <v>099569784</v>
      </c>
      <c r="D3115" t="s">
        <v>7670</v>
      </c>
      <c r="E3115" t="s">
        <v>598</v>
      </c>
      <c r="F3115" t="s">
        <v>1981</v>
      </c>
      <c r="G3115" s="1">
        <v>21831</v>
      </c>
      <c r="H3115" s="1">
        <v>40007</v>
      </c>
      <c r="I3115" t="str">
        <f>"15"</f>
        <v>15</v>
      </c>
      <c r="J3115" t="s">
        <v>36</v>
      </c>
      <c r="K3115" t="s">
        <v>98</v>
      </c>
      <c r="L3115" t="s">
        <v>37</v>
      </c>
      <c r="M3115" t="s">
        <v>99</v>
      </c>
      <c r="N3115" s="1">
        <v>41617</v>
      </c>
      <c r="O3115">
        <v>14801.8</v>
      </c>
      <c r="P3115">
        <v>3700.32</v>
      </c>
      <c r="Q3115" t="s">
        <v>37</v>
      </c>
      <c r="R3115" t="s">
        <v>258</v>
      </c>
      <c r="S3115" t="s">
        <v>78</v>
      </c>
      <c r="T3115" t="s">
        <v>79</v>
      </c>
    </row>
    <row r="3116" spans="1:20" x14ac:dyDescent="0.25">
      <c r="A3116" t="s">
        <v>7671</v>
      </c>
      <c r="B3116" t="str">
        <f>"1536"</f>
        <v>1536</v>
      </c>
      <c r="C3116" t="str">
        <f>"068621536"</f>
        <v>068621536</v>
      </c>
      <c r="D3116" t="s">
        <v>7672</v>
      </c>
      <c r="E3116" t="s">
        <v>213</v>
      </c>
      <c r="G3116" s="1">
        <v>28592</v>
      </c>
      <c r="H3116" s="1">
        <v>40007</v>
      </c>
      <c r="I3116" t="str">
        <f>"05"</f>
        <v>05</v>
      </c>
      <c r="J3116" t="s">
        <v>58</v>
      </c>
      <c r="K3116" t="s">
        <v>98</v>
      </c>
      <c r="L3116" t="s">
        <v>37</v>
      </c>
      <c r="M3116" t="s">
        <v>117</v>
      </c>
      <c r="N3116" s="1">
        <v>41617</v>
      </c>
      <c r="O3116">
        <v>4951.96</v>
      </c>
      <c r="P3116">
        <v>1237.8599999999999</v>
      </c>
      <c r="Q3116" t="s">
        <v>37</v>
      </c>
      <c r="R3116" t="s">
        <v>51</v>
      </c>
      <c r="S3116" s="2" t="s">
        <v>1922</v>
      </c>
      <c r="T3116" t="s">
        <v>1923</v>
      </c>
    </row>
    <row r="3117" spans="1:20" x14ac:dyDescent="0.25">
      <c r="A3117" t="s">
        <v>7673</v>
      </c>
      <c r="B3117" t="str">
        <f>"1455"</f>
        <v>1455</v>
      </c>
      <c r="C3117" t="str">
        <f>"270521455"</f>
        <v>270521455</v>
      </c>
      <c r="D3117" t="s">
        <v>1304</v>
      </c>
      <c r="E3117" t="s">
        <v>3558</v>
      </c>
      <c r="F3117" t="s">
        <v>97</v>
      </c>
      <c r="G3117" s="1">
        <v>21083</v>
      </c>
      <c r="H3117" s="1">
        <v>40007</v>
      </c>
      <c r="I3117" t="str">
        <f>"30"</f>
        <v>30</v>
      </c>
      <c r="J3117" t="s">
        <v>50</v>
      </c>
      <c r="K3117" t="s">
        <v>25</v>
      </c>
      <c r="L3117" t="s">
        <v>26</v>
      </c>
      <c r="M3117" t="s">
        <v>27</v>
      </c>
      <c r="N3117" s="1">
        <v>18629</v>
      </c>
      <c r="O3117">
        <v>0</v>
      </c>
      <c r="P3117">
        <v>0</v>
      </c>
      <c r="Q3117" t="s">
        <v>28</v>
      </c>
      <c r="R3117" t="s">
        <v>71</v>
      </c>
      <c r="S3117" t="s">
        <v>240</v>
      </c>
      <c r="T3117" t="s">
        <v>241</v>
      </c>
    </row>
    <row r="3118" spans="1:20" x14ac:dyDescent="0.25">
      <c r="A3118" t="s">
        <v>7674</v>
      </c>
      <c r="B3118" t="str">
        <f>"7912"</f>
        <v>7912</v>
      </c>
      <c r="C3118" t="str">
        <f>"274487912"</f>
        <v>274487912</v>
      </c>
      <c r="D3118" t="s">
        <v>7675</v>
      </c>
      <c r="E3118" t="s">
        <v>7676</v>
      </c>
      <c r="F3118" t="s">
        <v>414</v>
      </c>
      <c r="G3118" s="1">
        <v>18031</v>
      </c>
      <c r="H3118" s="1">
        <v>40007</v>
      </c>
      <c r="I3118" t="str">
        <f>"41"</f>
        <v>41</v>
      </c>
      <c r="J3118" t="s">
        <v>24</v>
      </c>
      <c r="K3118" t="s">
        <v>25</v>
      </c>
      <c r="L3118" t="s">
        <v>26</v>
      </c>
      <c r="M3118" t="s">
        <v>27</v>
      </c>
      <c r="N3118" s="1">
        <v>18629</v>
      </c>
      <c r="O3118">
        <v>0</v>
      </c>
      <c r="P3118">
        <v>0</v>
      </c>
      <c r="Q3118" t="s">
        <v>37</v>
      </c>
      <c r="R3118" t="s">
        <v>38</v>
      </c>
      <c r="S3118" t="s">
        <v>1194</v>
      </c>
      <c r="T3118" t="s">
        <v>1195</v>
      </c>
    </row>
    <row r="3119" spans="1:20" x14ac:dyDescent="0.25">
      <c r="A3119" t="s">
        <v>7677</v>
      </c>
      <c r="B3119" t="str">
        <f>"9963"</f>
        <v>9963</v>
      </c>
      <c r="C3119" t="str">
        <f>"272829963"</f>
        <v>272829963</v>
      </c>
      <c r="D3119" t="s">
        <v>7678</v>
      </c>
      <c r="E3119" t="s">
        <v>4609</v>
      </c>
      <c r="F3119" t="s">
        <v>28</v>
      </c>
      <c r="G3119" s="1">
        <v>30757</v>
      </c>
      <c r="H3119" s="1">
        <v>40007</v>
      </c>
      <c r="I3119" t="str">
        <f>"51"</f>
        <v>51</v>
      </c>
      <c r="J3119" t="s">
        <v>471</v>
      </c>
      <c r="K3119" t="s">
        <v>25</v>
      </c>
      <c r="L3119" t="s">
        <v>26</v>
      </c>
      <c r="M3119" t="s">
        <v>27</v>
      </c>
      <c r="N3119" s="1">
        <v>18629</v>
      </c>
      <c r="O3119">
        <v>0</v>
      </c>
      <c r="P3119">
        <v>0</v>
      </c>
      <c r="Q3119" t="s">
        <v>37</v>
      </c>
      <c r="R3119" t="s">
        <v>71</v>
      </c>
      <c r="S3119" t="s">
        <v>770</v>
      </c>
      <c r="T3119" t="s">
        <v>771</v>
      </c>
    </row>
    <row r="3120" spans="1:20" x14ac:dyDescent="0.25">
      <c r="A3120" t="s">
        <v>7679</v>
      </c>
      <c r="B3120" t="str">
        <f>"9541"</f>
        <v>9541</v>
      </c>
      <c r="C3120" t="str">
        <f>"272569541"</f>
        <v>272569541</v>
      </c>
      <c r="D3120" t="s">
        <v>7680</v>
      </c>
      <c r="E3120" t="s">
        <v>4700</v>
      </c>
      <c r="G3120" s="1">
        <v>21951</v>
      </c>
      <c r="H3120" s="1">
        <v>40001</v>
      </c>
      <c r="I3120" t="str">
        <f>"51"</f>
        <v>51</v>
      </c>
      <c r="J3120" t="s">
        <v>471</v>
      </c>
      <c r="K3120" t="s">
        <v>25</v>
      </c>
      <c r="L3120" t="s">
        <v>26</v>
      </c>
      <c r="M3120" t="s">
        <v>27</v>
      </c>
      <c r="N3120" s="1">
        <v>18629</v>
      </c>
      <c r="O3120">
        <v>0</v>
      </c>
      <c r="P3120">
        <v>0</v>
      </c>
      <c r="Q3120" t="s">
        <v>37</v>
      </c>
      <c r="R3120" t="s">
        <v>71</v>
      </c>
      <c r="S3120" t="s">
        <v>4234</v>
      </c>
      <c r="T3120" t="s">
        <v>4235</v>
      </c>
    </row>
    <row r="3121" spans="1:20" x14ac:dyDescent="0.25">
      <c r="A3121" t="s">
        <v>7681</v>
      </c>
      <c r="B3121" t="str">
        <f>"4064"</f>
        <v>4064</v>
      </c>
      <c r="C3121" t="str">
        <f>"273464064"</f>
        <v>273464064</v>
      </c>
      <c r="D3121" t="s">
        <v>2454</v>
      </c>
      <c r="E3121" t="s">
        <v>704</v>
      </c>
      <c r="F3121" t="s">
        <v>556</v>
      </c>
      <c r="G3121" s="1">
        <v>18819</v>
      </c>
      <c r="H3121" s="1">
        <v>40000</v>
      </c>
      <c r="I3121" t="str">
        <f>"05"</f>
        <v>05</v>
      </c>
      <c r="J3121" t="s">
        <v>58</v>
      </c>
      <c r="K3121" t="s">
        <v>98</v>
      </c>
      <c r="L3121" t="s">
        <v>37</v>
      </c>
      <c r="M3121" t="s">
        <v>117</v>
      </c>
      <c r="N3121" s="1">
        <v>41617</v>
      </c>
      <c r="O3121">
        <v>4951.96</v>
      </c>
      <c r="P3121">
        <v>1237.8599999999999</v>
      </c>
      <c r="Q3121" t="s">
        <v>28</v>
      </c>
      <c r="R3121" t="s">
        <v>110</v>
      </c>
      <c r="S3121" t="s">
        <v>4457</v>
      </c>
      <c r="T3121" t="s">
        <v>4458</v>
      </c>
    </row>
    <row r="3122" spans="1:20" x14ac:dyDescent="0.25">
      <c r="A3122" t="s">
        <v>7682</v>
      </c>
      <c r="B3122" t="str">
        <f>"4617"</f>
        <v>4617</v>
      </c>
      <c r="C3122" t="str">
        <f>"299724617"</f>
        <v>299724617</v>
      </c>
      <c r="D3122" t="s">
        <v>7683</v>
      </c>
      <c r="E3122" t="s">
        <v>48</v>
      </c>
      <c r="F3122" t="s">
        <v>28</v>
      </c>
      <c r="G3122" s="1">
        <v>26327</v>
      </c>
      <c r="H3122" s="1">
        <v>39995</v>
      </c>
      <c r="I3122" t="str">
        <f>"41"</f>
        <v>41</v>
      </c>
      <c r="J3122" t="s">
        <v>24</v>
      </c>
      <c r="K3122" t="s">
        <v>25</v>
      </c>
      <c r="L3122" t="s">
        <v>26</v>
      </c>
      <c r="M3122" t="s">
        <v>27</v>
      </c>
      <c r="N3122" s="1">
        <v>18629</v>
      </c>
      <c r="O3122">
        <v>0</v>
      </c>
      <c r="P3122">
        <v>0</v>
      </c>
      <c r="Q3122" t="s">
        <v>37</v>
      </c>
      <c r="R3122" t="s">
        <v>29</v>
      </c>
      <c r="S3122" t="s">
        <v>527</v>
      </c>
      <c r="T3122" t="s">
        <v>528</v>
      </c>
    </row>
    <row r="3123" spans="1:20" x14ac:dyDescent="0.25">
      <c r="A3123" t="s">
        <v>7684</v>
      </c>
      <c r="B3123" t="str">
        <f>"4388"</f>
        <v>4388</v>
      </c>
      <c r="C3123" t="str">
        <f>"280624388"</f>
        <v>280624388</v>
      </c>
      <c r="D3123" t="s">
        <v>7685</v>
      </c>
      <c r="E3123" t="s">
        <v>48</v>
      </c>
      <c r="F3123" t="s">
        <v>93</v>
      </c>
      <c r="G3123" s="1">
        <v>26625</v>
      </c>
      <c r="H3123" s="1">
        <v>39995</v>
      </c>
      <c r="I3123" t="str">
        <f>"41"</f>
        <v>41</v>
      </c>
      <c r="J3123" t="s">
        <v>24</v>
      </c>
      <c r="K3123" t="s">
        <v>25</v>
      </c>
      <c r="L3123" t="s">
        <v>26</v>
      </c>
      <c r="M3123" t="s">
        <v>27</v>
      </c>
      <c r="N3123" s="1">
        <v>18629</v>
      </c>
      <c r="O3123">
        <v>0</v>
      </c>
      <c r="P3123">
        <v>0</v>
      </c>
      <c r="Q3123" t="s">
        <v>37</v>
      </c>
      <c r="R3123" t="s">
        <v>29</v>
      </c>
      <c r="S3123" t="s">
        <v>138</v>
      </c>
      <c r="T3123" t="s">
        <v>139</v>
      </c>
    </row>
    <row r="3124" spans="1:20" x14ac:dyDescent="0.25">
      <c r="A3124" t="s">
        <v>7686</v>
      </c>
      <c r="B3124" t="str">
        <f>"0983"</f>
        <v>0983</v>
      </c>
      <c r="C3124" t="str">
        <f>"278600983"</f>
        <v>278600983</v>
      </c>
      <c r="D3124" t="s">
        <v>4917</v>
      </c>
      <c r="E3124" t="s">
        <v>5442</v>
      </c>
      <c r="F3124" t="s">
        <v>7687</v>
      </c>
      <c r="G3124" s="1">
        <v>21518</v>
      </c>
      <c r="H3124" s="1">
        <v>39995</v>
      </c>
      <c r="I3124" t="str">
        <f>"12"</f>
        <v>12</v>
      </c>
      <c r="J3124" t="s">
        <v>245</v>
      </c>
      <c r="K3124" t="s">
        <v>98</v>
      </c>
      <c r="L3124" t="s">
        <v>37</v>
      </c>
      <c r="M3124" t="s">
        <v>117</v>
      </c>
      <c r="N3124" s="1">
        <v>41617</v>
      </c>
      <c r="O3124">
        <v>4951.96</v>
      </c>
      <c r="P3124">
        <v>1237.8599999999999</v>
      </c>
      <c r="Q3124" t="s">
        <v>37</v>
      </c>
      <c r="R3124" t="s">
        <v>258</v>
      </c>
      <c r="S3124" t="s">
        <v>259</v>
      </c>
      <c r="T3124" t="s">
        <v>260</v>
      </c>
    </row>
    <row r="3125" spans="1:20" x14ac:dyDescent="0.25">
      <c r="A3125" t="s">
        <v>7688</v>
      </c>
      <c r="B3125" t="str">
        <f>"4984"</f>
        <v>4984</v>
      </c>
      <c r="C3125" t="str">
        <f>"270824984"</f>
        <v>270824984</v>
      </c>
      <c r="D3125" t="s">
        <v>2853</v>
      </c>
      <c r="E3125" t="s">
        <v>35</v>
      </c>
      <c r="F3125" t="s">
        <v>264</v>
      </c>
      <c r="G3125" s="1">
        <v>30720</v>
      </c>
      <c r="H3125" s="1">
        <v>39995</v>
      </c>
      <c r="I3125" t="str">
        <f>"41"</f>
        <v>41</v>
      </c>
      <c r="J3125" t="s">
        <v>24</v>
      </c>
      <c r="K3125" t="s">
        <v>25</v>
      </c>
      <c r="L3125" t="s">
        <v>26</v>
      </c>
      <c r="M3125" t="s">
        <v>27</v>
      </c>
      <c r="N3125" s="1">
        <v>18629</v>
      </c>
      <c r="O3125">
        <v>0</v>
      </c>
      <c r="P3125">
        <v>0</v>
      </c>
      <c r="Q3125" t="s">
        <v>28</v>
      </c>
      <c r="R3125" t="s">
        <v>29</v>
      </c>
      <c r="S3125" t="s">
        <v>7689</v>
      </c>
      <c r="T3125" t="s">
        <v>7690</v>
      </c>
    </row>
    <row r="3126" spans="1:20" x14ac:dyDescent="0.25">
      <c r="A3126" t="s">
        <v>7691</v>
      </c>
      <c r="B3126" t="str">
        <f>"9225"</f>
        <v>9225</v>
      </c>
      <c r="C3126" t="str">
        <f>"168489225"</f>
        <v>168489225</v>
      </c>
      <c r="D3126" t="s">
        <v>7692</v>
      </c>
      <c r="E3126" t="s">
        <v>184</v>
      </c>
      <c r="F3126" t="s">
        <v>93</v>
      </c>
      <c r="G3126" s="1">
        <v>19757</v>
      </c>
      <c r="H3126" s="1">
        <v>39995</v>
      </c>
      <c r="I3126" t="str">
        <f>"51"</f>
        <v>51</v>
      </c>
      <c r="J3126" t="s">
        <v>471</v>
      </c>
      <c r="K3126" t="s">
        <v>25</v>
      </c>
      <c r="L3126" t="s">
        <v>26</v>
      </c>
      <c r="M3126" t="s">
        <v>27</v>
      </c>
      <c r="N3126" s="1">
        <v>18629</v>
      </c>
      <c r="O3126">
        <v>0</v>
      </c>
      <c r="P3126">
        <v>0</v>
      </c>
      <c r="Q3126" t="s">
        <v>37</v>
      </c>
      <c r="R3126" t="s">
        <v>29</v>
      </c>
      <c r="S3126" t="s">
        <v>4090</v>
      </c>
      <c r="T3126" t="s">
        <v>4091</v>
      </c>
    </row>
    <row r="3127" spans="1:20" x14ac:dyDescent="0.25">
      <c r="A3127" t="s">
        <v>7693</v>
      </c>
      <c r="B3127" t="str">
        <f>"7797"</f>
        <v>7797</v>
      </c>
      <c r="C3127" t="str">
        <f>"285487797"</f>
        <v>285487797</v>
      </c>
      <c r="D3127" t="s">
        <v>7694</v>
      </c>
      <c r="E3127" t="s">
        <v>2786</v>
      </c>
      <c r="F3127" t="s">
        <v>219</v>
      </c>
      <c r="G3127" s="1">
        <v>18080</v>
      </c>
      <c r="H3127" s="1">
        <v>39995</v>
      </c>
      <c r="I3127" t="str">
        <f>"40"</f>
        <v>40</v>
      </c>
      <c r="J3127" t="s">
        <v>7695</v>
      </c>
      <c r="K3127" t="s">
        <v>25</v>
      </c>
      <c r="L3127" t="s">
        <v>26</v>
      </c>
      <c r="M3127" t="s">
        <v>27</v>
      </c>
      <c r="N3127" s="1">
        <v>18629</v>
      </c>
      <c r="O3127">
        <v>0</v>
      </c>
      <c r="P3127">
        <v>0</v>
      </c>
      <c r="Q3127" t="s">
        <v>37</v>
      </c>
      <c r="R3127" t="s">
        <v>71</v>
      </c>
      <c r="S3127" t="s">
        <v>610</v>
      </c>
      <c r="T3127" t="s">
        <v>611</v>
      </c>
    </row>
    <row r="3128" spans="1:20" x14ac:dyDescent="0.25">
      <c r="A3128" t="s">
        <v>7696</v>
      </c>
      <c r="B3128" t="str">
        <f>"7948"</f>
        <v>7948</v>
      </c>
      <c r="C3128" t="str">
        <f>"292767948"</f>
        <v>292767948</v>
      </c>
      <c r="D3128" t="s">
        <v>7697</v>
      </c>
      <c r="E3128" t="s">
        <v>2794</v>
      </c>
      <c r="F3128" t="s">
        <v>264</v>
      </c>
      <c r="G3128" s="1">
        <v>24362</v>
      </c>
      <c r="H3128" s="1">
        <v>39995</v>
      </c>
      <c r="I3128" t="str">
        <f t="shared" ref="I3128:I3137" si="65">"41"</f>
        <v>41</v>
      </c>
      <c r="J3128" t="s">
        <v>24</v>
      </c>
      <c r="K3128" t="s">
        <v>25</v>
      </c>
      <c r="L3128" t="s">
        <v>26</v>
      </c>
      <c r="M3128" t="s">
        <v>27</v>
      </c>
      <c r="N3128" s="1">
        <v>18629</v>
      </c>
      <c r="O3128">
        <v>0</v>
      </c>
      <c r="P3128">
        <v>0</v>
      </c>
      <c r="Q3128" t="s">
        <v>28</v>
      </c>
      <c r="R3128" t="s">
        <v>258</v>
      </c>
      <c r="S3128" t="s">
        <v>331</v>
      </c>
      <c r="T3128" t="s">
        <v>332</v>
      </c>
    </row>
    <row r="3129" spans="1:20" x14ac:dyDescent="0.25">
      <c r="A3129" t="s">
        <v>7698</v>
      </c>
      <c r="B3129" t="str">
        <f>"3446"</f>
        <v>3446</v>
      </c>
      <c r="C3129" t="str">
        <f>"291663446"</f>
        <v>291663446</v>
      </c>
      <c r="D3129" t="s">
        <v>5550</v>
      </c>
      <c r="E3129" t="s">
        <v>1074</v>
      </c>
      <c r="F3129" t="s">
        <v>1666</v>
      </c>
      <c r="G3129" s="1">
        <v>23215</v>
      </c>
      <c r="H3129" s="1">
        <v>39995</v>
      </c>
      <c r="I3129" t="str">
        <f t="shared" si="65"/>
        <v>41</v>
      </c>
      <c r="J3129" t="s">
        <v>24</v>
      </c>
      <c r="K3129" t="s">
        <v>25</v>
      </c>
      <c r="L3129" t="s">
        <v>26</v>
      </c>
      <c r="M3129" t="s">
        <v>27</v>
      </c>
      <c r="N3129" s="1">
        <v>18629</v>
      </c>
      <c r="O3129">
        <v>0</v>
      </c>
      <c r="P3129">
        <v>0</v>
      </c>
      <c r="Q3129" t="s">
        <v>37</v>
      </c>
      <c r="R3129" t="s">
        <v>29</v>
      </c>
      <c r="S3129" t="s">
        <v>138</v>
      </c>
      <c r="T3129" t="s">
        <v>139</v>
      </c>
    </row>
    <row r="3130" spans="1:20" x14ac:dyDescent="0.25">
      <c r="A3130" t="s">
        <v>7699</v>
      </c>
      <c r="B3130" t="str">
        <f>"6121"</f>
        <v>6121</v>
      </c>
      <c r="C3130" t="str">
        <f>"287626121"</f>
        <v>287626121</v>
      </c>
      <c r="D3130" t="s">
        <v>7700</v>
      </c>
      <c r="E3130" t="s">
        <v>213</v>
      </c>
      <c r="F3130" t="s">
        <v>264</v>
      </c>
      <c r="G3130" s="1">
        <v>24963</v>
      </c>
      <c r="H3130" s="1">
        <v>39995</v>
      </c>
      <c r="I3130" t="str">
        <f t="shared" si="65"/>
        <v>41</v>
      </c>
      <c r="J3130" t="s">
        <v>24</v>
      </c>
      <c r="K3130" t="s">
        <v>25</v>
      </c>
      <c r="L3130" t="s">
        <v>26</v>
      </c>
      <c r="M3130" t="s">
        <v>27</v>
      </c>
      <c r="N3130" s="1">
        <v>18629</v>
      </c>
      <c r="O3130">
        <v>0</v>
      </c>
      <c r="P3130">
        <v>0</v>
      </c>
      <c r="Q3130" t="s">
        <v>28</v>
      </c>
      <c r="R3130" t="s">
        <v>71</v>
      </c>
      <c r="S3130" t="s">
        <v>336</v>
      </c>
      <c r="T3130" t="s">
        <v>337</v>
      </c>
    </row>
    <row r="3131" spans="1:20" x14ac:dyDescent="0.25">
      <c r="A3131" t="s">
        <v>7701</v>
      </c>
      <c r="B3131" t="str">
        <f>"0846"</f>
        <v>0846</v>
      </c>
      <c r="C3131" t="str">
        <f>"280700846"</f>
        <v>280700846</v>
      </c>
      <c r="D3131" t="s">
        <v>7702</v>
      </c>
      <c r="E3131" t="s">
        <v>1248</v>
      </c>
      <c r="G3131" s="1">
        <v>22797</v>
      </c>
      <c r="H3131" s="1">
        <v>39995</v>
      </c>
      <c r="I3131" t="str">
        <f t="shared" si="65"/>
        <v>41</v>
      </c>
      <c r="J3131" t="s">
        <v>24</v>
      </c>
      <c r="K3131" t="s">
        <v>25</v>
      </c>
      <c r="L3131" t="s">
        <v>26</v>
      </c>
      <c r="M3131" t="s">
        <v>27</v>
      </c>
      <c r="N3131" s="1">
        <v>18629</v>
      </c>
      <c r="O3131">
        <v>0</v>
      </c>
      <c r="P3131">
        <v>0</v>
      </c>
      <c r="Q3131" t="s">
        <v>37</v>
      </c>
      <c r="R3131" t="s">
        <v>29</v>
      </c>
      <c r="S3131" t="s">
        <v>138</v>
      </c>
      <c r="T3131" t="s">
        <v>139</v>
      </c>
    </row>
    <row r="3132" spans="1:20" x14ac:dyDescent="0.25">
      <c r="A3132" t="s">
        <v>7703</v>
      </c>
      <c r="B3132" t="str">
        <f>"6052"</f>
        <v>6052</v>
      </c>
      <c r="C3132" t="str">
        <f>"298486052"</f>
        <v>298486052</v>
      </c>
      <c r="D3132" t="s">
        <v>7704</v>
      </c>
      <c r="E3132" t="s">
        <v>769</v>
      </c>
      <c r="F3132" t="s">
        <v>28</v>
      </c>
      <c r="G3132" s="1">
        <v>23574</v>
      </c>
      <c r="H3132" s="1">
        <v>39995</v>
      </c>
      <c r="I3132" t="str">
        <f t="shared" si="65"/>
        <v>41</v>
      </c>
      <c r="J3132" t="s">
        <v>24</v>
      </c>
      <c r="K3132" t="s">
        <v>25</v>
      </c>
      <c r="L3132" t="s">
        <v>26</v>
      </c>
      <c r="M3132" t="s">
        <v>27</v>
      </c>
      <c r="N3132" s="1">
        <v>18629</v>
      </c>
      <c r="O3132">
        <v>0</v>
      </c>
      <c r="P3132">
        <v>0</v>
      </c>
      <c r="Q3132" t="s">
        <v>37</v>
      </c>
      <c r="R3132" t="s">
        <v>29</v>
      </c>
      <c r="S3132" t="s">
        <v>138</v>
      </c>
      <c r="T3132" t="s">
        <v>139</v>
      </c>
    </row>
    <row r="3133" spans="1:20" x14ac:dyDescent="0.25">
      <c r="A3133" t="s">
        <v>7705</v>
      </c>
      <c r="B3133" t="str">
        <f>"8435"</f>
        <v>8435</v>
      </c>
      <c r="C3133" t="str">
        <f>"274388435"</f>
        <v>274388435</v>
      </c>
      <c r="D3133" t="s">
        <v>7706</v>
      </c>
      <c r="E3133" t="s">
        <v>509</v>
      </c>
      <c r="G3133" s="1">
        <v>16488</v>
      </c>
      <c r="H3133" s="1">
        <v>39995</v>
      </c>
      <c r="I3133" t="str">
        <f t="shared" si="65"/>
        <v>41</v>
      </c>
      <c r="J3133" t="s">
        <v>24</v>
      </c>
      <c r="K3133" t="s">
        <v>25</v>
      </c>
      <c r="L3133" t="s">
        <v>26</v>
      </c>
      <c r="M3133" t="s">
        <v>27</v>
      </c>
      <c r="N3133" s="1">
        <v>18629</v>
      </c>
      <c r="O3133">
        <v>0</v>
      </c>
      <c r="P3133">
        <v>0</v>
      </c>
      <c r="Q3133" t="s">
        <v>37</v>
      </c>
      <c r="R3133" t="s">
        <v>29</v>
      </c>
      <c r="S3133" t="s">
        <v>138</v>
      </c>
      <c r="T3133" t="s">
        <v>139</v>
      </c>
    </row>
    <row r="3134" spans="1:20" x14ac:dyDescent="0.25">
      <c r="A3134" t="s">
        <v>7707</v>
      </c>
      <c r="B3134" t="str">
        <f>"1749"</f>
        <v>1749</v>
      </c>
      <c r="C3134" t="str">
        <f>"331601749"</f>
        <v>331601749</v>
      </c>
      <c r="D3134" t="s">
        <v>2997</v>
      </c>
      <c r="E3134" t="s">
        <v>122</v>
      </c>
      <c r="F3134" t="s">
        <v>219</v>
      </c>
      <c r="G3134" s="1">
        <v>21864</v>
      </c>
      <c r="H3134" s="1">
        <v>39995</v>
      </c>
      <c r="I3134" t="str">
        <f t="shared" si="65"/>
        <v>41</v>
      </c>
      <c r="J3134" t="s">
        <v>24</v>
      </c>
      <c r="K3134" t="s">
        <v>25</v>
      </c>
      <c r="L3134" t="s">
        <v>26</v>
      </c>
      <c r="M3134" t="s">
        <v>27</v>
      </c>
      <c r="N3134" s="1">
        <v>18629</v>
      </c>
      <c r="O3134">
        <v>0</v>
      </c>
      <c r="P3134">
        <v>0</v>
      </c>
      <c r="Q3134" t="s">
        <v>28</v>
      </c>
      <c r="R3134" t="s">
        <v>258</v>
      </c>
      <c r="S3134" t="s">
        <v>331</v>
      </c>
      <c r="T3134" t="s">
        <v>332</v>
      </c>
    </row>
    <row r="3135" spans="1:20" x14ac:dyDescent="0.25">
      <c r="A3135" t="s">
        <v>7708</v>
      </c>
      <c r="B3135" t="str">
        <f>"5121"</f>
        <v>5121</v>
      </c>
      <c r="C3135" t="str">
        <f>"286505121"</f>
        <v>286505121</v>
      </c>
      <c r="D3135" t="s">
        <v>7709</v>
      </c>
      <c r="E3135" t="s">
        <v>1248</v>
      </c>
      <c r="G3135" s="1">
        <v>18294</v>
      </c>
      <c r="H3135" s="1">
        <v>39995</v>
      </c>
      <c r="I3135" t="str">
        <f t="shared" si="65"/>
        <v>41</v>
      </c>
      <c r="J3135" t="s">
        <v>24</v>
      </c>
      <c r="K3135" t="s">
        <v>25</v>
      </c>
      <c r="L3135" t="s">
        <v>26</v>
      </c>
      <c r="M3135" t="s">
        <v>27</v>
      </c>
      <c r="N3135" s="1">
        <v>18629</v>
      </c>
      <c r="O3135">
        <v>0</v>
      </c>
      <c r="P3135">
        <v>0</v>
      </c>
      <c r="Q3135" t="s">
        <v>37</v>
      </c>
      <c r="R3135" t="s">
        <v>71</v>
      </c>
      <c r="S3135" t="s">
        <v>2634</v>
      </c>
      <c r="T3135" t="s">
        <v>2635</v>
      </c>
    </row>
    <row r="3136" spans="1:20" x14ac:dyDescent="0.25">
      <c r="A3136" t="s">
        <v>7710</v>
      </c>
      <c r="B3136" t="str">
        <f>"8879"</f>
        <v>8879</v>
      </c>
      <c r="C3136" t="str">
        <f>"305988879"</f>
        <v>305988879</v>
      </c>
      <c r="D3136" t="s">
        <v>7711</v>
      </c>
      <c r="E3136" t="s">
        <v>5538</v>
      </c>
      <c r="F3136" t="s">
        <v>189</v>
      </c>
      <c r="G3136" s="1">
        <v>31827</v>
      </c>
      <c r="H3136" s="1">
        <v>39995</v>
      </c>
      <c r="I3136" t="str">
        <f t="shared" si="65"/>
        <v>41</v>
      </c>
      <c r="J3136" t="s">
        <v>24</v>
      </c>
      <c r="K3136" t="s">
        <v>25</v>
      </c>
      <c r="L3136" t="s">
        <v>26</v>
      </c>
      <c r="M3136" t="s">
        <v>27</v>
      </c>
      <c r="N3136" s="1">
        <v>18629</v>
      </c>
      <c r="O3136">
        <v>0</v>
      </c>
      <c r="P3136">
        <v>0</v>
      </c>
      <c r="Q3136" t="s">
        <v>37</v>
      </c>
      <c r="R3136" t="s">
        <v>71</v>
      </c>
      <c r="S3136" t="s">
        <v>2825</v>
      </c>
      <c r="T3136" t="s">
        <v>2826</v>
      </c>
    </row>
    <row r="3137" spans="1:20" x14ac:dyDescent="0.25">
      <c r="A3137" t="s">
        <v>7712</v>
      </c>
      <c r="B3137" t="str">
        <f>"4042"</f>
        <v>4042</v>
      </c>
      <c r="C3137" t="str">
        <f>"302664042"</f>
        <v>302664042</v>
      </c>
      <c r="D3137" t="s">
        <v>452</v>
      </c>
      <c r="E3137" t="s">
        <v>3382</v>
      </c>
      <c r="G3137" s="1">
        <v>22911</v>
      </c>
      <c r="H3137" s="1">
        <v>39995</v>
      </c>
      <c r="I3137" t="str">
        <f t="shared" si="65"/>
        <v>41</v>
      </c>
      <c r="J3137" t="s">
        <v>24</v>
      </c>
      <c r="K3137" t="s">
        <v>25</v>
      </c>
      <c r="L3137" t="s">
        <v>26</v>
      </c>
      <c r="M3137" t="s">
        <v>27</v>
      </c>
      <c r="N3137" s="1">
        <v>18629</v>
      </c>
      <c r="O3137">
        <v>0</v>
      </c>
      <c r="P3137">
        <v>0</v>
      </c>
      <c r="Q3137" t="s">
        <v>28</v>
      </c>
      <c r="R3137" t="s">
        <v>29</v>
      </c>
      <c r="S3137" t="s">
        <v>594</v>
      </c>
      <c r="T3137" t="s">
        <v>595</v>
      </c>
    </row>
    <row r="3138" spans="1:20" x14ac:dyDescent="0.25">
      <c r="A3138" t="s">
        <v>7713</v>
      </c>
      <c r="B3138" t="str">
        <f>"4131"</f>
        <v>4131</v>
      </c>
      <c r="C3138" t="str">
        <f>"439234131"</f>
        <v>439234131</v>
      </c>
      <c r="D3138" t="s">
        <v>7714</v>
      </c>
      <c r="E3138" t="s">
        <v>109</v>
      </c>
      <c r="F3138" t="s">
        <v>165</v>
      </c>
      <c r="G3138" s="1">
        <v>24506</v>
      </c>
      <c r="H3138" s="1">
        <v>39993</v>
      </c>
      <c r="I3138" t="str">
        <f>"12"</f>
        <v>12</v>
      </c>
      <c r="J3138" t="s">
        <v>245</v>
      </c>
      <c r="K3138" t="s">
        <v>98</v>
      </c>
      <c r="L3138" t="s">
        <v>37</v>
      </c>
      <c r="M3138" t="s">
        <v>99</v>
      </c>
      <c r="N3138" s="1">
        <v>41617</v>
      </c>
      <c r="O3138">
        <v>14801.8</v>
      </c>
      <c r="P3138">
        <v>3700.32</v>
      </c>
      <c r="Q3138" t="s">
        <v>37</v>
      </c>
      <c r="R3138" t="s">
        <v>29</v>
      </c>
      <c r="S3138" t="s">
        <v>477</v>
      </c>
      <c r="T3138" t="s">
        <v>478</v>
      </c>
    </row>
    <row r="3139" spans="1:20" x14ac:dyDescent="0.25">
      <c r="A3139" t="s">
        <v>7715</v>
      </c>
      <c r="B3139" t="str">
        <f>"2964"</f>
        <v>2964</v>
      </c>
      <c r="C3139" t="str">
        <f>"293462964"</f>
        <v>293462964</v>
      </c>
      <c r="D3139" t="s">
        <v>7716</v>
      </c>
      <c r="E3139" t="s">
        <v>682</v>
      </c>
      <c r="F3139" t="s">
        <v>358</v>
      </c>
      <c r="G3139" s="1">
        <v>21387</v>
      </c>
      <c r="H3139" s="1">
        <v>39993</v>
      </c>
      <c r="I3139" t="str">
        <f>"03"</f>
        <v>03</v>
      </c>
      <c r="J3139" t="s">
        <v>70</v>
      </c>
      <c r="K3139" t="s">
        <v>98</v>
      </c>
      <c r="L3139" t="s">
        <v>37</v>
      </c>
      <c r="M3139" t="s">
        <v>257</v>
      </c>
      <c r="N3139" s="1">
        <v>41617</v>
      </c>
      <c r="O3139">
        <v>10753.08</v>
      </c>
      <c r="P3139">
        <v>2688.4</v>
      </c>
      <c r="Q3139" t="s">
        <v>37</v>
      </c>
      <c r="R3139" t="s">
        <v>71</v>
      </c>
      <c r="S3139" t="s">
        <v>2297</v>
      </c>
      <c r="T3139" t="s">
        <v>2298</v>
      </c>
    </row>
    <row r="3140" spans="1:20" x14ac:dyDescent="0.25">
      <c r="A3140" t="s">
        <v>7717</v>
      </c>
      <c r="B3140" t="str">
        <f>"5735"</f>
        <v>5735</v>
      </c>
      <c r="C3140" t="str">
        <f>"271785735"</f>
        <v>271785735</v>
      </c>
      <c r="D3140" t="s">
        <v>6982</v>
      </c>
      <c r="E3140" t="s">
        <v>7718</v>
      </c>
      <c r="G3140" s="1">
        <v>24649</v>
      </c>
      <c r="H3140" s="1">
        <v>39979</v>
      </c>
      <c r="I3140" t="str">
        <f>"01"</f>
        <v>01</v>
      </c>
      <c r="J3140" t="s">
        <v>116</v>
      </c>
      <c r="K3140" t="s">
        <v>175</v>
      </c>
      <c r="L3140" t="s">
        <v>37</v>
      </c>
      <c r="M3140" t="s">
        <v>117</v>
      </c>
      <c r="N3140" s="1">
        <v>41617</v>
      </c>
      <c r="O3140">
        <v>5288.66</v>
      </c>
      <c r="P3140">
        <v>1322.1</v>
      </c>
      <c r="Q3140" t="s">
        <v>28</v>
      </c>
      <c r="R3140" t="s">
        <v>71</v>
      </c>
      <c r="S3140" t="s">
        <v>373</v>
      </c>
      <c r="T3140" t="s">
        <v>374</v>
      </c>
    </row>
    <row r="3141" spans="1:20" x14ac:dyDescent="0.25">
      <c r="A3141" t="s">
        <v>7719</v>
      </c>
      <c r="B3141" t="str">
        <f>"8625"</f>
        <v>8625</v>
      </c>
      <c r="C3141" t="str">
        <f>"040688625"</f>
        <v>040688625</v>
      </c>
      <c r="D3141" t="s">
        <v>7720</v>
      </c>
      <c r="E3141" t="s">
        <v>7721</v>
      </c>
      <c r="F3141" t="s">
        <v>219</v>
      </c>
      <c r="G3141" s="1">
        <v>28117</v>
      </c>
      <c r="H3141" s="1">
        <v>39979</v>
      </c>
      <c r="I3141" t="str">
        <f>"51"</f>
        <v>51</v>
      </c>
      <c r="J3141" t="s">
        <v>471</v>
      </c>
      <c r="K3141" t="s">
        <v>25</v>
      </c>
      <c r="L3141" t="s">
        <v>26</v>
      </c>
      <c r="M3141" t="s">
        <v>27</v>
      </c>
      <c r="N3141" s="1">
        <v>18629</v>
      </c>
      <c r="O3141">
        <v>0</v>
      </c>
      <c r="P3141">
        <v>0</v>
      </c>
      <c r="Q3141" t="s">
        <v>37</v>
      </c>
      <c r="R3141" t="s">
        <v>71</v>
      </c>
      <c r="S3141" t="s">
        <v>2406</v>
      </c>
      <c r="T3141" t="s">
        <v>2407</v>
      </c>
    </row>
    <row r="3142" spans="1:20" x14ac:dyDescent="0.25">
      <c r="A3142" t="s">
        <v>7722</v>
      </c>
      <c r="B3142" t="str">
        <f>"0707"</f>
        <v>0707</v>
      </c>
      <c r="C3142" t="str">
        <f>"294500707"</f>
        <v>294500707</v>
      </c>
      <c r="D3142" t="s">
        <v>1279</v>
      </c>
      <c r="E3142" t="s">
        <v>832</v>
      </c>
      <c r="F3142" t="s">
        <v>556</v>
      </c>
      <c r="G3142" s="1">
        <v>18769</v>
      </c>
      <c r="H3142" s="1">
        <v>39979</v>
      </c>
      <c r="I3142" t="str">
        <f>"01"</f>
        <v>01</v>
      </c>
      <c r="J3142" t="s">
        <v>116</v>
      </c>
      <c r="K3142" t="s">
        <v>98</v>
      </c>
      <c r="L3142" t="s">
        <v>37</v>
      </c>
      <c r="M3142" t="s">
        <v>257</v>
      </c>
      <c r="N3142" s="1">
        <v>41617</v>
      </c>
      <c r="O3142">
        <v>10753.08</v>
      </c>
      <c r="P3142">
        <v>2688.4</v>
      </c>
      <c r="Q3142" t="s">
        <v>28</v>
      </c>
      <c r="R3142" t="s">
        <v>258</v>
      </c>
      <c r="S3142" t="s">
        <v>336</v>
      </c>
      <c r="T3142" t="s">
        <v>337</v>
      </c>
    </row>
    <row r="3143" spans="1:20" x14ac:dyDescent="0.25">
      <c r="A3143" t="s">
        <v>7723</v>
      </c>
      <c r="B3143" t="str">
        <f>"9593"</f>
        <v>9593</v>
      </c>
      <c r="C3143" t="str">
        <f>"275649593"</f>
        <v>275649593</v>
      </c>
      <c r="D3143" t="s">
        <v>7724</v>
      </c>
      <c r="E3143" t="s">
        <v>106</v>
      </c>
      <c r="F3143" t="s">
        <v>69</v>
      </c>
      <c r="G3143" s="1">
        <v>21272</v>
      </c>
      <c r="H3143" s="1">
        <v>39979</v>
      </c>
      <c r="I3143" t="str">
        <f>"52"</f>
        <v>52</v>
      </c>
      <c r="J3143" t="s">
        <v>330</v>
      </c>
      <c r="K3143" t="s">
        <v>25</v>
      </c>
      <c r="L3143" t="s">
        <v>26</v>
      </c>
      <c r="M3143" t="s">
        <v>27</v>
      </c>
      <c r="N3143" s="1">
        <v>18629</v>
      </c>
      <c r="O3143">
        <v>0</v>
      </c>
      <c r="P3143">
        <v>0</v>
      </c>
      <c r="Q3143" t="s">
        <v>28</v>
      </c>
      <c r="R3143" t="s">
        <v>258</v>
      </c>
      <c r="S3143" t="s">
        <v>331</v>
      </c>
      <c r="T3143" t="s">
        <v>332</v>
      </c>
    </row>
    <row r="3144" spans="1:20" x14ac:dyDescent="0.25">
      <c r="A3144" t="s">
        <v>7725</v>
      </c>
      <c r="B3144" t="str">
        <f>"4425"</f>
        <v>4425</v>
      </c>
      <c r="C3144" t="str">
        <f>"355444425"</f>
        <v>355444425</v>
      </c>
      <c r="D3144" t="s">
        <v>352</v>
      </c>
      <c r="E3144" t="s">
        <v>5706</v>
      </c>
      <c r="F3144" t="s">
        <v>239</v>
      </c>
      <c r="G3144" s="1">
        <v>18648</v>
      </c>
      <c r="H3144" s="1">
        <v>39965</v>
      </c>
      <c r="I3144" t="str">
        <f>"41"</f>
        <v>41</v>
      </c>
      <c r="J3144" t="s">
        <v>24</v>
      </c>
      <c r="K3144" t="s">
        <v>25</v>
      </c>
      <c r="L3144" t="s">
        <v>26</v>
      </c>
      <c r="M3144" t="s">
        <v>27</v>
      </c>
      <c r="N3144" s="1">
        <v>18629</v>
      </c>
      <c r="O3144">
        <v>0</v>
      </c>
      <c r="P3144">
        <v>0</v>
      </c>
      <c r="Q3144" t="s">
        <v>37</v>
      </c>
      <c r="R3144" t="s">
        <v>38</v>
      </c>
      <c r="S3144" t="s">
        <v>1194</v>
      </c>
      <c r="T3144" t="s">
        <v>1195</v>
      </c>
    </row>
    <row r="3145" spans="1:20" x14ac:dyDescent="0.25">
      <c r="A3145" t="s">
        <v>7726</v>
      </c>
      <c r="B3145" t="str">
        <f>"1346"</f>
        <v>1346</v>
      </c>
      <c r="C3145" t="str">
        <f>"523411346"</f>
        <v>523411346</v>
      </c>
      <c r="D3145" t="s">
        <v>7116</v>
      </c>
      <c r="E3145" t="s">
        <v>304</v>
      </c>
      <c r="G3145" s="1">
        <v>25551</v>
      </c>
      <c r="H3145" s="1">
        <v>39965</v>
      </c>
      <c r="I3145" t="str">
        <f>"03"</f>
        <v>03</v>
      </c>
      <c r="J3145" t="s">
        <v>70</v>
      </c>
      <c r="K3145" t="s">
        <v>510</v>
      </c>
      <c r="L3145" t="s">
        <v>37</v>
      </c>
      <c r="M3145" t="s">
        <v>99</v>
      </c>
      <c r="N3145" s="1">
        <v>41617</v>
      </c>
      <c r="O3145">
        <v>19521.84</v>
      </c>
      <c r="P3145">
        <v>4880.46</v>
      </c>
      <c r="Q3145" t="s">
        <v>28</v>
      </c>
      <c r="R3145" t="s">
        <v>38</v>
      </c>
      <c r="S3145" t="s">
        <v>7727</v>
      </c>
      <c r="T3145" t="s">
        <v>7728</v>
      </c>
    </row>
    <row r="3146" spans="1:20" x14ac:dyDescent="0.25">
      <c r="A3146" t="s">
        <v>7729</v>
      </c>
      <c r="B3146" t="str">
        <f>"7795"</f>
        <v>7795</v>
      </c>
      <c r="C3146" t="str">
        <f>"281867795"</f>
        <v>281867795</v>
      </c>
      <c r="D3146" t="s">
        <v>6349</v>
      </c>
      <c r="E3146" t="s">
        <v>704</v>
      </c>
      <c r="F3146" t="s">
        <v>35</v>
      </c>
      <c r="G3146" s="1">
        <v>28865</v>
      </c>
      <c r="H3146" s="1">
        <v>39965</v>
      </c>
      <c r="I3146" t="str">
        <f>"01"</f>
        <v>01</v>
      </c>
      <c r="J3146" t="s">
        <v>116</v>
      </c>
      <c r="K3146" t="s">
        <v>98</v>
      </c>
      <c r="L3146" t="s">
        <v>37</v>
      </c>
      <c r="M3146" t="s">
        <v>117</v>
      </c>
      <c r="N3146" s="1">
        <v>41617</v>
      </c>
      <c r="O3146">
        <v>4951.96</v>
      </c>
      <c r="P3146">
        <v>1237.8599999999999</v>
      </c>
      <c r="Q3146" t="s">
        <v>28</v>
      </c>
      <c r="R3146" t="s">
        <v>29</v>
      </c>
      <c r="S3146" t="s">
        <v>691</v>
      </c>
      <c r="T3146" t="s">
        <v>692</v>
      </c>
    </row>
    <row r="3147" spans="1:20" x14ac:dyDescent="0.25">
      <c r="A3147" t="s">
        <v>7730</v>
      </c>
      <c r="B3147" t="str">
        <f>"2361"</f>
        <v>2361</v>
      </c>
      <c r="C3147" t="str">
        <f>"297502361"</f>
        <v>297502361</v>
      </c>
      <c r="D3147" t="s">
        <v>7731</v>
      </c>
      <c r="E3147" t="s">
        <v>7732</v>
      </c>
      <c r="F3147" t="s">
        <v>93</v>
      </c>
      <c r="G3147" s="1">
        <v>23414</v>
      </c>
      <c r="H3147" s="1">
        <v>39959</v>
      </c>
      <c r="I3147" t="str">
        <f t="shared" ref="I3147:I3155" si="66">"51"</f>
        <v>51</v>
      </c>
      <c r="J3147" t="s">
        <v>471</v>
      </c>
      <c r="K3147" t="s">
        <v>25</v>
      </c>
      <c r="L3147" t="s">
        <v>26</v>
      </c>
      <c r="M3147" t="s">
        <v>27</v>
      </c>
      <c r="N3147" s="1">
        <v>18629</v>
      </c>
      <c r="O3147">
        <v>0</v>
      </c>
      <c r="P3147">
        <v>0</v>
      </c>
      <c r="Q3147" t="s">
        <v>37</v>
      </c>
      <c r="R3147" t="s">
        <v>71</v>
      </c>
      <c r="S3147" t="s">
        <v>1517</v>
      </c>
      <c r="T3147" t="s">
        <v>1518</v>
      </c>
    </row>
    <row r="3148" spans="1:20" x14ac:dyDescent="0.25">
      <c r="A3148" t="s">
        <v>7733</v>
      </c>
      <c r="B3148" t="str">
        <f>"3269"</f>
        <v>3269</v>
      </c>
      <c r="C3148" t="str">
        <f>"545933269"</f>
        <v>545933269</v>
      </c>
      <c r="D3148" t="s">
        <v>7734</v>
      </c>
      <c r="E3148" t="s">
        <v>1600</v>
      </c>
      <c r="F3148" t="s">
        <v>219</v>
      </c>
      <c r="G3148" s="1">
        <v>25123</v>
      </c>
      <c r="H3148" s="1">
        <v>39959</v>
      </c>
      <c r="I3148" t="str">
        <f t="shared" si="66"/>
        <v>51</v>
      </c>
      <c r="J3148" t="s">
        <v>471</v>
      </c>
      <c r="K3148" t="s">
        <v>25</v>
      </c>
      <c r="L3148" t="s">
        <v>26</v>
      </c>
      <c r="M3148" t="s">
        <v>27</v>
      </c>
      <c r="N3148" s="1">
        <v>18629</v>
      </c>
      <c r="O3148">
        <v>0</v>
      </c>
      <c r="P3148">
        <v>0</v>
      </c>
      <c r="Q3148" t="s">
        <v>37</v>
      </c>
      <c r="R3148" t="s">
        <v>71</v>
      </c>
      <c r="S3148" t="s">
        <v>2190</v>
      </c>
      <c r="T3148" t="s">
        <v>2191</v>
      </c>
    </row>
    <row r="3149" spans="1:20" x14ac:dyDescent="0.25">
      <c r="A3149" t="s">
        <v>7735</v>
      </c>
      <c r="B3149" t="str">
        <f>"0710"</f>
        <v>0710</v>
      </c>
      <c r="C3149" t="str">
        <f>"285360710"</f>
        <v>285360710</v>
      </c>
      <c r="D3149" t="s">
        <v>7736</v>
      </c>
      <c r="E3149" t="s">
        <v>7737</v>
      </c>
      <c r="F3149" t="s">
        <v>93</v>
      </c>
      <c r="G3149" s="1">
        <v>14842</v>
      </c>
      <c r="H3149" s="1">
        <v>39959</v>
      </c>
      <c r="I3149" t="str">
        <f t="shared" si="66"/>
        <v>51</v>
      </c>
      <c r="J3149" t="s">
        <v>471</v>
      </c>
      <c r="K3149" t="s">
        <v>25</v>
      </c>
      <c r="L3149" t="s">
        <v>26</v>
      </c>
      <c r="M3149" t="s">
        <v>27</v>
      </c>
      <c r="N3149" s="1">
        <v>18629</v>
      </c>
      <c r="O3149">
        <v>0</v>
      </c>
      <c r="P3149">
        <v>0</v>
      </c>
      <c r="Q3149" t="s">
        <v>28</v>
      </c>
      <c r="R3149" t="s">
        <v>71</v>
      </c>
      <c r="S3149" t="s">
        <v>5022</v>
      </c>
      <c r="T3149" t="s">
        <v>5023</v>
      </c>
    </row>
    <row r="3150" spans="1:20" x14ac:dyDescent="0.25">
      <c r="A3150" t="s">
        <v>7738</v>
      </c>
      <c r="B3150" t="str">
        <f>"4452"</f>
        <v>4452</v>
      </c>
      <c r="C3150" t="str">
        <f>"268154452"</f>
        <v>268154452</v>
      </c>
      <c r="D3150" t="s">
        <v>7739</v>
      </c>
      <c r="E3150" t="s">
        <v>4634</v>
      </c>
      <c r="G3150" s="1">
        <v>28464</v>
      </c>
      <c r="H3150" s="1">
        <v>39959</v>
      </c>
      <c r="I3150" t="str">
        <f t="shared" si="66"/>
        <v>51</v>
      </c>
      <c r="J3150" t="s">
        <v>471</v>
      </c>
      <c r="K3150" t="s">
        <v>25</v>
      </c>
      <c r="L3150" t="s">
        <v>26</v>
      </c>
      <c r="M3150" t="s">
        <v>27</v>
      </c>
      <c r="N3150" s="1">
        <v>18629</v>
      </c>
      <c r="O3150">
        <v>0</v>
      </c>
      <c r="P3150">
        <v>0</v>
      </c>
      <c r="Q3150" t="s">
        <v>37</v>
      </c>
      <c r="R3150" t="s">
        <v>71</v>
      </c>
      <c r="S3150" t="s">
        <v>770</v>
      </c>
      <c r="T3150" t="s">
        <v>771</v>
      </c>
    </row>
    <row r="3151" spans="1:20" x14ac:dyDescent="0.25">
      <c r="A3151" t="s">
        <v>7740</v>
      </c>
      <c r="B3151" t="str">
        <f>"9662"</f>
        <v>9662</v>
      </c>
      <c r="C3151" t="str">
        <f>"292669662"</f>
        <v>292669662</v>
      </c>
      <c r="D3151" t="s">
        <v>7741</v>
      </c>
      <c r="E3151" t="s">
        <v>430</v>
      </c>
      <c r="F3151" t="s">
        <v>28</v>
      </c>
      <c r="G3151" s="1">
        <v>24310</v>
      </c>
      <c r="H3151" s="1">
        <v>39959</v>
      </c>
      <c r="I3151" t="str">
        <f t="shared" si="66"/>
        <v>51</v>
      </c>
      <c r="J3151" t="s">
        <v>471</v>
      </c>
      <c r="K3151" t="s">
        <v>25</v>
      </c>
      <c r="L3151" t="s">
        <v>26</v>
      </c>
      <c r="M3151" t="s">
        <v>27</v>
      </c>
      <c r="N3151" s="1">
        <v>18629</v>
      </c>
      <c r="O3151">
        <v>0</v>
      </c>
      <c r="P3151">
        <v>0</v>
      </c>
      <c r="Q3151" t="s">
        <v>28</v>
      </c>
      <c r="R3151" t="s">
        <v>71</v>
      </c>
      <c r="S3151" t="s">
        <v>2297</v>
      </c>
      <c r="T3151" t="s">
        <v>2298</v>
      </c>
    </row>
    <row r="3152" spans="1:20" x14ac:dyDescent="0.25">
      <c r="A3152" t="s">
        <v>7742</v>
      </c>
      <c r="B3152" t="str">
        <f>"9413"</f>
        <v>9413</v>
      </c>
      <c r="C3152" t="str">
        <f>"298749413"</f>
        <v>298749413</v>
      </c>
      <c r="D3152" t="s">
        <v>7743</v>
      </c>
      <c r="E3152" t="s">
        <v>905</v>
      </c>
      <c r="F3152" t="s">
        <v>93</v>
      </c>
      <c r="G3152" s="1">
        <v>25679</v>
      </c>
      <c r="H3152" s="1">
        <v>39959</v>
      </c>
      <c r="I3152" t="str">
        <f t="shared" si="66"/>
        <v>51</v>
      </c>
      <c r="J3152" t="s">
        <v>471</v>
      </c>
      <c r="K3152" t="s">
        <v>25</v>
      </c>
      <c r="L3152" t="s">
        <v>26</v>
      </c>
      <c r="M3152" t="s">
        <v>27</v>
      </c>
      <c r="N3152" s="1">
        <v>18629</v>
      </c>
      <c r="O3152">
        <v>0</v>
      </c>
      <c r="P3152">
        <v>0</v>
      </c>
      <c r="Q3152" t="s">
        <v>37</v>
      </c>
      <c r="R3152" t="s">
        <v>51</v>
      </c>
      <c r="S3152" s="2" t="s">
        <v>5804</v>
      </c>
      <c r="T3152" t="s">
        <v>5805</v>
      </c>
    </row>
    <row r="3153" spans="1:20" x14ac:dyDescent="0.25">
      <c r="A3153" t="s">
        <v>7744</v>
      </c>
      <c r="B3153" t="str">
        <f>"2483"</f>
        <v>2483</v>
      </c>
      <c r="C3153" t="str">
        <f>"285062483"</f>
        <v>285062483</v>
      </c>
      <c r="D3153" t="s">
        <v>7745</v>
      </c>
      <c r="E3153" t="s">
        <v>128</v>
      </c>
      <c r="F3153" t="s">
        <v>438</v>
      </c>
      <c r="G3153" s="1">
        <v>24272</v>
      </c>
      <c r="H3153" s="1">
        <v>39959</v>
      </c>
      <c r="I3153" t="str">
        <f t="shared" si="66"/>
        <v>51</v>
      </c>
      <c r="J3153" t="s">
        <v>471</v>
      </c>
      <c r="K3153" t="s">
        <v>25</v>
      </c>
      <c r="L3153" t="s">
        <v>26</v>
      </c>
      <c r="M3153" t="s">
        <v>27</v>
      </c>
      <c r="N3153" s="1">
        <v>18629</v>
      </c>
      <c r="O3153">
        <v>0</v>
      </c>
      <c r="P3153">
        <v>0</v>
      </c>
      <c r="Q3153" t="s">
        <v>28</v>
      </c>
      <c r="R3153" t="s">
        <v>51</v>
      </c>
      <c r="S3153" s="2" t="s">
        <v>3136</v>
      </c>
      <c r="T3153" t="s">
        <v>3137</v>
      </c>
    </row>
    <row r="3154" spans="1:20" x14ac:dyDescent="0.25">
      <c r="A3154" t="s">
        <v>7746</v>
      </c>
      <c r="B3154" t="str">
        <f>"7396"</f>
        <v>7396</v>
      </c>
      <c r="C3154" t="str">
        <f>"273067396"</f>
        <v>273067396</v>
      </c>
      <c r="D3154" t="s">
        <v>7747</v>
      </c>
      <c r="E3154" t="s">
        <v>7748</v>
      </c>
      <c r="F3154" t="s">
        <v>556</v>
      </c>
      <c r="G3154" s="1">
        <v>27352</v>
      </c>
      <c r="H3154" s="1">
        <v>39959</v>
      </c>
      <c r="I3154" t="str">
        <f t="shared" si="66"/>
        <v>51</v>
      </c>
      <c r="J3154" t="s">
        <v>471</v>
      </c>
      <c r="K3154" t="s">
        <v>25</v>
      </c>
      <c r="L3154" t="s">
        <v>26</v>
      </c>
      <c r="M3154" t="s">
        <v>27</v>
      </c>
      <c r="N3154" s="1">
        <v>18629</v>
      </c>
      <c r="O3154">
        <v>0</v>
      </c>
      <c r="P3154">
        <v>0</v>
      </c>
      <c r="Q3154" t="s">
        <v>37</v>
      </c>
      <c r="R3154" t="s">
        <v>29</v>
      </c>
      <c r="S3154" t="s">
        <v>147</v>
      </c>
      <c r="T3154" t="s">
        <v>148</v>
      </c>
    </row>
    <row r="3155" spans="1:20" x14ac:dyDescent="0.25">
      <c r="A3155" t="s">
        <v>7749</v>
      </c>
      <c r="B3155" t="str">
        <f>"6897"</f>
        <v>6897</v>
      </c>
      <c r="C3155" t="str">
        <f>"281786897"</f>
        <v>281786897</v>
      </c>
      <c r="D3155" t="s">
        <v>7750</v>
      </c>
      <c r="E3155" t="s">
        <v>7751</v>
      </c>
      <c r="F3155" t="s">
        <v>219</v>
      </c>
      <c r="G3155" s="1">
        <v>20035</v>
      </c>
      <c r="H3155" s="1">
        <v>39959</v>
      </c>
      <c r="I3155" t="str">
        <f t="shared" si="66"/>
        <v>51</v>
      </c>
      <c r="J3155" t="s">
        <v>471</v>
      </c>
      <c r="K3155" t="s">
        <v>25</v>
      </c>
      <c r="L3155" t="s">
        <v>26</v>
      </c>
      <c r="M3155" t="s">
        <v>27</v>
      </c>
      <c r="N3155" s="1">
        <v>18629</v>
      </c>
      <c r="O3155">
        <v>0</v>
      </c>
      <c r="P3155">
        <v>0</v>
      </c>
      <c r="Q3155" t="s">
        <v>37</v>
      </c>
      <c r="R3155" t="s">
        <v>51</v>
      </c>
      <c r="S3155" s="2" t="s">
        <v>2693</v>
      </c>
      <c r="T3155" t="s">
        <v>2694</v>
      </c>
    </row>
    <row r="3156" spans="1:20" x14ac:dyDescent="0.25">
      <c r="A3156" t="s">
        <v>7752</v>
      </c>
      <c r="B3156" t="str">
        <f>"7739"</f>
        <v>7739</v>
      </c>
      <c r="C3156" t="str">
        <f>"275667739"</f>
        <v>275667739</v>
      </c>
      <c r="D3156" t="s">
        <v>7753</v>
      </c>
      <c r="E3156" t="s">
        <v>2950</v>
      </c>
      <c r="F3156" t="s">
        <v>174</v>
      </c>
      <c r="G3156" s="1">
        <v>23705</v>
      </c>
      <c r="H3156" s="1">
        <v>39959</v>
      </c>
      <c r="I3156" t="str">
        <f>"20"</f>
        <v>20</v>
      </c>
      <c r="J3156" t="s">
        <v>123</v>
      </c>
      <c r="L3156" t="s">
        <v>37</v>
      </c>
      <c r="M3156" t="s">
        <v>143</v>
      </c>
      <c r="N3156" s="1">
        <v>41631</v>
      </c>
      <c r="O3156">
        <v>185.9</v>
      </c>
      <c r="P3156">
        <v>-185.9</v>
      </c>
      <c r="Q3156" t="s">
        <v>37</v>
      </c>
      <c r="R3156" t="s">
        <v>51</v>
      </c>
      <c r="S3156" s="2" t="s">
        <v>2524</v>
      </c>
      <c r="T3156" t="s">
        <v>2525</v>
      </c>
    </row>
    <row r="3157" spans="1:20" x14ac:dyDescent="0.25">
      <c r="A3157" t="s">
        <v>7754</v>
      </c>
      <c r="B3157" t="str">
        <f>"5604"</f>
        <v>5604</v>
      </c>
      <c r="C3157" t="str">
        <f>"149025604"</f>
        <v>149025604</v>
      </c>
      <c r="D3157" t="s">
        <v>7755</v>
      </c>
      <c r="E3157" t="s">
        <v>2832</v>
      </c>
      <c r="F3157" t="s">
        <v>2869</v>
      </c>
      <c r="G3157" s="1">
        <v>23026</v>
      </c>
      <c r="H3157" s="1">
        <v>39959</v>
      </c>
      <c r="I3157" t="str">
        <f>"51"</f>
        <v>51</v>
      </c>
      <c r="J3157" t="s">
        <v>471</v>
      </c>
      <c r="K3157" t="s">
        <v>25</v>
      </c>
      <c r="L3157" t="s">
        <v>26</v>
      </c>
      <c r="M3157" t="s">
        <v>27</v>
      </c>
      <c r="N3157" s="1">
        <v>18629</v>
      </c>
      <c r="O3157">
        <v>0</v>
      </c>
      <c r="P3157">
        <v>0</v>
      </c>
      <c r="Q3157" t="s">
        <v>28</v>
      </c>
      <c r="R3157" t="s">
        <v>71</v>
      </c>
      <c r="S3157" s="2" t="s">
        <v>774</v>
      </c>
      <c r="T3157" t="s">
        <v>775</v>
      </c>
    </row>
    <row r="3158" spans="1:20" x14ac:dyDescent="0.25">
      <c r="A3158" t="s">
        <v>7756</v>
      </c>
      <c r="B3158" t="str">
        <f>"5781"</f>
        <v>5781</v>
      </c>
      <c r="C3158" t="str">
        <f>"055725781"</f>
        <v>055725781</v>
      </c>
      <c r="D3158" t="s">
        <v>114</v>
      </c>
      <c r="E3158" t="s">
        <v>870</v>
      </c>
      <c r="G3158" s="1">
        <v>31784</v>
      </c>
      <c r="H3158" s="1">
        <v>39959</v>
      </c>
      <c r="I3158" t="str">
        <f>"12"</f>
        <v>12</v>
      </c>
      <c r="J3158" t="s">
        <v>245</v>
      </c>
      <c r="K3158" t="s">
        <v>98</v>
      </c>
      <c r="L3158" t="s">
        <v>37</v>
      </c>
      <c r="M3158" t="s">
        <v>117</v>
      </c>
      <c r="N3158" s="1">
        <v>41617</v>
      </c>
      <c r="O3158">
        <v>4951.96</v>
      </c>
      <c r="P3158">
        <v>1237.8599999999999</v>
      </c>
      <c r="Q3158" t="s">
        <v>37</v>
      </c>
      <c r="R3158" t="s">
        <v>29</v>
      </c>
      <c r="S3158" t="s">
        <v>1887</v>
      </c>
      <c r="T3158" t="s">
        <v>1888</v>
      </c>
    </row>
    <row r="3159" spans="1:20" x14ac:dyDescent="0.25">
      <c r="A3159" t="s">
        <v>7757</v>
      </c>
      <c r="B3159" t="str">
        <f>"2472"</f>
        <v>2472</v>
      </c>
      <c r="C3159" t="str">
        <f>"269562472"</f>
        <v>269562472</v>
      </c>
      <c r="D3159" t="s">
        <v>7758</v>
      </c>
      <c r="E3159" t="s">
        <v>3382</v>
      </c>
      <c r="G3159" s="1">
        <v>20352</v>
      </c>
      <c r="H3159" s="1">
        <v>39959</v>
      </c>
      <c r="I3159" t="str">
        <f>"52"</f>
        <v>52</v>
      </c>
      <c r="J3159" t="s">
        <v>330</v>
      </c>
      <c r="K3159" t="s">
        <v>25</v>
      </c>
      <c r="L3159" t="s">
        <v>26</v>
      </c>
      <c r="M3159" t="s">
        <v>27</v>
      </c>
      <c r="N3159" s="1">
        <v>18629</v>
      </c>
      <c r="O3159">
        <v>0</v>
      </c>
      <c r="P3159">
        <v>0</v>
      </c>
      <c r="Q3159" t="s">
        <v>28</v>
      </c>
      <c r="R3159" t="s">
        <v>71</v>
      </c>
      <c r="S3159" t="s">
        <v>1774</v>
      </c>
      <c r="T3159" t="s">
        <v>1775</v>
      </c>
    </row>
    <row r="3160" spans="1:20" x14ac:dyDescent="0.25">
      <c r="A3160" t="s">
        <v>7759</v>
      </c>
      <c r="B3160" t="str">
        <f>"8780"</f>
        <v>8780</v>
      </c>
      <c r="C3160" t="str">
        <f>"274668780"</f>
        <v>274668780</v>
      </c>
      <c r="D3160" t="s">
        <v>7760</v>
      </c>
      <c r="E3160" t="s">
        <v>7170</v>
      </c>
      <c r="F3160" t="s">
        <v>165</v>
      </c>
      <c r="G3160" s="1">
        <v>21622</v>
      </c>
      <c r="H3160" s="1">
        <v>39952</v>
      </c>
      <c r="I3160" t="str">
        <f>"51"</f>
        <v>51</v>
      </c>
      <c r="J3160" t="s">
        <v>471</v>
      </c>
      <c r="K3160" t="s">
        <v>25</v>
      </c>
      <c r="L3160" t="s">
        <v>26</v>
      </c>
      <c r="M3160" t="s">
        <v>27</v>
      </c>
      <c r="N3160" s="1">
        <v>18629</v>
      </c>
      <c r="O3160">
        <v>0</v>
      </c>
      <c r="P3160">
        <v>0</v>
      </c>
      <c r="Q3160" t="s">
        <v>28</v>
      </c>
      <c r="R3160" t="s">
        <v>258</v>
      </c>
      <c r="S3160" t="s">
        <v>472</v>
      </c>
      <c r="T3160" t="s">
        <v>473</v>
      </c>
    </row>
    <row r="3161" spans="1:20" x14ac:dyDescent="0.25">
      <c r="A3161" t="s">
        <v>7761</v>
      </c>
      <c r="B3161" t="str">
        <f>"4345"</f>
        <v>4345</v>
      </c>
      <c r="C3161" t="str">
        <f>"297644345"</f>
        <v>297644345</v>
      </c>
      <c r="D3161" t="s">
        <v>7762</v>
      </c>
      <c r="E3161" t="s">
        <v>6795</v>
      </c>
      <c r="G3161" s="1">
        <v>26007</v>
      </c>
      <c r="H3161" s="1">
        <v>39951</v>
      </c>
      <c r="I3161" t="str">
        <f>"03"</f>
        <v>03</v>
      </c>
      <c r="J3161" t="s">
        <v>70</v>
      </c>
      <c r="K3161" t="s">
        <v>98</v>
      </c>
      <c r="L3161" t="s">
        <v>37</v>
      </c>
      <c r="M3161" t="s">
        <v>99</v>
      </c>
      <c r="N3161" s="1">
        <v>41617</v>
      </c>
      <c r="O3161">
        <v>14801.8</v>
      </c>
      <c r="P3161">
        <v>3700.32</v>
      </c>
      <c r="Q3161" t="s">
        <v>37</v>
      </c>
      <c r="R3161" t="s">
        <v>346</v>
      </c>
      <c r="S3161" t="s">
        <v>918</v>
      </c>
      <c r="T3161" t="s">
        <v>919</v>
      </c>
    </row>
    <row r="3162" spans="1:20" x14ac:dyDescent="0.25">
      <c r="A3162" t="s">
        <v>7763</v>
      </c>
      <c r="B3162" t="str">
        <f>"5349"</f>
        <v>5349</v>
      </c>
      <c r="C3162" t="str">
        <f>"268665349"</f>
        <v>268665349</v>
      </c>
      <c r="D3162" t="s">
        <v>1156</v>
      </c>
      <c r="E3162" t="s">
        <v>2483</v>
      </c>
      <c r="F3162" t="s">
        <v>264</v>
      </c>
      <c r="G3162" s="1">
        <v>21718</v>
      </c>
      <c r="H3162" s="1">
        <v>39951</v>
      </c>
      <c r="I3162" t="str">
        <f>"01"</f>
        <v>01</v>
      </c>
      <c r="J3162" t="s">
        <v>116</v>
      </c>
      <c r="K3162" t="s">
        <v>98</v>
      </c>
      <c r="L3162" t="s">
        <v>37</v>
      </c>
      <c r="M3162" t="s">
        <v>257</v>
      </c>
      <c r="N3162" s="1">
        <v>41617</v>
      </c>
      <c r="O3162">
        <v>10753.08</v>
      </c>
      <c r="P3162">
        <v>2688.4</v>
      </c>
      <c r="Q3162" t="s">
        <v>37</v>
      </c>
      <c r="R3162" t="s">
        <v>110</v>
      </c>
      <c r="S3162" t="s">
        <v>482</v>
      </c>
      <c r="T3162" t="s">
        <v>483</v>
      </c>
    </row>
    <row r="3163" spans="1:20" x14ac:dyDescent="0.25">
      <c r="A3163" t="s">
        <v>7764</v>
      </c>
      <c r="B3163" t="str">
        <f>"5691"</f>
        <v>5691</v>
      </c>
      <c r="C3163" t="str">
        <f>"283605691"</f>
        <v>283605691</v>
      </c>
      <c r="D3163" t="s">
        <v>7765</v>
      </c>
      <c r="E3163" t="s">
        <v>430</v>
      </c>
      <c r="F3163" t="s">
        <v>165</v>
      </c>
      <c r="G3163" s="1">
        <v>20772</v>
      </c>
      <c r="H3163" s="1">
        <v>39951</v>
      </c>
      <c r="I3163" t="str">
        <f>"01"</f>
        <v>01</v>
      </c>
      <c r="J3163" t="s">
        <v>116</v>
      </c>
      <c r="K3163" t="s">
        <v>98</v>
      </c>
      <c r="L3163" t="s">
        <v>37</v>
      </c>
      <c r="M3163" t="s">
        <v>117</v>
      </c>
      <c r="N3163" s="1">
        <v>41617</v>
      </c>
      <c r="O3163">
        <v>4951.96</v>
      </c>
      <c r="P3163">
        <v>1237.8599999999999</v>
      </c>
      <c r="Q3163" t="s">
        <v>28</v>
      </c>
      <c r="R3163" t="s">
        <v>71</v>
      </c>
      <c r="S3163" t="s">
        <v>271</v>
      </c>
      <c r="T3163" t="s">
        <v>272</v>
      </c>
    </row>
    <row r="3164" spans="1:20" x14ac:dyDescent="0.25">
      <c r="A3164" t="s">
        <v>7766</v>
      </c>
      <c r="B3164" t="str">
        <f>"7362"</f>
        <v>7362</v>
      </c>
      <c r="C3164" t="str">
        <f>"277527362"</f>
        <v>277527362</v>
      </c>
      <c r="D3164" t="s">
        <v>1041</v>
      </c>
      <c r="E3164" t="s">
        <v>1695</v>
      </c>
      <c r="F3164" t="s">
        <v>93</v>
      </c>
      <c r="G3164" s="1">
        <v>20250</v>
      </c>
      <c r="H3164" s="1">
        <v>39951</v>
      </c>
      <c r="I3164" t="str">
        <f>"12"</f>
        <v>12</v>
      </c>
      <c r="J3164" t="s">
        <v>245</v>
      </c>
      <c r="K3164" t="s">
        <v>98</v>
      </c>
      <c r="L3164" t="s">
        <v>37</v>
      </c>
      <c r="M3164" t="s">
        <v>99</v>
      </c>
      <c r="N3164" s="1">
        <v>41617</v>
      </c>
      <c r="O3164">
        <v>14801.8</v>
      </c>
      <c r="P3164">
        <v>3700.32</v>
      </c>
      <c r="Q3164" t="s">
        <v>37</v>
      </c>
      <c r="R3164" t="s">
        <v>71</v>
      </c>
      <c r="S3164" t="s">
        <v>2667</v>
      </c>
      <c r="T3164" t="s">
        <v>2668</v>
      </c>
    </row>
    <row r="3165" spans="1:20" x14ac:dyDescent="0.25">
      <c r="A3165" t="s">
        <v>7767</v>
      </c>
      <c r="B3165" t="str">
        <f>"0982"</f>
        <v>0982</v>
      </c>
      <c r="C3165" t="str">
        <f>"286560982"</f>
        <v>286560982</v>
      </c>
      <c r="D3165" t="s">
        <v>7768</v>
      </c>
      <c r="E3165" t="s">
        <v>1546</v>
      </c>
      <c r="G3165" s="1">
        <v>19790</v>
      </c>
      <c r="H3165" s="1">
        <v>39951</v>
      </c>
      <c r="I3165" t="str">
        <f>"12"</f>
        <v>12</v>
      </c>
      <c r="J3165" t="s">
        <v>245</v>
      </c>
      <c r="L3165" t="s">
        <v>37</v>
      </c>
      <c r="M3165" t="s">
        <v>143</v>
      </c>
      <c r="N3165" s="1">
        <v>41617</v>
      </c>
      <c r="O3165">
        <v>185.9</v>
      </c>
      <c r="P3165">
        <v>-185.9</v>
      </c>
      <c r="Q3165" t="s">
        <v>37</v>
      </c>
      <c r="R3165" t="s">
        <v>51</v>
      </c>
      <c r="S3165" s="2" t="s">
        <v>2766</v>
      </c>
      <c r="T3165" t="s">
        <v>2767</v>
      </c>
    </row>
    <row r="3166" spans="1:20" x14ac:dyDescent="0.25">
      <c r="A3166" t="s">
        <v>7769</v>
      </c>
      <c r="B3166" t="str">
        <f>"9866"</f>
        <v>9866</v>
      </c>
      <c r="C3166" t="str">
        <f>"277749866"</f>
        <v>277749866</v>
      </c>
      <c r="D3166" t="s">
        <v>7770</v>
      </c>
      <c r="E3166" t="s">
        <v>48</v>
      </c>
      <c r="F3166" t="s">
        <v>5245</v>
      </c>
      <c r="G3166" s="1">
        <v>22888</v>
      </c>
      <c r="H3166" s="1">
        <v>39951</v>
      </c>
      <c r="I3166" t="str">
        <f>"12"</f>
        <v>12</v>
      </c>
      <c r="J3166" t="s">
        <v>245</v>
      </c>
      <c r="K3166" t="s">
        <v>98</v>
      </c>
      <c r="L3166" t="s">
        <v>37</v>
      </c>
      <c r="M3166" t="s">
        <v>117</v>
      </c>
      <c r="N3166" s="1">
        <v>41617</v>
      </c>
      <c r="O3166">
        <v>4951.96</v>
      </c>
      <c r="P3166">
        <v>1237.8599999999999</v>
      </c>
      <c r="Q3166" t="s">
        <v>37</v>
      </c>
      <c r="R3166" t="s">
        <v>38</v>
      </c>
      <c r="S3166" t="s">
        <v>1051</v>
      </c>
      <c r="T3166" t="s">
        <v>1052</v>
      </c>
    </row>
    <row r="3167" spans="1:20" x14ac:dyDescent="0.25">
      <c r="A3167" t="s">
        <v>7771</v>
      </c>
      <c r="B3167" t="str">
        <f>"7491"</f>
        <v>7491</v>
      </c>
      <c r="C3167" t="str">
        <f>"211387491"</f>
        <v>211387491</v>
      </c>
      <c r="D3167" t="s">
        <v>724</v>
      </c>
      <c r="E3167" t="s">
        <v>7721</v>
      </c>
      <c r="G3167" s="1">
        <v>19625</v>
      </c>
      <c r="H3167" s="1">
        <v>39949</v>
      </c>
      <c r="I3167" t="str">
        <f>"50"</f>
        <v>50</v>
      </c>
      <c r="J3167" t="s">
        <v>208</v>
      </c>
      <c r="K3167" t="s">
        <v>25</v>
      </c>
      <c r="L3167" t="s">
        <v>26</v>
      </c>
      <c r="M3167" t="s">
        <v>27</v>
      </c>
      <c r="N3167" s="1">
        <v>18629</v>
      </c>
      <c r="O3167">
        <v>0</v>
      </c>
      <c r="P3167">
        <v>0</v>
      </c>
      <c r="Q3167" t="s">
        <v>37</v>
      </c>
      <c r="R3167" t="s">
        <v>312</v>
      </c>
      <c r="S3167" s="2" t="s">
        <v>1148</v>
      </c>
      <c r="T3167" t="s">
        <v>1149</v>
      </c>
    </row>
    <row r="3168" spans="1:20" x14ac:dyDescent="0.25">
      <c r="A3168" t="s">
        <v>7772</v>
      </c>
      <c r="B3168" t="str">
        <f>"2827"</f>
        <v>2827</v>
      </c>
      <c r="C3168" t="str">
        <f>"275762827"</f>
        <v>275762827</v>
      </c>
      <c r="D3168" t="s">
        <v>1045</v>
      </c>
      <c r="E3168" t="s">
        <v>2060</v>
      </c>
      <c r="G3168" s="1">
        <v>29200</v>
      </c>
      <c r="H3168" s="1">
        <v>39944</v>
      </c>
      <c r="I3168" t="str">
        <f>"51"</f>
        <v>51</v>
      </c>
      <c r="J3168" t="s">
        <v>471</v>
      </c>
      <c r="K3168" t="s">
        <v>25</v>
      </c>
      <c r="L3168" t="s">
        <v>26</v>
      </c>
      <c r="M3168" t="s">
        <v>27</v>
      </c>
      <c r="N3168" s="1">
        <v>18629</v>
      </c>
      <c r="O3168">
        <v>0</v>
      </c>
      <c r="P3168">
        <v>0</v>
      </c>
      <c r="Q3168" t="s">
        <v>28</v>
      </c>
      <c r="R3168" t="s">
        <v>29</v>
      </c>
      <c r="S3168" t="s">
        <v>1605</v>
      </c>
      <c r="T3168" t="s">
        <v>1606</v>
      </c>
    </row>
    <row r="3169" spans="1:20" x14ac:dyDescent="0.25">
      <c r="A3169" t="s">
        <v>7773</v>
      </c>
      <c r="B3169" t="str">
        <f>"4596"</f>
        <v>4596</v>
      </c>
      <c r="C3169" t="str">
        <f>"276684596"</f>
        <v>276684596</v>
      </c>
      <c r="D3169" t="s">
        <v>4602</v>
      </c>
      <c r="E3169" t="s">
        <v>7774</v>
      </c>
      <c r="F3169" t="s">
        <v>1970</v>
      </c>
      <c r="G3169" s="1">
        <v>21629</v>
      </c>
      <c r="H3169" s="1">
        <v>39944</v>
      </c>
      <c r="I3169" t="str">
        <f>"51"</f>
        <v>51</v>
      </c>
      <c r="J3169" t="s">
        <v>471</v>
      </c>
      <c r="K3169" t="s">
        <v>25</v>
      </c>
      <c r="L3169" t="s">
        <v>26</v>
      </c>
      <c r="M3169" t="s">
        <v>27</v>
      </c>
      <c r="N3169" s="1">
        <v>18629</v>
      </c>
      <c r="O3169">
        <v>0</v>
      </c>
      <c r="P3169">
        <v>0</v>
      </c>
      <c r="Q3169" t="s">
        <v>37</v>
      </c>
      <c r="R3169" t="s">
        <v>29</v>
      </c>
      <c r="S3169" t="s">
        <v>138</v>
      </c>
      <c r="T3169" t="s">
        <v>139</v>
      </c>
    </row>
    <row r="3170" spans="1:20" x14ac:dyDescent="0.25">
      <c r="A3170" t="s">
        <v>7775</v>
      </c>
      <c r="B3170" t="str">
        <f>"0418"</f>
        <v>0418</v>
      </c>
      <c r="C3170" t="str">
        <f>"294860418"</f>
        <v>294860418</v>
      </c>
      <c r="D3170" t="s">
        <v>2433</v>
      </c>
      <c r="E3170" t="s">
        <v>486</v>
      </c>
      <c r="F3170" t="s">
        <v>44</v>
      </c>
      <c r="G3170" s="1">
        <v>26026</v>
      </c>
      <c r="H3170" s="1">
        <v>39937</v>
      </c>
      <c r="I3170" t="str">
        <f>"12"</f>
        <v>12</v>
      </c>
      <c r="J3170" t="s">
        <v>245</v>
      </c>
      <c r="K3170" t="s">
        <v>98</v>
      </c>
      <c r="L3170" t="s">
        <v>37</v>
      </c>
      <c r="M3170" t="s">
        <v>117</v>
      </c>
      <c r="N3170" s="1">
        <v>41617</v>
      </c>
      <c r="O3170">
        <v>4951.96</v>
      </c>
      <c r="P3170">
        <v>1237.8599999999999</v>
      </c>
      <c r="Q3170" t="s">
        <v>37</v>
      </c>
      <c r="R3170" t="s">
        <v>29</v>
      </c>
      <c r="S3170" t="s">
        <v>419</v>
      </c>
      <c r="T3170" t="s">
        <v>420</v>
      </c>
    </row>
    <row r="3171" spans="1:20" x14ac:dyDescent="0.25">
      <c r="A3171" t="s">
        <v>7776</v>
      </c>
      <c r="B3171" t="str">
        <f>"8688"</f>
        <v>8688</v>
      </c>
      <c r="C3171" t="str">
        <f>"296948688"</f>
        <v>296948688</v>
      </c>
      <c r="D3171" t="s">
        <v>7777</v>
      </c>
      <c r="E3171" t="s">
        <v>7778</v>
      </c>
      <c r="F3171" t="s">
        <v>93</v>
      </c>
      <c r="G3171" s="1">
        <v>22909</v>
      </c>
      <c r="H3171" s="1">
        <v>39937</v>
      </c>
      <c r="I3171" t="str">
        <f>"03"</f>
        <v>03</v>
      </c>
      <c r="J3171" t="s">
        <v>70</v>
      </c>
      <c r="K3171" t="s">
        <v>98</v>
      </c>
      <c r="L3171" t="s">
        <v>37</v>
      </c>
      <c r="M3171" t="s">
        <v>99</v>
      </c>
      <c r="N3171" s="1">
        <v>41617</v>
      </c>
      <c r="O3171">
        <v>14801.8</v>
      </c>
      <c r="P3171">
        <v>3700.32</v>
      </c>
      <c r="Q3171" t="s">
        <v>37</v>
      </c>
      <c r="R3171" t="s">
        <v>38</v>
      </c>
      <c r="S3171" t="s">
        <v>2678</v>
      </c>
      <c r="T3171" t="s">
        <v>2679</v>
      </c>
    </row>
    <row r="3172" spans="1:20" x14ac:dyDescent="0.25">
      <c r="A3172" t="s">
        <v>7779</v>
      </c>
      <c r="B3172" t="str">
        <f>"5667"</f>
        <v>5667</v>
      </c>
      <c r="C3172" t="str">
        <f>"276665667"</f>
        <v>276665667</v>
      </c>
      <c r="D3172" t="s">
        <v>7780</v>
      </c>
      <c r="E3172" t="s">
        <v>1981</v>
      </c>
      <c r="G3172" s="1">
        <v>21830</v>
      </c>
      <c r="H3172" s="1">
        <v>39937</v>
      </c>
      <c r="I3172" t="str">
        <f>"05"</f>
        <v>05</v>
      </c>
      <c r="J3172" t="s">
        <v>58</v>
      </c>
      <c r="K3172" t="s">
        <v>98</v>
      </c>
      <c r="L3172" t="s">
        <v>37</v>
      </c>
      <c r="M3172" t="s">
        <v>117</v>
      </c>
      <c r="N3172" s="1">
        <v>41617</v>
      </c>
      <c r="O3172">
        <v>4951.96</v>
      </c>
      <c r="P3172">
        <v>1237.8599999999999</v>
      </c>
      <c r="Q3172" t="s">
        <v>37</v>
      </c>
      <c r="R3172" t="s">
        <v>312</v>
      </c>
      <c r="S3172" s="2" t="s">
        <v>52</v>
      </c>
      <c r="T3172" t="s">
        <v>53</v>
      </c>
    </row>
    <row r="3173" spans="1:20" x14ac:dyDescent="0.25">
      <c r="A3173" t="s">
        <v>7781</v>
      </c>
      <c r="B3173" t="str">
        <f>"6407"</f>
        <v>6407</v>
      </c>
      <c r="C3173" t="str">
        <f>"048726407"</f>
        <v>048726407</v>
      </c>
      <c r="D3173" t="s">
        <v>7782</v>
      </c>
      <c r="E3173" t="s">
        <v>146</v>
      </c>
      <c r="G3173" s="1">
        <v>25999</v>
      </c>
      <c r="H3173" s="1">
        <v>39923</v>
      </c>
      <c r="I3173" t="str">
        <f>"01"</f>
        <v>01</v>
      </c>
      <c r="J3173" t="s">
        <v>116</v>
      </c>
      <c r="K3173" t="s">
        <v>98</v>
      </c>
      <c r="L3173" t="s">
        <v>37</v>
      </c>
      <c r="M3173" t="s">
        <v>99</v>
      </c>
      <c r="N3173" s="1">
        <v>41617</v>
      </c>
      <c r="O3173">
        <v>14801.8</v>
      </c>
      <c r="P3173">
        <v>3700.32</v>
      </c>
      <c r="Q3173" t="s">
        <v>37</v>
      </c>
      <c r="R3173" t="s">
        <v>110</v>
      </c>
      <c r="S3173" t="s">
        <v>3017</v>
      </c>
      <c r="T3173" t="s">
        <v>3018</v>
      </c>
    </row>
    <row r="3174" spans="1:20" x14ac:dyDescent="0.25">
      <c r="A3174" t="s">
        <v>7783</v>
      </c>
      <c r="B3174" t="str">
        <f>"2347"</f>
        <v>2347</v>
      </c>
      <c r="C3174" t="str">
        <f>"138442347"</f>
        <v>138442347</v>
      </c>
      <c r="D3174" t="s">
        <v>7784</v>
      </c>
      <c r="E3174" t="s">
        <v>7785</v>
      </c>
      <c r="G3174" s="1">
        <v>18470</v>
      </c>
      <c r="H3174" s="1">
        <v>39918</v>
      </c>
      <c r="I3174" t="str">
        <f>"41"</f>
        <v>41</v>
      </c>
      <c r="J3174" t="s">
        <v>24</v>
      </c>
      <c r="K3174" t="s">
        <v>25</v>
      </c>
      <c r="L3174" t="s">
        <v>26</v>
      </c>
      <c r="M3174" t="s">
        <v>27</v>
      </c>
      <c r="N3174" s="1">
        <v>18629</v>
      </c>
      <c r="O3174">
        <v>0</v>
      </c>
      <c r="P3174">
        <v>0</v>
      </c>
      <c r="Q3174" t="s">
        <v>37</v>
      </c>
      <c r="R3174" t="s">
        <v>258</v>
      </c>
      <c r="S3174" t="s">
        <v>527</v>
      </c>
      <c r="T3174" t="s">
        <v>528</v>
      </c>
    </row>
    <row r="3175" spans="1:20" x14ac:dyDescent="0.25">
      <c r="A3175" t="s">
        <v>7786</v>
      </c>
      <c r="B3175" t="str">
        <f>"9167"</f>
        <v>9167</v>
      </c>
      <c r="C3175" t="str">
        <f>"286529167"</f>
        <v>286529167</v>
      </c>
      <c r="D3175" t="s">
        <v>7787</v>
      </c>
      <c r="E3175" t="s">
        <v>832</v>
      </c>
      <c r="F3175" t="s">
        <v>44</v>
      </c>
      <c r="G3175" s="1">
        <v>18906</v>
      </c>
      <c r="H3175" s="1">
        <v>39909</v>
      </c>
      <c r="I3175" t="str">
        <f>"41"</f>
        <v>41</v>
      </c>
      <c r="J3175" t="s">
        <v>24</v>
      </c>
      <c r="K3175" t="s">
        <v>25</v>
      </c>
      <c r="L3175" t="s">
        <v>26</v>
      </c>
      <c r="M3175" t="s">
        <v>27</v>
      </c>
      <c r="N3175" s="1">
        <v>18629</v>
      </c>
      <c r="O3175">
        <v>0</v>
      </c>
      <c r="P3175">
        <v>0</v>
      </c>
      <c r="Q3175" t="s">
        <v>28</v>
      </c>
      <c r="R3175" t="s">
        <v>258</v>
      </c>
      <c r="S3175" t="s">
        <v>557</v>
      </c>
      <c r="T3175" t="s">
        <v>558</v>
      </c>
    </row>
    <row r="3176" spans="1:20" x14ac:dyDescent="0.25">
      <c r="A3176" t="s">
        <v>7788</v>
      </c>
      <c r="B3176" t="str">
        <f>"6738"</f>
        <v>6738</v>
      </c>
      <c r="C3176" t="str">
        <f>"269666738"</f>
        <v>269666738</v>
      </c>
      <c r="D3176" t="s">
        <v>7660</v>
      </c>
      <c r="E3176" t="s">
        <v>7789</v>
      </c>
      <c r="F3176" t="s">
        <v>26</v>
      </c>
      <c r="G3176" s="1">
        <v>22424</v>
      </c>
      <c r="H3176" s="1">
        <v>39909</v>
      </c>
      <c r="I3176" t="str">
        <f>"41"</f>
        <v>41</v>
      </c>
      <c r="J3176" t="s">
        <v>24</v>
      </c>
      <c r="K3176" t="s">
        <v>25</v>
      </c>
      <c r="L3176" t="s">
        <v>26</v>
      </c>
      <c r="M3176" t="s">
        <v>27</v>
      </c>
      <c r="N3176" s="1">
        <v>18629</v>
      </c>
      <c r="O3176">
        <v>0</v>
      </c>
      <c r="P3176">
        <v>0</v>
      </c>
      <c r="Q3176" t="s">
        <v>37</v>
      </c>
      <c r="R3176" t="s">
        <v>258</v>
      </c>
      <c r="S3176" t="s">
        <v>527</v>
      </c>
      <c r="T3176" t="s">
        <v>528</v>
      </c>
    </row>
    <row r="3177" spans="1:20" x14ac:dyDescent="0.25">
      <c r="A3177" t="s">
        <v>7790</v>
      </c>
      <c r="B3177" t="str">
        <f>"8610"</f>
        <v>8610</v>
      </c>
      <c r="C3177" t="str">
        <f>"269728610"</f>
        <v>269728610</v>
      </c>
      <c r="D3177" t="s">
        <v>7791</v>
      </c>
      <c r="E3177" t="s">
        <v>178</v>
      </c>
      <c r="F3177" t="s">
        <v>6954</v>
      </c>
      <c r="G3177" s="1">
        <v>25697</v>
      </c>
      <c r="H3177" s="1">
        <v>39902</v>
      </c>
      <c r="I3177" t="str">
        <f>"08"</f>
        <v>08</v>
      </c>
      <c r="J3177" t="s">
        <v>265</v>
      </c>
      <c r="L3177" t="s">
        <v>37</v>
      </c>
      <c r="M3177" t="s">
        <v>143</v>
      </c>
      <c r="N3177" s="1">
        <v>41617</v>
      </c>
      <c r="O3177">
        <v>185.9</v>
      </c>
      <c r="P3177">
        <v>-185.9</v>
      </c>
      <c r="Q3177" t="s">
        <v>28</v>
      </c>
      <c r="R3177" t="s">
        <v>29</v>
      </c>
      <c r="S3177" t="s">
        <v>982</v>
      </c>
      <c r="T3177" t="s">
        <v>983</v>
      </c>
    </row>
    <row r="3178" spans="1:20" x14ac:dyDescent="0.25">
      <c r="A3178" t="s">
        <v>7792</v>
      </c>
      <c r="B3178" t="str">
        <f>"7245"</f>
        <v>7245</v>
      </c>
      <c r="C3178" t="str">
        <f>"278727245"</f>
        <v>278727245</v>
      </c>
      <c r="D3178" t="s">
        <v>2863</v>
      </c>
      <c r="E3178" t="s">
        <v>122</v>
      </c>
      <c r="F3178" t="s">
        <v>2438</v>
      </c>
      <c r="G3178" s="1">
        <v>27434</v>
      </c>
      <c r="H3178" s="1">
        <v>39902</v>
      </c>
      <c r="I3178" t="str">
        <f>"07"</f>
        <v>07</v>
      </c>
      <c r="J3178" t="s">
        <v>1018</v>
      </c>
      <c r="L3178" t="s">
        <v>37</v>
      </c>
      <c r="M3178" t="s">
        <v>143</v>
      </c>
      <c r="N3178" s="1">
        <v>41617</v>
      </c>
      <c r="O3178">
        <v>185.9</v>
      </c>
      <c r="P3178">
        <v>-185.9</v>
      </c>
      <c r="Q3178" t="s">
        <v>28</v>
      </c>
      <c r="R3178" t="s">
        <v>51</v>
      </c>
      <c r="S3178" t="s">
        <v>1222</v>
      </c>
      <c r="T3178" t="s">
        <v>1223</v>
      </c>
    </row>
    <row r="3179" spans="1:20" x14ac:dyDescent="0.25">
      <c r="A3179" t="s">
        <v>7793</v>
      </c>
      <c r="B3179" t="str">
        <f>"9557"</f>
        <v>9557</v>
      </c>
      <c r="C3179" t="str">
        <f>"270589557"</f>
        <v>270589557</v>
      </c>
      <c r="D3179" t="s">
        <v>7794</v>
      </c>
      <c r="E3179" t="s">
        <v>3950</v>
      </c>
      <c r="G3179" s="1">
        <v>20719</v>
      </c>
      <c r="H3179" s="1">
        <v>39895</v>
      </c>
      <c r="I3179" t="str">
        <f>"41"</f>
        <v>41</v>
      </c>
      <c r="J3179" t="s">
        <v>24</v>
      </c>
      <c r="K3179" t="s">
        <v>25</v>
      </c>
      <c r="L3179" t="s">
        <v>26</v>
      </c>
      <c r="M3179" t="s">
        <v>27</v>
      </c>
      <c r="N3179" s="1">
        <v>18629</v>
      </c>
      <c r="O3179">
        <v>0</v>
      </c>
      <c r="P3179">
        <v>0</v>
      </c>
      <c r="Q3179" t="s">
        <v>37</v>
      </c>
      <c r="R3179" t="s">
        <v>71</v>
      </c>
      <c r="S3179" t="s">
        <v>2825</v>
      </c>
      <c r="T3179" t="s">
        <v>2826</v>
      </c>
    </row>
    <row r="3180" spans="1:20" x14ac:dyDescent="0.25">
      <c r="A3180" t="s">
        <v>7795</v>
      </c>
      <c r="B3180" t="str">
        <f>"1267"</f>
        <v>1267</v>
      </c>
      <c r="C3180" t="str">
        <f>"301661267"</f>
        <v>301661267</v>
      </c>
      <c r="D3180" t="s">
        <v>4462</v>
      </c>
      <c r="E3180" t="s">
        <v>1104</v>
      </c>
      <c r="F3180" t="s">
        <v>97</v>
      </c>
      <c r="G3180" s="1">
        <v>22473</v>
      </c>
      <c r="H3180" s="1">
        <v>39895</v>
      </c>
      <c r="I3180" t="str">
        <f>"08"</f>
        <v>08</v>
      </c>
      <c r="J3180" t="s">
        <v>265</v>
      </c>
      <c r="K3180" t="s">
        <v>175</v>
      </c>
      <c r="L3180" t="s">
        <v>37</v>
      </c>
      <c r="M3180" t="s">
        <v>99</v>
      </c>
      <c r="N3180" s="1">
        <v>41617</v>
      </c>
      <c r="O3180">
        <v>16411.72</v>
      </c>
      <c r="P3180">
        <v>4102.8</v>
      </c>
      <c r="Q3180" t="s">
        <v>28</v>
      </c>
      <c r="R3180" t="s">
        <v>51</v>
      </c>
      <c r="S3180" t="s">
        <v>570</v>
      </c>
      <c r="T3180" t="s">
        <v>571</v>
      </c>
    </row>
    <row r="3181" spans="1:20" x14ac:dyDescent="0.25">
      <c r="A3181" t="s">
        <v>7796</v>
      </c>
      <c r="B3181" t="str">
        <f>"7439"</f>
        <v>7439</v>
      </c>
      <c r="C3181" t="str">
        <f>"301707439"</f>
        <v>301707439</v>
      </c>
      <c r="D3181" t="s">
        <v>7797</v>
      </c>
      <c r="E3181" t="s">
        <v>2177</v>
      </c>
      <c r="F3181" t="s">
        <v>556</v>
      </c>
      <c r="G3181" s="1">
        <v>26565</v>
      </c>
      <c r="H3181" s="1">
        <v>39895</v>
      </c>
      <c r="I3181" t="str">
        <f>"03"</f>
        <v>03</v>
      </c>
      <c r="J3181" t="s">
        <v>70</v>
      </c>
      <c r="K3181" t="s">
        <v>98</v>
      </c>
      <c r="L3181" t="s">
        <v>37</v>
      </c>
      <c r="M3181" t="s">
        <v>99</v>
      </c>
      <c r="N3181" s="1">
        <v>41617</v>
      </c>
      <c r="O3181">
        <v>14801.8</v>
      </c>
      <c r="P3181">
        <v>3700.32</v>
      </c>
      <c r="Q3181" t="s">
        <v>37</v>
      </c>
      <c r="R3181" t="s">
        <v>38</v>
      </c>
      <c r="S3181" t="s">
        <v>2678</v>
      </c>
      <c r="T3181" t="s">
        <v>2679</v>
      </c>
    </row>
    <row r="3182" spans="1:20" x14ac:dyDescent="0.25">
      <c r="A3182" t="s">
        <v>7798</v>
      </c>
      <c r="B3182" t="str">
        <f>"3880"</f>
        <v>3880</v>
      </c>
      <c r="C3182" t="str">
        <f>"277503880"</f>
        <v>277503880</v>
      </c>
      <c r="D3182" t="s">
        <v>7799</v>
      </c>
      <c r="E3182" t="s">
        <v>2385</v>
      </c>
      <c r="F3182" t="s">
        <v>97</v>
      </c>
      <c r="G3182" s="1">
        <v>18278</v>
      </c>
      <c r="H3182" s="1">
        <v>39888</v>
      </c>
      <c r="I3182" t="str">
        <f>"15"</f>
        <v>15</v>
      </c>
      <c r="J3182" t="s">
        <v>36</v>
      </c>
      <c r="K3182" t="s">
        <v>98</v>
      </c>
      <c r="L3182" t="s">
        <v>37</v>
      </c>
      <c r="M3182" t="s">
        <v>257</v>
      </c>
      <c r="N3182" s="1">
        <v>41617</v>
      </c>
      <c r="O3182">
        <v>10753.08</v>
      </c>
      <c r="P3182">
        <v>2688.4</v>
      </c>
      <c r="Q3182" t="s">
        <v>37</v>
      </c>
      <c r="R3182" t="s">
        <v>29</v>
      </c>
      <c r="S3182" t="s">
        <v>1887</v>
      </c>
      <c r="T3182" t="s">
        <v>1888</v>
      </c>
    </row>
    <row r="3183" spans="1:20" x14ac:dyDescent="0.25">
      <c r="A3183" t="s">
        <v>7800</v>
      </c>
      <c r="B3183" t="str">
        <f>"0332"</f>
        <v>0332</v>
      </c>
      <c r="C3183" t="str">
        <f>"298660332"</f>
        <v>298660332</v>
      </c>
      <c r="D3183" t="s">
        <v>7801</v>
      </c>
      <c r="E3183" t="s">
        <v>1381</v>
      </c>
      <c r="F3183" t="s">
        <v>97</v>
      </c>
      <c r="G3183" s="1">
        <v>24611</v>
      </c>
      <c r="H3183" s="1">
        <v>39888</v>
      </c>
      <c r="I3183" t="str">
        <f>"52"</f>
        <v>52</v>
      </c>
      <c r="J3183" t="s">
        <v>330</v>
      </c>
      <c r="K3183" t="s">
        <v>25</v>
      </c>
      <c r="L3183" t="s">
        <v>26</v>
      </c>
      <c r="M3183" t="s">
        <v>27</v>
      </c>
      <c r="N3183" s="1">
        <v>18629</v>
      </c>
      <c r="O3183">
        <v>0</v>
      </c>
      <c r="P3183">
        <v>0</v>
      </c>
      <c r="Q3183" t="s">
        <v>28</v>
      </c>
      <c r="R3183" t="s">
        <v>258</v>
      </c>
      <c r="S3183" t="s">
        <v>331</v>
      </c>
      <c r="T3183" t="s">
        <v>332</v>
      </c>
    </row>
    <row r="3184" spans="1:20" x14ac:dyDescent="0.25">
      <c r="A3184" t="s">
        <v>7802</v>
      </c>
      <c r="B3184" t="str">
        <f>"8943"</f>
        <v>8943</v>
      </c>
      <c r="C3184" t="str">
        <f>"300788943"</f>
        <v>300788943</v>
      </c>
      <c r="D3184" t="s">
        <v>462</v>
      </c>
      <c r="E3184" t="s">
        <v>7803</v>
      </c>
      <c r="F3184" t="s">
        <v>93</v>
      </c>
      <c r="G3184" s="1">
        <v>30057</v>
      </c>
      <c r="H3184" s="1">
        <v>39888</v>
      </c>
      <c r="I3184" t="str">
        <f>"52"</f>
        <v>52</v>
      </c>
      <c r="J3184" t="s">
        <v>330</v>
      </c>
      <c r="K3184" t="s">
        <v>25</v>
      </c>
      <c r="L3184" t="s">
        <v>26</v>
      </c>
      <c r="M3184" t="s">
        <v>27</v>
      </c>
      <c r="N3184" s="1">
        <v>18629</v>
      </c>
      <c r="O3184">
        <v>0</v>
      </c>
      <c r="P3184">
        <v>0</v>
      </c>
      <c r="Q3184" t="s">
        <v>37</v>
      </c>
      <c r="R3184" t="s">
        <v>29</v>
      </c>
      <c r="S3184" t="s">
        <v>3368</v>
      </c>
      <c r="T3184" t="s">
        <v>3369</v>
      </c>
    </row>
    <row r="3185" spans="1:20" x14ac:dyDescent="0.25">
      <c r="A3185" t="s">
        <v>7804</v>
      </c>
      <c r="B3185" t="str">
        <f>"8550"</f>
        <v>8550</v>
      </c>
      <c r="C3185" t="str">
        <f>"275808550"</f>
        <v>275808550</v>
      </c>
      <c r="D3185" t="s">
        <v>1917</v>
      </c>
      <c r="E3185" t="s">
        <v>122</v>
      </c>
      <c r="G3185" s="1">
        <v>29883</v>
      </c>
      <c r="H3185" s="1">
        <v>39886</v>
      </c>
      <c r="I3185" t="str">
        <f>"41"</f>
        <v>41</v>
      </c>
      <c r="J3185" t="s">
        <v>24</v>
      </c>
      <c r="K3185" t="s">
        <v>25</v>
      </c>
      <c r="L3185" t="s">
        <v>26</v>
      </c>
      <c r="M3185" t="s">
        <v>27</v>
      </c>
      <c r="N3185" s="1">
        <v>18629</v>
      </c>
      <c r="O3185">
        <v>0</v>
      </c>
      <c r="P3185">
        <v>0</v>
      </c>
      <c r="Q3185" t="s">
        <v>28</v>
      </c>
      <c r="R3185" t="s">
        <v>29</v>
      </c>
      <c r="S3185" s="2" t="s">
        <v>2496</v>
      </c>
      <c r="T3185" t="s">
        <v>2497</v>
      </c>
    </row>
    <row r="3186" spans="1:20" x14ac:dyDescent="0.25">
      <c r="A3186" t="s">
        <v>7805</v>
      </c>
      <c r="B3186" t="str">
        <f>"5846"</f>
        <v>5846</v>
      </c>
      <c r="C3186" t="str">
        <f>"269805846"</f>
        <v>269805846</v>
      </c>
      <c r="D3186" t="s">
        <v>2421</v>
      </c>
      <c r="E3186" t="s">
        <v>1342</v>
      </c>
      <c r="F3186" t="s">
        <v>256</v>
      </c>
      <c r="G3186" s="1">
        <v>24376</v>
      </c>
      <c r="H3186" s="1">
        <v>39881</v>
      </c>
      <c r="I3186" t="str">
        <f>"08"</f>
        <v>08</v>
      </c>
      <c r="J3186" t="s">
        <v>265</v>
      </c>
      <c r="K3186" t="s">
        <v>175</v>
      </c>
      <c r="L3186" t="s">
        <v>37</v>
      </c>
      <c r="M3186" t="s">
        <v>99</v>
      </c>
      <c r="N3186" s="1">
        <v>41617</v>
      </c>
      <c r="O3186">
        <v>16411.72</v>
      </c>
      <c r="P3186">
        <v>4102.8</v>
      </c>
      <c r="Q3186" t="s">
        <v>37</v>
      </c>
      <c r="R3186" t="s">
        <v>51</v>
      </c>
      <c r="S3186" t="s">
        <v>3994</v>
      </c>
      <c r="T3186" t="s">
        <v>3995</v>
      </c>
    </row>
    <row r="3187" spans="1:20" x14ac:dyDescent="0.25">
      <c r="A3187" t="s">
        <v>7806</v>
      </c>
      <c r="B3187" t="str">
        <f>"0643"</f>
        <v>0643</v>
      </c>
      <c r="C3187" t="str">
        <f>"268540643"</f>
        <v>268540643</v>
      </c>
      <c r="D3187" t="s">
        <v>7807</v>
      </c>
      <c r="E3187" t="s">
        <v>7808</v>
      </c>
      <c r="F3187" t="s">
        <v>93</v>
      </c>
      <c r="G3187" s="1">
        <v>19269</v>
      </c>
      <c r="H3187" s="1">
        <v>39881</v>
      </c>
      <c r="I3187" t="str">
        <f>"12"</f>
        <v>12</v>
      </c>
      <c r="J3187" t="s">
        <v>245</v>
      </c>
      <c r="K3187" t="s">
        <v>98</v>
      </c>
      <c r="L3187" t="s">
        <v>37</v>
      </c>
      <c r="M3187" t="s">
        <v>257</v>
      </c>
      <c r="N3187" s="1">
        <v>41617</v>
      </c>
      <c r="O3187">
        <v>10753.08</v>
      </c>
      <c r="P3187">
        <v>2688.4</v>
      </c>
      <c r="Q3187" t="s">
        <v>37</v>
      </c>
      <c r="R3187" t="s">
        <v>71</v>
      </c>
      <c r="S3187" t="s">
        <v>7809</v>
      </c>
      <c r="T3187" t="s">
        <v>7810</v>
      </c>
    </row>
    <row r="3188" spans="1:20" x14ac:dyDescent="0.25">
      <c r="A3188" t="s">
        <v>7811</v>
      </c>
      <c r="B3188" t="str">
        <f>"0191"</f>
        <v>0191</v>
      </c>
      <c r="C3188" t="str">
        <f>"298540191"</f>
        <v>298540191</v>
      </c>
      <c r="D3188" t="s">
        <v>7631</v>
      </c>
      <c r="E3188" t="s">
        <v>1074</v>
      </c>
      <c r="F3188" t="s">
        <v>219</v>
      </c>
      <c r="G3188" s="1">
        <v>19558</v>
      </c>
      <c r="H3188" s="1">
        <v>39881</v>
      </c>
      <c r="I3188" t="str">
        <f>"03"</f>
        <v>03</v>
      </c>
      <c r="J3188" t="s">
        <v>70</v>
      </c>
      <c r="K3188" t="s">
        <v>98</v>
      </c>
      <c r="L3188" t="s">
        <v>37</v>
      </c>
      <c r="M3188" t="s">
        <v>117</v>
      </c>
      <c r="N3188" s="1">
        <v>41617</v>
      </c>
      <c r="O3188">
        <v>4951.96</v>
      </c>
      <c r="P3188">
        <v>1237.8599999999999</v>
      </c>
      <c r="Q3188" t="s">
        <v>37</v>
      </c>
      <c r="R3188" t="s">
        <v>71</v>
      </c>
      <c r="S3188" t="s">
        <v>3419</v>
      </c>
      <c r="T3188" t="s">
        <v>3420</v>
      </c>
    </row>
    <row r="3189" spans="1:20" x14ac:dyDescent="0.25">
      <c r="A3189" t="s">
        <v>7812</v>
      </c>
      <c r="B3189" t="str">
        <f>"4415"</f>
        <v>4415</v>
      </c>
      <c r="C3189" t="str">
        <f>"272744415"</f>
        <v>272744415</v>
      </c>
      <c r="D3189" t="s">
        <v>860</v>
      </c>
      <c r="E3189" t="s">
        <v>3059</v>
      </c>
      <c r="F3189" t="s">
        <v>97</v>
      </c>
      <c r="G3189" s="1">
        <v>25239</v>
      </c>
      <c r="H3189" s="1">
        <v>39879</v>
      </c>
      <c r="I3189" t="str">
        <f>"52"</f>
        <v>52</v>
      </c>
      <c r="J3189" t="s">
        <v>330</v>
      </c>
      <c r="K3189" t="s">
        <v>25</v>
      </c>
      <c r="L3189" t="s">
        <v>26</v>
      </c>
      <c r="M3189" t="s">
        <v>27</v>
      </c>
      <c r="N3189" s="1">
        <v>18629</v>
      </c>
      <c r="O3189">
        <v>0</v>
      </c>
      <c r="P3189">
        <v>0</v>
      </c>
      <c r="Q3189" t="s">
        <v>28</v>
      </c>
      <c r="R3189" t="s">
        <v>258</v>
      </c>
      <c r="S3189" t="s">
        <v>331</v>
      </c>
      <c r="T3189" t="s">
        <v>332</v>
      </c>
    </row>
    <row r="3190" spans="1:20" x14ac:dyDescent="0.25">
      <c r="A3190" t="s">
        <v>7813</v>
      </c>
      <c r="B3190" t="str">
        <f>"5097"</f>
        <v>5097</v>
      </c>
      <c r="C3190" t="str">
        <f>"423135097"</f>
        <v>423135097</v>
      </c>
      <c r="D3190" t="s">
        <v>7814</v>
      </c>
      <c r="E3190" t="s">
        <v>4172</v>
      </c>
      <c r="F3190" t="s">
        <v>97</v>
      </c>
      <c r="G3190" s="1">
        <v>24775</v>
      </c>
      <c r="H3190" s="1">
        <v>39867</v>
      </c>
      <c r="I3190" t="str">
        <f>"33"</f>
        <v>33</v>
      </c>
      <c r="J3190" t="s">
        <v>45</v>
      </c>
      <c r="K3190" t="s">
        <v>25</v>
      </c>
      <c r="L3190" t="s">
        <v>26</v>
      </c>
      <c r="M3190" t="s">
        <v>27</v>
      </c>
      <c r="N3190" s="1">
        <v>18629</v>
      </c>
      <c r="O3190">
        <v>0</v>
      </c>
      <c r="P3190">
        <v>0</v>
      </c>
      <c r="Q3190" t="s">
        <v>37</v>
      </c>
      <c r="R3190" t="s">
        <v>51</v>
      </c>
      <c r="S3190" t="s">
        <v>594</v>
      </c>
      <c r="T3190" t="s">
        <v>595</v>
      </c>
    </row>
    <row r="3191" spans="1:20" x14ac:dyDescent="0.25">
      <c r="A3191" t="s">
        <v>7815</v>
      </c>
      <c r="B3191" t="str">
        <f>"2008"</f>
        <v>2008</v>
      </c>
      <c r="C3191" t="str">
        <f>"287802008"</f>
        <v>287802008</v>
      </c>
      <c r="D3191" t="s">
        <v>7816</v>
      </c>
      <c r="E3191" t="s">
        <v>430</v>
      </c>
      <c r="F3191" t="s">
        <v>26</v>
      </c>
      <c r="G3191" s="1">
        <v>28337</v>
      </c>
      <c r="H3191" s="1">
        <v>39867</v>
      </c>
      <c r="I3191" t="str">
        <f>"30"</f>
        <v>30</v>
      </c>
      <c r="J3191" t="s">
        <v>50</v>
      </c>
      <c r="K3191" t="s">
        <v>25</v>
      </c>
      <c r="L3191" t="s">
        <v>26</v>
      </c>
      <c r="M3191" t="s">
        <v>27</v>
      </c>
      <c r="N3191" s="1">
        <v>18629</v>
      </c>
      <c r="O3191">
        <v>0</v>
      </c>
      <c r="P3191">
        <v>0</v>
      </c>
      <c r="Q3191" t="s">
        <v>28</v>
      </c>
      <c r="R3191" t="s">
        <v>51</v>
      </c>
      <c r="S3191" s="2" t="s">
        <v>774</v>
      </c>
      <c r="T3191" t="s">
        <v>775</v>
      </c>
    </row>
    <row r="3192" spans="1:20" x14ac:dyDescent="0.25">
      <c r="A3192" t="s">
        <v>7817</v>
      </c>
      <c r="B3192" t="str">
        <f>"1819"</f>
        <v>1819</v>
      </c>
      <c r="C3192" t="str">
        <f>"285061819"</f>
        <v>285061819</v>
      </c>
      <c r="D3192" t="s">
        <v>7818</v>
      </c>
      <c r="E3192" t="s">
        <v>7819</v>
      </c>
      <c r="G3192" s="1">
        <v>23922</v>
      </c>
      <c r="H3192" s="1">
        <v>39867</v>
      </c>
      <c r="I3192" t="str">
        <f>"33"</f>
        <v>33</v>
      </c>
      <c r="J3192" t="s">
        <v>45</v>
      </c>
      <c r="K3192" t="s">
        <v>25</v>
      </c>
      <c r="L3192" t="s">
        <v>26</v>
      </c>
      <c r="M3192" t="s">
        <v>27</v>
      </c>
      <c r="N3192" s="1">
        <v>18629</v>
      </c>
      <c r="O3192">
        <v>0</v>
      </c>
      <c r="P3192">
        <v>0</v>
      </c>
      <c r="Q3192" t="s">
        <v>28</v>
      </c>
      <c r="R3192" t="s">
        <v>29</v>
      </c>
      <c r="S3192" t="s">
        <v>594</v>
      </c>
      <c r="T3192" t="s">
        <v>595</v>
      </c>
    </row>
    <row r="3193" spans="1:20" x14ac:dyDescent="0.25">
      <c r="A3193" t="s">
        <v>7820</v>
      </c>
      <c r="B3193" t="str">
        <f>"6284"</f>
        <v>6284</v>
      </c>
      <c r="C3193" t="str">
        <f>"204386284"</f>
        <v>204386284</v>
      </c>
      <c r="D3193" t="s">
        <v>7821</v>
      </c>
      <c r="E3193" t="s">
        <v>3412</v>
      </c>
      <c r="G3193" s="1">
        <v>17552</v>
      </c>
      <c r="H3193" s="1">
        <v>39867</v>
      </c>
      <c r="I3193" t="str">
        <f>"51"</f>
        <v>51</v>
      </c>
      <c r="J3193" t="s">
        <v>471</v>
      </c>
      <c r="K3193" t="s">
        <v>25</v>
      </c>
      <c r="L3193" t="s">
        <v>26</v>
      </c>
      <c r="M3193" t="s">
        <v>27</v>
      </c>
      <c r="N3193" s="1">
        <v>18629</v>
      </c>
      <c r="O3193">
        <v>0</v>
      </c>
      <c r="P3193">
        <v>0</v>
      </c>
      <c r="Q3193" t="s">
        <v>28</v>
      </c>
      <c r="R3193" t="s">
        <v>258</v>
      </c>
      <c r="S3193" t="s">
        <v>472</v>
      </c>
      <c r="T3193" t="s">
        <v>473</v>
      </c>
    </row>
    <row r="3194" spans="1:20" x14ac:dyDescent="0.25">
      <c r="A3194" t="s">
        <v>7822</v>
      </c>
      <c r="B3194" t="str">
        <f>"0417"</f>
        <v>0417</v>
      </c>
      <c r="C3194" t="str">
        <f>"289880417"</f>
        <v>289880417</v>
      </c>
      <c r="D3194" t="s">
        <v>7823</v>
      </c>
      <c r="E3194" t="s">
        <v>7824</v>
      </c>
      <c r="G3194" s="1">
        <v>26371</v>
      </c>
      <c r="H3194" s="1">
        <v>39866</v>
      </c>
      <c r="I3194" t="str">
        <f>"41"</f>
        <v>41</v>
      </c>
      <c r="J3194" t="s">
        <v>24</v>
      </c>
      <c r="K3194" t="s">
        <v>25</v>
      </c>
      <c r="L3194" t="s">
        <v>26</v>
      </c>
      <c r="M3194" t="s">
        <v>27</v>
      </c>
      <c r="N3194" s="1">
        <v>18629</v>
      </c>
      <c r="O3194">
        <v>0</v>
      </c>
      <c r="P3194">
        <v>0</v>
      </c>
      <c r="Q3194" t="s">
        <v>37</v>
      </c>
      <c r="R3194" t="s">
        <v>71</v>
      </c>
      <c r="S3194" t="s">
        <v>72</v>
      </c>
      <c r="T3194" t="s">
        <v>73</v>
      </c>
    </row>
    <row r="3195" spans="1:20" x14ac:dyDescent="0.25">
      <c r="A3195" t="s">
        <v>7825</v>
      </c>
      <c r="B3195" t="str">
        <f>"1807"</f>
        <v>1807</v>
      </c>
      <c r="C3195" t="str">
        <f>"278661807"</f>
        <v>278661807</v>
      </c>
      <c r="D3195" t="s">
        <v>7826</v>
      </c>
      <c r="E3195" t="s">
        <v>877</v>
      </c>
      <c r="F3195" t="s">
        <v>37</v>
      </c>
      <c r="G3195" s="1">
        <v>22475</v>
      </c>
      <c r="H3195" s="1">
        <v>39853</v>
      </c>
      <c r="I3195" t="str">
        <f>"50"</f>
        <v>50</v>
      </c>
      <c r="J3195" t="s">
        <v>208</v>
      </c>
      <c r="K3195" t="s">
        <v>25</v>
      </c>
      <c r="L3195" t="s">
        <v>26</v>
      </c>
      <c r="M3195" t="s">
        <v>27</v>
      </c>
      <c r="N3195" s="1">
        <v>18629</v>
      </c>
      <c r="O3195">
        <v>0</v>
      </c>
      <c r="P3195">
        <v>0</v>
      </c>
      <c r="Q3195" t="s">
        <v>37</v>
      </c>
      <c r="R3195" t="s">
        <v>71</v>
      </c>
      <c r="S3195" t="s">
        <v>373</v>
      </c>
      <c r="T3195" t="s">
        <v>374</v>
      </c>
    </row>
    <row r="3196" spans="1:20" x14ac:dyDescent="0.25">
      <c r="A3196" t="s">
        <v>7827</v>
      </c>
      <c r="B3196" t="str">
        <f>"5574"</f>
        <v>5574</v>
      </c>
      <c r="C3196" t="str">
        <f>"286865574"</f>
        <v>286865574</v>
      </c>
      <c r="D3196" t="s">
        <v>7828</v>
      </c>
      <c r="E3196" t="s">
        <v>1999</v>
      </c>
      <c r="F3196" t="s">
        <v>97</v>
      </c>
      <c r="G3196" s="1">
        <v>29330</v>
      </c>
      <c r="H3196" s="1">
        <v>39853</v>
      </c>
      <c r="I3196" t="str">
        <f>"12"</f>
        <v>12</v>
      </c>
      <c r="J3196" t="s">
        <v>245</v>
      </c>
      <c r="K3196" t="s">
        <v>98</v>
      </c>
      <c r="L3196" t="s">
        <v>37</v>
      </c>
      <c r="M3196" t="s">
        <v>257</v>
      </c>
      <c r="N3196" s="1">
        <v>41617</v>
      </c>
      <c r="O3196">
        <v>10753.08</v>
      </c>
      <c r="P3196">
        <v>2688.4</v>
      </c>
      <c r="Q3196" t="s">
        <v>28</v>
      </c>
      <c r="R3196" t="s">
        <v>38</v>
      </c>
      <c r="S3196" t="s">
        <v>566</v>
      </c>
      <c r="T3196" t="s">
        <v>567</v>
      </c>
    </row>
    <row r="3197" spans="1:20" x14ac:dyDescent="0.25">
      <c r="A3197" t="s">
        <v>7829</v>
      </c>
      <c r="B3197" t="str">
        <f>"4018"</f>
        <v>4018</v>
      </c>
      <c r="C3197" t="str">
        <f>"284764018"</f>
        <v>284764018</v>
      </c>
      <c r="D3197" t="s">
        <v>7830</v>
      </c>
      <c r="E3197" t="s">
        <v>1067</v>
      </c>
      <c r="F3197" t="s">
        <v>97</v>
      </c>
      <c r="G3197" s="1">
        <v>24489</v>
      </c>
      <c r="H3197" s="1">
        <v>39853</v>
      </c>
      <c r="I3197" t="str">
        <f>"50"</f>
        <v>50</v>
      </c>
      <c r="J3197" t="s">
        <v>208</v>
      </c>
      <c r="K3197" t="s">
        <v>25</v>
      </c>
      <c r="L3197" t="s">
        <v>26</v>
      </c>
      <c r="M3197" t="s">
        <v>27</v>
      </c>
      <c r="N3197" s="1">
        <v>18629</v>
      </c>
      <c r="O3197">
        <v>0</v>
      </c>
      <c r="P3197">
        <v>0</v>
      </c>
      <c r="Q3197" t="s">
        <v>28</v>
      </c>
      <c r="R3197" t="s">
        <v>29</v>
      </c>
      <c r="S3197" t="s">
        <v>240</v>
      </c>
      <c r="T3197" t="s">
        <v>241</v>
      </c>
    </row>
    <row r="3198" spans="1:20" x14ac:dyDescent="0.25">
      <c r="A3198" t="s">
        <v>7831</v>
      </c>
      <c r="B3198" t="str">
        <f>"0510"</f>
        <v>0510</v>
      </c>
      <c r="C3198" t="str">
        <f>"282540510"</f>
        <v>282540510</v>
      </c>
      <c r="D3198" t="s">
        <v>7832</v>
      </c>
      <c r="E3198" t="s">
        <v>7833</v>
      </c>
      <c r="G3198" s="1">
        <v>19447</v>
      </c>
      <c r="H3198" s="1">
        <v>39846</v>
      </c>
      <c r="I3198" t="str">
        <f>"12"</f>
        <v>12</v>
      </c>
      <c r="J3198" t="s">
        <v>245</v>
      </c>
      <c r="K3198" t="s">
        <v>98</v>
      </c>
      <c r="L3198" t="s">
        <v>37</v>
      </c>
      <c r="M3198" t="s">
        <v>257</v>
      </c>
      <c r="N3198" s="1">
        <v>41617</v>
      </c>
      <c r="O3198">
        <v>10753.08</v>
      </c>
      <c r="P3198">
        <v>2688.4</v>
      </c>
      <c r="Q3198" t="s">
        <v>37</v>
      </c>
      <c r="R3198" t="s">
        <v>51</v>
      </c>
      <c r="S3198" s="2" t="s">
        <v>1272</v>
      </c>
      <c r="T3198" t="s">
        <v>1273</v>
      </c>
    </row>
    <row r="3199" spans="1:20" x14ac:dyDescent="0.25">
      <c r="A3199" t="s">
        <v>7834</v>
      </c>
      <c r="B3199" t="str">
        <f>"6116"</f>
        <v>6116</v>
      </c>
      <c r="C3199" t="str">
        <f>"294846116"</f>
        <v>294846116</v>
      </c>
      <c r="D3199" t="s">
        <v>7835</v>
      </c>
      <c r="E3199" t="s">
        <v>3241</v>
      </c>
      <c r="F3199" t="s">
        <v>256</v>
      </c>
      <c r="G3199" s="1">
        <v>31169</v>
      </c>
      <c r="H3199" s="1">
        <v>39839</v>
      </c>
      <c r="I3199" t="str">
        <f>"05"</f>
        <v>05</v>
      </c>
      <c r="J3199" t="s">
        <v>58</v>
      </c>
      <c r="K3199" t="s">
        <v>98</v>
      </c>
      <c r="L3199" t="s">
        <v>37</v>
      </c>
      <c r="M3199" t="s">
        <v>117</v>
      </c>
      <c r="N3199" s="1">
        <v>41617</v>
      </c>
      <c r="O3199">
        <v>4951.96</v>
      </c>
      <c r="P3199">
        <v>1237.8599999999999</v>
      </c>
      <c r="Q3199" t="s">
        <v>37</v>
      </c>
      <c r="R3199" t="s">
        <v>71</v>
      </c>
      <c r="S3199" t="s">
        <v>2602</v>
      </c>
      <c r="T3199" t="s">
        <v>2603</v>
      </c>
    </row>
    <row r="3200" spans="1:20" x14ac:dyDescent="0.25">
      <c r="A3200" t="s">
        <v>7836</v>
      </c>
      <c r="B3200" t="str">
        <f>"1378"</f>
        <v>1378</v>
      </c>
      <c r="C3200" t="str">
        <f>"297501378"</f>
        <v>297501378</v>
      </c>
      <c r="D3200" t="s">
        <v>7837</v>
      </c>
      <c r="E3200" t="s">
        <v>1688</v>
      </c>
      <c r="F3200" t="s">
        <v>5656</v>
      </c>
      <c r="G3200" s="1">
        <v>18699</v>
      </c>
      <c r="H3200" s="1">
        <v>39839</v>
      </c>
      <c r="I3200" t="str">
        <f>"51"</f>
        <v>51</v>
      </c>
      <c r="J3200" t="s">
        <v>471</v>
      </c>
      <c r="K3200" t="s">
        <v>25</v>
      </c>
      <c r="L3200" t="s">
        <v>26</v>
      </c>
      <c r="M3200" t="s">
        <v>27</v>
      </c>
      <c r="N3200" s="1">
        <v>18629</v>
      </c>
      <c r="O3200">
        <v>0</v>
      </c>
      <c r="P3200">
        <v>0</v>
      </c>
      <c r="Q3200" t="s">
        <v>37</v>
      </c>
      <c r="R3200" t="s">
        <v>71</v>
      </c>
      <c r="S3200" t="s">
        <v>955</v>
      </c>
      <c r="T3200" t="s">
        <v>956</v>
      </c>
    </row>
    <row r="3201" spans="1:20" x14ac:dyDescent="0.25">
      <c r="A3201" t="s">
        <v>7838</v>
      </c>
      <c r="B3201" t="str">
        <f>"8457"</f>
        <v>8457</v>
      </c>
      <c r="C3201" t="str">
        <f>"298588457"</f>
        <v>298588457</v>
      </c>
      <c r="D3201" t="s">
        <v>7839</v>
      </c>
      <c r="E3201" t="s">
        <v>2177</v>
      </c>
      <c r="F3201" t="s">
        <v>28</v>
      </c>
      <c r="G3201" s="1">
        <v>21308</v>
      </c>
      <c r="H3201" s="1">
        <v>39839</v>
      </c>
      <c r="I3201" t="str">
        <f>"50"</f>
        <v>50</v>
      </c>
      <c r="J3201" t="s">
        <v>208</v>
      </c>
      <c r="K3201" t="s">
        <v>25</v>
      </c>
      <c r="L3201" t="s">
        <v>26</v>
      </c>
      <c r="M3201" t="s">
        <v>27</v>
      </c>
      <c r="N3201" s="1">
        <v>18629</v>
      </c>
      <c r="O3201">
        <v>0</v>
      </c>
      <c r="P3201">
        <v>0</v>
      </c>
      <c r="Q3201" t="s">
        <v>37</v>
      </c>
      <c r="R3201" t="s">
        <v>29</v>
      </c>
      <c r="S3201" t="s">
        <v>240</v>
      </c>
      <c r="T3201" t="s">
        <v>241</v>
      </c>
    </row>
    <row r="3202" spans="1:20" x14ac:dyDescent="0.25">
      <c r="A3202" t="s">
        <v>7840</v>
      </c>
      <c r="B3202" t="str">
        <f>"6383"</f>
        <v>6383</v>
      </c>
      <c r="C3202" t="str">
        <f>"302446383"</f>
        <v>302446383</v>
      </c>
      <c r="D3202" t="s">
        <v>7841</v>
      </c>
      <c r="E3202" t="s">
        <v>122</v>
      </c>
      <c r="G3202" s="1">
        <v>17656</v>
      </c>
      <c r="H3202" s="1">
        <v>39839</v>
      </c>
      <c r="I3202" t="str">
        <f>"01"</f>
        <v>01</v>
      </c>
      <c r="J3202" t="s">
        <v>116</v>
      </c>
      <c r="K3202" t="s">
        <v>98</v>
      </c>
      <c r="L3202" t="s">
        <v>37</v>
      </c>
      <c r="M3202" t="s">
        <v>257</v>
      </c>
      <c r="N3202" s="1">
        <v>41617</v>
      </c>
      <c r="O3202">
        <v>10753.08</v>
      </c>
      <c r="P3202">
        <v>2688.4</v>
      </c>
      <c r="Q3202" t="s">
        <v>28</v>
      </c>
      <c r="R3202" t="s">
        <v>110</v>
      </c>
      <c r="S3202" t="s">
        <v>4077</v>
      </c>
      <c r="T3202" t="s">
        <v>4078</v>
      </c>
    </row>
    <row r="3203" spans="1:20" x14ac:dyDescent="0.25">
      <c r="A3203" t="s">
        <v>7842</v>
      </c>
      <c r="B3203" t="str">
        <f>"6052"</f>
        <v>6052</v>
      </c>
      <c r="C3203" t="str">
        <f>"161566052"</f>
        <v>161566052</v>
      </c>
      <c r="D3203" t="s">
        <v>4261</v>
      </c>
      <c r="E3203" t="s">
        <v>2950</v>
      </c>
      <c r="F3203" t="s">
        <v>438</v>
      </c>
      <c r="G3203" s="1">
        <v>22539</v>
      </c>
      <c r="H3203" s="1">
        <v>39836</v>
      </c>
      <c r="I3203" t="str">
        <f>"41"</f>
        <v>41</v>
      </c>
      <c r="J3203" t="s">
        <v>24</v>
      </c>
      <c r="K3203" t="s">
        <v>25</v>
      </c>
      <c r="L3203" t="s">
        <v>26</v>
      </c>
      <c r="M3203" t="s">
        <v>27</v>
      </c>
      <c r="N3203" s="1">
        <v>18629</v>
      </c>
      <c r="O3203">
        <v>0</v>
      </c>
      <c r="P3203">
        <v>0</v>
      </c>
      <c r="Q3203" t="s">
        <v>37</v>
      </c>
      <c r="R3203" t="s">
        <v>71</v>
      </c>
      <c r="S3203" t="s">
        <v>3844</v>
      </c>
      <c r="T3203" t="s">
        <v>3845</v>
      </c>
    </row>
    <row r="3204" spans="1:20" x14ac:dyDescent="0.25">
      <c r="A3204" t="s">
        <v>7843</v>
      </c>
      <c r="B3204" t="str">
        <f>"6617"</f>
        <v>6617</v>
      </c>
      <c r="C3204" t="str">
        <f>"296586617"</f>
        <v>296586617</v>
      </c>
      <c r="D3204" t="s">
        <v>7195</v>
      </c>
      <c r="E3204" t="s">
        <v>682</v>
      </c>
      <c r="G3204" s="1">
        <v>20538</v>
      </c>
      <c r="H3204" s="1">
        <v>39836</v>
      </c>
      <c r="I3204" t="str">
        <f>"41"</f>
        <v>41</v>
      </c>
      <c r="J3204" t="s">
        <v>24</v>
      </c>
      <c r="K3204" t="s">
        <v>25</v>
      </c>
      <c r="L3204" t="s">
        <v>26</v>
      </c>
      <c r="M3204" t="s">
        <v>27</v>
      </c>
      <c r="N3204" s="1">
        <v>18629</v>
      </c>
      <c r="O3204">
        <v>0</v>
      </c>
      <c r="P3204">
        <v>0</v>
      </c>
      <c r="Q3204" t="s">
        <v>37</v>
      </c>
      <c r="R3204" t="s">
        <v>71</v>
      </c>
      <c r="S3204" t="s">
        <v>2297</v>
      </c>
      <c r="T3204" t="s">
        <v>2298</v>
      </c>
    </row>
    <row r="3205" spans="1:20" x14ac:dyDescent="0.25">
      <c r="A3205" t="s">
        <v>7844</v>
      </c>
      <c r="B3205" t="str">
        <f>"3063"</f>
        <v>3063</v>
      </c>
      <c r="C3205" t="str">
        <f>"281463063"</f>
        <v>281463063</v>
      </c>
      <c r="D3205" t="s">
        <v>2279</v>
      </c>
      <c r="E3205" t="s">
        <v>233</v>
      </c>
      <c r="F3205" t="s">
        <v>282</v>
      </c>
      <c r="G3205" s="1">
        <v>17874</v>
      </c>
      <c r="H3205" s="1">
        <v>39825</v>
      </c>
      <c r="I3205" t="str">
        <f t="shared" ref="I3205:I3212" si="67">"51"</f>
        <v>51</v>
      </c>
      <c r="J3205" t="s">
        <v>471</v>
      </c>
      <c r="K3205" t="s">
        <v>25</v>
      </c>
      <c r="L3205" t="s">
        <v>26</v>
      </c>
      <c r="M3205" t="s">
        <v>27</v>
      </c>
      <c r="N3205" s="1">
        <v>18629</v>
      </c>
      <c r="O3205">
        <v>0</v>
      </c>
      <c r="P3205">
        <v>0</v>
      </c>
      <c r="Q3205" t="s">
        <v>28</v>
      </c>
      <c r="R3205" t="s">
        <v>71</v>
      </c>
      <c r="S3205" t="s">
        <v>3419</v>
      </c>
      <c r="T3205" t="s">
        <v>3420</v>
      </c>
    </row>
    <row r="3206" spans="1:20" x14ac:dyDescent="0.25">
      <c r="A3206" t="s">
        <v>7845</v>
      </c>
      <c r="B3206" t="str">
        <f>"1628"</f>
        <v>1628</v>
      </c>
      <c r="C3206" t="str">
        <f>"279901628"</f>
        <v>279901628</v>
      </c>
      <c r="D3206" t="s">
        <v>7846</v>
      </c>
      <c r="E3206" t="s">
        <v>7847</v>
      </c>
      <c r="F3206" t="s">
        <v>28</v>
      </c>
      <c r="G3206" s="1">
        <v>20710</v>
      </c>
      <c r="H3206" s="1">
        <v>39825</v>
      </c>
      <c r="I3206" t="str">
        <f t="shared" si="67"/>
        <v>51</v>
      </c>
      <c r="J3206" t="s">
        <v>471</v>
      </c>
      <c r="K3206" t="s">
        <v>25</v>
      </c>
      <c r="L3206" t="s">
        <v>26</v>
      </c>
      <c r="M3206" t="s">
        <v>27</v>
      </c>
      <c r="N3206" s="1">
        <v>18629</v>
      </c>
      <c r="O3206">
        <v>0</v>
      </c>
      <c r="P3206">
        <v>0</v>
      </c>
      <c r="Q3206" t="s">
        <v>37</v>
      </c>
      <c r="R3206" t="s">
        <v>71</v>
      </c>
      <c r="S3206" t="s">
        <v>871</v>
      </c>
      <c r="T3206" t="s">
        <v>872</v>
      </c>
    </row>
    <row r="3207" spans="1:20" x14ac:dyDescent="0.25">
      <c r="A3207" t="s">
        <v>7848</v>
      </c>
      <c r="B3207" t="str">
        <f>"9415"</f>
        <v>9415</v>
      </c>
      <c r="C3207" t="str">
        <f>"193569415"</f>
        <v>193569415</v>
      </c>
      <c r="D3207" t="s">
        <v>7849</v>
      </c>
      <c r="E3207" t="s">
        <v>609</v>
      </c>
      <c r="F3207" t="s">
        <v>165</v>
      </c>
      <c r="G3207" s="1">
        <v>22424</v>
      </c>
      <c r="H3207" s="1">
        <v>39825</v>
      </c>
      <c r="I3207" t="str">
        <f t="shared" si="67"/>
        <v>51</v>
      </c>
      <c r="J3207" t="s">
        <v>471</v>
      </c>
      <c r="K3207" t="s">
        <v>25</v>
      </c>
      <c r="L3207" t="s">
        <v>26</v>
      </c>
      <c r="M3207" t="s">
        <v>27</v>
      </c>
      <c r="N3207" s="1">
        <v>18629</v>
      </c>
      <c r="O3207">
        <v>0</v>
      </c>
      <c r="P3207">
        <v>0</v>
      </c>
      <c r="Q3207" t="s">
        <v>28</v>
      </c>
      <c r="R3207" t="s">
        <v>71</v>
      </c>
      <c r="S3207" t="s">
        <v>2458</v>
      </c>
      <c r="T3207" t="s">
        <v>2459</v>
      </c>
    </row>
    <row r="3208" spans="1:20" x14ac:dyDescent="0.25">
      <c r="A3208" t="s">
        <v>7850</v>
      </c>
      <c r="B3208" t="str">
        <f>"9692"</f>
        <v>9692</v>
      </c>
      <c r="C3208" t="str">
        <f>"266179692"</f>
        <v>266179692</v>
      </c>
      <c r="D3208" t="s">
        <v>4587</v>
      </c>
      <c r="E3208" t="s">
        <v>2152</v>
      </c>
      <c r="F3208" t="s">
        <v>44</v>
      </c>
      <c r="G3208" s="1">
        <v>22399</v>
      </c>
      <c r="H3208" s="1">
        <v>39825</v>
      </c>
      <c r="I3208" t="str">
        <f t="shared" si="67"/>
        <v>51</v>
      </c>
      <c r="J3208" t="s">
        <v>471</v>
      </c>
      <c r="K3208" t="s">
        <v>25</v>
      </c>
      <c r="L3208" t="s">
        <v>26</v>
      </c>
      <c r="M3208" t="s">
        <v>27</v>
      </c>
      <c r="N3208" s="1">
        <v>18629</v>
      </c>
      <c r="O3208">
        <v>0</v>
      </c>
      <c r="P3208">
        <v>0</v>
      </c>
      <c r="Q3208" t="s">
        <v>37</v>
      </c>
      <c r="R3208" t="s">
        <v>71</v>
      </c>
      <c r="S3208" t="s">
        <v>2458</v>
      </c>
      <c r="T3208" t="s">
        <v>2459</v>
      </c>
    </row>
    <row r="3209" spans="1:20" x14ac:dyDescent="0.25">
      <c r="A3209" t="s">
        <v>7851</v>
      </c>
      <c r="B3209" t="str">
        <f>"4724"</f>
        <v>4724</v>
      </c>
      <c r="C3209" t="str">
        <f>"294584724"</f>
        <v>294584724</v>
      </c>
      <c r="D3209" t="s">
        <v>7852</v>
      </c>
      <c r="E3209" t="s">
        <v>7853</v>
      </c>
      <c r="F3209" t="s">
        <v>93</v>
      </c>
      <c r="G3209" s="1">
        <v>20658</v>
      </c>
      <c r="H3209" s="1">
        <v>39825</v>
      </c>
      <c r="I3209" t="str">
        <f t="shared" si="67"/>
        <v>51</v>
      </c>
      <c r="J3209" t="s">
        <v>471</v>
      </c>
      <c r="K3209" t="s">
        <v>25</v>
      </c>
      <c r="L3209" t="s">
        <v>26</v>
      </c>
      <c r="M3209" t="s">
        <v>27</v>
      </c>
      <c r="N3209" s="1">
        <v>18629</v>
      </c>
      <c r="O3209">
        <v>0</v>
      </c>
      <c r="P3209">
        <v>0</v>
      </c>
      <c r="Q3209" t="s">
        <v>37</v>
      </c>
      <c r="R3209" t="s">
        <v>71</v>
      </c>
      <c r="S3209" t="s">
        <v>72</v>
      </c>
      <c r="T3209" t="s">
        <v>73</v>
      </c>
    </row>
    <row r="3210" spans="1:20" x14ac:dyDescent="0.25">
      <c r="A3210" t="s">
        <v>7854</v>
      </c>
      <c r="B3210" t="str">
        <f>"7212"</f>
        <v>7212</v>
      </c>
      <c r="C3210" t="str">
        <f>"296947212"</f>
        <v>296947212</v>
      </c>
      <c r="D3210" t="s">
        <v>1575</v>
      </c>
      <c r="E3210" t="s">
        <v>7855</v>
      </c>
      <c r="F3210" t="s">
        <v>219</v>
      </c>
      <c r="G3210" s="1">
        <v>21119</v>
      </c>
      <c r="H3210" s="1">
        <v>39825</v>
      </c>
      <c r="I3210" t="str">
        <f t="shared" si="67"/>
        <v>51</v>
      </c>
      <c r="J3210" t="s">
        <v>471</v>
      </c>
      <c r="K3210" t="s">
        <v>25</v>
      </c>
      <c r="L3210" t="s">
        <v>26</v>
      </c>
      <c r="M3210" t="s">
        <v>27</v>
      </c>
      <c r="N3210" s="1">
        <v>18629</v>
      </c>
      <c r="O3210">
        <v>0</v>
      </c>
      <c r="P3210">
        <v>0</v>
      </c>
      <c r="Q3210" t="s">
        <v>28</v>
      </c>
      <c r="R3210" t="s">
        <v>71</v>
      </c>
      <c r="S3210" t="s">
        <v>3419</v>
      </c>
      <c r="T3210" t="s">
        <v>3420</v>
      </c>
    </row>
    <row r="3211" spans="1:20" x14ac:dyDescent="0.25">
      <c r="A3211" t="s">
        <v>7856</v>
      </c>
      <c r="B3211" t="str">
        <f>"5026"</f>
        <v>5026</v>
      </c>
      <c r="C3211" t="str">
        <f>"281885026"</f>
        <v>281885026</v>
      </c>
      <c r="D3211" t="s">
        <v>7402</v>
      </c>
      <c r="E3211" t="s">
        <v>250</v>
      </c>
      <c r="F3211" t="s">
        <v>190</v>
      </c>
      <c r="G3211" s="1">
        <v>29786</v>
      </c>
      <c r="H3211" s="1">
        <v>39825</v>
      </c>
      <c r="I3211" t="str">
        <f t="shared" si="67"/>
        <v>51</v>
      </c>
      <c r="J3211" t="s">
        <v>471</v>
      </c>
      <c r="K3211" t="s">
        <v>25</v>
      </c>
      <c r="L3211" t="s">
        <v>26</v>
      </c>
      <c r="M3211" t="s">
        <v>27</v>
      </c>
      <c r="N3211" s="1">
        <v>18629</v>
      </c>
      <c r="O3211">
        <v>0</v>
      </c>
      <c r="P3211">
        <v>0</v>
      </c>
      <c r="Q3211" t="s">
        <v>37</v>
      </c>
      <c r="R3211" t="s">
        <v>258</v>
      </c>
      <c r="S3211" t="s">
        <v>678</v>
      </c>
      <c r="T3211" t="s">
        <v>679</v>
      </c>
    </row>
    <row r="3212" spans="1:20" x14ac:dyDescent="0.25">
      <c r="A3212" t="s">
        <v>7857</v>
      </c>
      <c r="B3212" t="str">
        <f>"1874"</f>
        <v>1874</v>
      </c>
      <c r="C3212" t="str">
        <f>"273501874"</f>
        <v>273501874</v>
      </c>
      <c r="D3212" t="s">
        <v>105</v>
      </c>
      <c r="E3212" t="s">
        <v>335</v>
      </c>
      <c r="G3212" s="1">
        <v>18329</v>
      </c>
      <c r="H3212" s="1">
        <v>39825</v>
      </c>
      <c r="I3212" t="str">
        <f t="shared" si="67"/>
        <v>51</v>
      </c>
      <c r="J3212" t="s">
        <v>471</v>
      </c>
      <c r="K3212" t="s">
        <v>25</v>
      </c>
      <c r="L3212" t="s">
        <v>26</v>
      </c>
      <c r="M3212" t="s">
        <v>27</v>
      </c>
      <c r="N3212" s="1">
        <v>18629</v>
      </c>
      <c r="O3212">
        <v>0</v>
      </c>
      <c r="P3212">
        <v>0</v>
      </c>
      <c r="Q3212" t="s">
        <v>28</v>
      </c>
      <c r="R3212" t="s">
        <v>71</v>
      </c>
      <c r="S3212" t="s">
        <v>305</v>
      </c>
      <c r="T3212" t="s">
        <v>306</v>
      </c>
    </row>
    <row r="3213" spans="1:20" x14ac:dyDescent="0.25">
      <c r="A3213" t="s">
        <v>7858</v>
      </c>
      <c r="B3213" t="str">
        <f>"7246"</f>
        <v>7246</v>
      </c>
      <c r="C3213" t="str">
        <f>"271607246"</f>
        <v>271607246</v>
      </c>
      <c r="D3213" t="s">
        <v>6646</v>
      </c>
      <c r="E3213" t="s">
        <v>7859</v>
      </c>
      <c r="G3213" s="1">
        <v>21194</v>
      </c>
      <c r="H3213" s="1">
        <v>39825</v>
      </c>
      <c r="I3213" t="str">
        <f>"05"</f>
        <v>05</v>
      </c>
      <c r="J3213" t="s">
        <v>58</v>
      </c>
      <c r="L3213" t="s">
        <v>37</v>
      </c>
      <c r="M3213" t="s">
        <v>143</v>
      </c>
      <c r="N3213" s="1">
        <v>41617</v>
      </c>
      <c r="O3213">
        <v>185.9</v>
      </c>
      <c r="P3213">
        <v>-185.9</v>
      </c>
      <c r="Q3213" t="s">
        <v>37</v>
      </c>
      <c r="R3213" t="s">
        <v>71</v>
      </c>
      <c r="S3213" t="s">
        <v>901</v>
      </c>
      <c r="T3213" t="s">
        <v>902</v>
      </c>
    </row>
    <row r="3214" spans="1:20" x14ac:dyDescent="0.25">
      <c r="A3214" t="s">
        <v>7860</v>
      </c>
      <c r="B3214" t="str">
        <f>"8812"</f>
        <v>8812</v>
      </c>
      <c r="C3214" t="str">
        <f>"300808812"</f>
        <v>300808812</v>
      </c>
      <c r="D3214" t="s">
        <v>3921</v>
      </c>
      <c r="E3214" t="s">
        <v>227</v>
      </c>
      <c r="F3214" t="s">
        <v>190</v>
      </c>
      <c r="G3214" s="1">
        <v>30635</v>
      </c>
      <c r="H3214" s="1">
        <v>39825</v>
      </c>
      <c r="I3214" t="str">
        <f>"51"</f>
        <v>51</v>
      </c>
      <c r="J3214" t="s">
        <v>471</v>
      </c>
      <c r="K3214" t="s">
        <v>25</v>
      </c>
      <c r="L3214" t="s">
        <v>26</v>
      </c>
      <c r="M3214" t="s">
        <v>27</v>
      </c>
      <c r="N3214" s="1">
        <v>18629</v>
      </c>
      <c r="O3214">
        <v>0</v>
      </c>
      <c r="P3214">
        <v>0</v>
      </c>
      <c r="Q3214" t="s">
        <v>28</v>
      </c>
      <c r="R3214" t="s">
        <v>71</v>
      </c>
      <c r="S3214" t="s">
        <v>5366</v>
      </c>
      <c r="T3214" t="s">
        <v>5367</v>
      </c>
    </row>
    <row r="3215" spans="1:20" x14ac:dyDescent="0.25">
      <c r="A3215" t="s">
        <v>7861</v>
      </c>
      <c r="B3215" t="str">
        <f>"3006"</f>
        <v>3006</v>
      </c>
      <c r="C3215" t="str">
        <f>"301503006"</f>
        <v>301503006</v>
      </c>
      <c r="D3215" t="s">
        <v>7862</v>
      </c>
      <c r="E3215" t="s">
        <v>1813</v>
      </c>
      <c r="F3215" t="s">
        <v>165</v>
      </c>
      <c r="G3215" s="1">
        <v>18776</v>
      </c>
      <c r="H3215" s="1">
        <v>39825</v>
      </c>
      <c r="I3215" t="str">
        <f>"01"</f>
        <v>01</v>
      </c>
      <c r="J3215" t="s">
        <v>116</v>
      </c>
      <c r="K3215" t="s">
        <v>98</v>
      </c>
      <c r="L3215" t="s">
        <v>37</v>
      </c>
      <c r="M3215" t="s">
        <v>257</v>
      </c>
      <c r="N3215" s="1">
        <v>41617</v>
      </c>
      <c r="O3215">
        <v>10753.08</v>
      </c>
      <c r="P3215">
        <v>2688.4</v>
      </c>
      <c r="Q3215" t="s">
        <v>37</v>
      </c>
      <c r="R3215" t="s">
        <v>51</v>
      </c>
      <c r="S3215" t="s">
        <v>795</v>
      </c>
      <c r="T3215" t="s">
        <v>796</v>
      </c>
    </row>
    <row r="3216" spans="1:20" x14ac:dyDescent="0.25">
      <c r="A3216" t="s">
        <v>7863</v>
      </c>
      <c r="B3216" t="str">
        <f>"1630"</f>
        <v>1630</v>
      </c>
      <c r="C3216" t="str">
        <f>"313881630"</f>
        <v>313881630</v>
      </c>
      <c r="D3216" t="s">
        <v>7864</v>
      </c>
      <c r="E3216" t="s">
        <v>322</v>
      </c>
      <c r="F3216" t="s">
        <v>219</v>
      </c>
      <c r="G3216" s="1">
        <v>30121</v>
      </c>
      <c r="H3216" s="1">
        <v>39825</v>
      </c>
      <c r="I3216" t="str">
        <f>"51"</f>
        <v>51</v>
      </c>
      <c r="J3216" t="s">
        <v>471</v>
      </c>
      <c r="K3216" t="s">
        <v>25</v>
      </c>
      <c r="L3216" t="s">
        <v>26</v>
      </c>
      <c r="M3216" t="s">
        <v>27</v>
      </c>
      <c r="N3216" s="1">
        <v>18629</v>
      </c>
      <c r="O3216">
        <v>0</v>
      </c>
      <c r="P3216">
        <v>0</v>
      </c>
      <c r="Q3216" t="s">
        <v>37</v>
      </c>
      <c r="R3216" t="s">
        <v>71</v>
      </c>
      <c r="S3216" t="s">
        <v>5022</v>
      </c>
      <c r="T3216" t="s">
        <v>5023</v>
      </c>
    </row>
    <row r="3217" spans="1:20" x14ac:dyDescent="0.25">
      <c r="A3217" t="s">
        <v>7865</v>
      </c>
      <c r="B3217" t="str">
        <f>"2797"</f>
        <v>2797</v>
      </c>
      <c r="C3217" t="str">
        <f>"277902797"</f>
        <v>277902797</v>
      </c>
      <c r="D3217" t="s">
        <v>7866</v>
      </c>
      <c r="E3217" t="s">
        <v>782</v>
      </c>
      <c r="F3217" t="s">
        <v>44</v>
      </c>
      <c r="G3217" s="1">
        <v>30715</v>
      </c>
      <c r="H3217" s="1">
        <v>39825</v>
      </c>
      <c r="I3217" t="str">
        <f>"51"</f>
        <v>51</v>
      </c>
      <c r="J3217" t="s">
        <v>471</v>
      </c>
      <c r="K3217" t="s">
        <v>25</v>
      </c>
      <c r="L3217" t="s">
        <v>26</v>
      </c>
      <c r="M3217" t="s">
        <v>27</v>
      </c>
      <c r="N3217" s="1">
        <v>18629</v>
      </c>
      <c r="O3217">
        <v>0</v>
      </c>
      <c r="P3217">
        <v>0</v>
      </c>
      <c r="Q3217" t="s">
        <v>37</v>
      </c>
      <c r="R3217" t="s">
        <v>71</v>
      </c>
      <c r="S3217" t="s">
        <v>6172</v>
      </c>
      <c r="T3217" t="s">
        <v>6173</v>
      </c>
    </row>
    <row r="3218" spans="1:20" x14ac:dyDescent="0.25">
      <c r="A3218" t="s">
        <v>7867</v>
      </c>
      <c r="B3218" t="str">
        <f>"4377"</f>
        <v>4377</v>
      </c>
      <c r="C3218" t="str">
        <f>"272404377"</f>
        <v>272404377</v>
      </c>
      <c r="D3218" t="s">
        <v>7868</v>
      </c>
      <c r="E3218" t="s">
        <v>179</v>
      </c>
      <c r="F3218" t="s">
        <v>97</v>
      </c>
      <c r="G3218" s="1">
        <v>16956</v>
      </c>
      <c r="H3218" s="1">
        <v>39825</v>
      </c>
      <c r="I3218" t="str">
        <f>"51"</f>
        <v>51</v>
      </c>
      <c r="J3218" t="s">
        <v>471</v>
      </c>
      <c r="K3218" t="s">
        <v>25</v>
      </c>
      <c r="L3218" t="s">
        <v>26</v>
      </c>
      <c r="M3218" t="s">
        <v>27</v>
      </c>
      <c r="N3218" s="1">
        <v>18629</v>
      </c>
      <c r="O3218">
        <v>0</v>
      </c>
      <c r="P3218">
        <v>0</v>
      </c>
      <c r="Q3218" t="s">
        <v>28</v>
      </c>
      <c r="R3218" t="s">
        <v>29</v>
      </c>
      <c r="S3218" t="s">
        <v>7869</v>
      </c>
      <c r="T3218" t="s">
        <v>7870</v>
      </c>
    </row>
    <row r="3219" spans="1:20" x14ac:dyDescent="0.25">
      <c r="A3219" t="s">
        <v>7871</v>
      </c>
      <c r="B3219" t="str">
        <f>"7938"</f>
        <v>7938</v>
      </c>
      <c r="C3219" t="str">
        <f>"271767938"</f>
        <v>271767938</v>
      </c>
      <c r="D3219" t="s">
        <v>7872</v>
      </c>
      <c r="E3219" t="s">
        <v>899</v>
      </c>
      <c r="F3219" t="s">
        <v>165</v>
      </c>
      <c r="G3219" s="1">
        <v>23527</v>
      </c>
      <c r="H3219" s="1">
        <v>39825</v>
      </c>
      <c r="I3219" t="str">
        <f>"41"</f>
        <v>41</v>
      </c>
      <c r="J3219" t="s">
        <v>24</v>
      </c>
      <c r="K3219" t="s">
        <v>25</v>
      </c>
      <c r="L3219" t="s">
        <v>26</v>
      </c>
      <c r="M3219" t="s">
        <v>27</v>
      </c>
      <c r="N3219" s="1">
        <v>18629</v>
      </c>
      <c r="O3219">
        <v>0</v>
      </c>
      <c r="P3219">
        <v>0</v>
      </c>
      <c r="Q3219" t="s">
        <v>37</v>
      </c>
      <c r="R3219" t="s">
        <v>29</v>
      </c>
      <c r="S3219" t="s">
        <v>138</v>
      </c>
      <c r="T3219" t="s">
        <v>139</v>
      </c>
    </row>
    <row r="3220" spans="1:20" x14ac:dyDescent="0.25">
      <c r="A3220" t="s">
        <v>7873</v>
      </c>
      <c r="B3220" t="str">
        <f>"8409"</f>
        <v>8409</v>
      </c>
      <c r="C3220" t="str">
        <f>"279988409"</f>
        <v>279988409</v>
      </c>
      <c r="D3220" t="s">
        <v>7874</v>
      </c>
      <c r="E3220" t="s">
        <v>7875</v>
      </c>
      <c r="F3220" t="s">
        <v>93</v>
      </c>
      <c r="G3220" s="1">
        <v>29204</v>
      </c>
      <c r="H3220" s="1">
        <v>39825</v>
      </c>
      <c r="I3220" t="str">
        <f t="shared" ref="I3220:I3230" si="68">"51"</f>
        <v>51</v>
      </c>
      <c r="J3220" t="s">
        <v>471</v>
      </c>
      <c r="K3220" t="s">
        <v>25</v>
      </c>
      <c r="L3220" t="s">
        <v>26</v>
      </c>
      <c r="M3220" t="s">
        <v>27</v>
      </c>
      <c r="N3220" s="1">
        <v>18629</v>
      </c>
      <c r="O3220">
        <v>0</v>
      </c>
      <c r="P3220">
        <v>0</v>
      </c>
      <c r="Q3220" t="s">
        <v>37</v>
      </c>
      <c r="R3220" t="s">
        <v>71</v>
      </c>
      <c r="S3220" t="s">
        <v>2458</v>
      </c>
      <c r="T3220" t="s">
        <v>2459</v>
      </c>
    </row>
    <row r="3221" spans="1:20" x14ac:dyDescent="0.25">
      <c r="A3221" t="s">
        <v>7876</v>
      </c>
      <c r="B3221" t="str">
        <f>"0488"</f>
        <v>0488</v>
      </c>
      <c r="C3221" t="str">
        <f>"295110488"</f>
        <v>295110488</v>
      </c>
      <c r="D3221" t="s">
        <v>7877</v>
      </c>
      <c r="E3221" t="s">
        <v>7878</v>
      </c>
      <c r="F3221" t="s">
        <v>2308</v>
      </c>
      <c r="G3221" s="1">
        <v>26411</v>
      </c>
      <c r="H3221" s="1">
        <v>39823</v>
      </c>
      <c r="I3221" t="str">
        <f t="shared" si="68"/>
        <v>51</v>
      </c>
      <c r="J3221" t="s">
        <v>471</v>
      </c>
      <c r="K3221" t="s">
        <v>25</v>
      </c>
      <c r="L3221" t="s">
        <v>26</v>
      </c>
      <c r="M3221" t="s">
        <v>27</v>
      </c>
      <c r="N3221" s="1">
        <v>18629</v>
      </c>
      <c r="O3221">
        <v>0</v>
      </c>
      <c r="P3221">
        <v>0</v>
      </c>
      <c r="Q3221" t="s">
        <v>37</v>
      </c>
      <c r="R3221" t="s">
        <v>29</v>
      </c>
      <c r="S3221" t="s">
        <v>6647</v>
      </c>
      <c r="T3221" t="s">
        <v>6648</v>
      </c>
    </row>
    <row r="3222" spans="1:20" x14ac:dyDescent="0.25">
      <c r="A3222" t="s">
        <v>7879</v>
      </c>
      <c r="B3222" t="str">
        <f>"8219"</f>
        <v>8219</v>
      </c>
      <c r="C3222" t="str">
        <f>"279488219"</f>
        <v>279488219</v>
      </c>
      <c r="D3222" t="s">
        <v>7880</v>
      </c>
      <c r="E3222" t="s">
        <v>2027</v>
      </c>
      <c r="F3222" t="s">
        <v>44</v>
      </c>
      <c r="G3222" s="1">
        <v>17445</v>
      </c>
      <c r="H3222" s="1">
        <v>39823</v>
      </c>
      <c r="I3222" t="str">
        <f t="shared" si="68"/>
        <v>51</v>
      </c>
      <c r="J3222" t="s">
        <v>471</v>
      </c>
      <c r="K3222" t="s">
        <v>25</v>
      </c>
      <c r="L3222" t="s">
        <v>26</v>
      </c>
      <c r="M3222" t="s">
        <v>27</v>
      </c>
      <c r="N3222" s="1">
        <v>18629</v>
      </c>
      <c r="O3222">
        <v>0</v>
      </c>
      <c r="P3222">
        <v>0</v>
      </c>
      <c r="Q3222" t="s">
        <v>28</v>
      </c>
      <c r="R3222" t="s">
        <v>51</v>
      </c>
      <c r="S3222" s="2" t="s">
        <v>4664</v>
      </c>
      <c r="T3222" t="s">
        <v>4665</v>
      </c>
    </row>
    <row r="3223" spans="1:20" x14ac:dyDescent="0.25">
      <c r="A3223" t="s">
        <v>7881</v>
      </c>
      <c r="B3223" t="str">
        <f>"0356"</f>
        <v>0356</v>
      </c>
      <c r="C3223" t="str">
        <f>"297520356"</f>
        <v>297520356</v>
      </c>
      <c r="D3223" t="s">
        <v>7882</v>
      </c>
      <c r="E3223" t="s">
        <v>7883</v>
      </c>
      <c r="F3223" t="s">
        <v>165</v>
      </c>
      <c r="G3223" s="1">
        <v>18949</v>
      </c>
      <c r="H3223" s="1">
        <v>39823</v>
      </c>
      <c r="I3223" t="str">
        <f t="shared" si="68"/>
        <v>51</v>
      </c>
      <c r="J3223" t="s">
        <v>471</v>
      </c>
      <c r="K3223" t="s">
        <v>25</v>
      </c>
      <c r="L3223" t="s">
        <v>26</v>
      </c>
      <c r="M3223" t="s">
        <v>27</v>
      </c>
      <c r="N3223" s="1">
        <v>18629</v>
      </c>
      <c r="O3223">
        <v>0</v>
      </c>
      <c r="P3223">
        <v>0</v>
      </c>
      <c r="Q3223" t="s">
        <v>28</v>
      </c>
      <c r="R3223" t="s">
        <v>71</v>
      </c>
      <c r="S3223" t="s">
        <v>5366</v>
      </c>
      <c r="T3223" t="s">
        <v>5367</v>
      </c>
    </row>
    <row r="3224" spans="1:20" x14ac:dyDescent="0.25">
      <c r="A3224" t="s">
        <v>7884</v>
      </c>
      <c r="B3224" t="str">
        <f>"1422"</f>
        <v>1422</v>
      </c>
      <c r="C3224" t="str">
        <f>"092561422"</f>
        <v>092561422</v>
      </c>
      <c r="D3224" t="s">
        <v>7885</v>
      </c>
      <c r="E3224" t="s">
        <v>197</v>
      </c>
      <c r="F3224" t="s">
        <v>3934</v>
      </c>
      <c r="G3224" s="1">
        <v>22270</v>
      </c>
      <c r="H3224" s="1">
        <v>39823</v>
      </c>
      <c r="I3224" t="str">
        <f t="shared" si="68"/>
        <v>51</v>
      </c>
      <c r="J3224" t="s">
        <v>471</v>
      </c>
      <c r="K3224" t="s">
        <v>25</v>
      </c>
      <c r="L3224" t="s">
        <v>26</v>
      </c>
      <c r="M3224" t="s">
        <v>27</v>
      </c>
      <c r="N3224" s="1">
        <v>18629</v>
      </c>
      <c r="O3224">
        <v>0</v>
      </c>
      <c r="P3224">
        <v>0</v>
      </c>
      <c r="Q3224" t="s">
        <v>28</v>
      </c>
      <c r="R3224" t="s">
        <v>29</v>
      </c>
      <c r="S3224" t="s">
        <v>5366</v>
      </c>
      <c r="T3224" t="s">
        <v>5367</v>
      </c>
    </row>
    <row r="3225" spans="1:20" x14ac:dyDescent="0.25">
      <c r="A3225" t="s">
        <v>7886</v>
      </c>
      <c r="B3225" t="str">
        <f>"0630"</f>
        <v>0630</v>
      </c>
      <c r="C3225" t="str">
        <f>"290820630"</f>
        <v>290820630</v>
      </c>
      <c r="D3225" t="s">
        <v>7887</v>
      </c>
      <c r="E3225" t="s">
        <v>3587</v>
      </c>
      <c r="F3225" t="s">
        <v>44</v>
      </c>
      <c r="G3225" s="1">
        <v>30372</v>
      </c>
      <c r="H3225" s="1">
        <v>39823</v>
      </c>
      <c r="I3225" t="str">
        <f t="shared" si="68"/>
        <v>51</v>
      </c>
      <c r="J3225" t="s">
        <v>471</v>
      </c>
      <c r="K3225" t="s">
        <v>25</v>
      </c>
      <c r="L3225" t="s">
        <v>26</v>
      </c>
      <c r="M3225" t="s">
        <v>27</v>
      </c>
      <c r="N3225" s="1">
        <v>18629</v>
      </c>
      <c r="O3225">
        <v>0</v>
      </c>
      <c r="P3225">
        <v>0</v>
      </c>
      <c r="Q3225" t="s">
        <v>37</v>
      </c>
      <c r="R3225" t="s">
        <v>29</v>
      </c>
      <c r="S3225" t="s">
        <v>3719</v>
      </c>
      <c r="T3225" t="s">
        <v>3720</v>
      </c>
    </row>
    <row r="3226" spans="1:20" x14ac:dyDescent="0.25">
      <c r="A3226" t="s">
        <v>7888</v>
      </c>
      <c r="B3226" t="str">
        <f>"4650"</f>
        <v>4650</v>
      </c>
      <c r="C3226" t="str">
        <f>"287624650"</f>
        <v>287624650</v>
      </c>
      <c r="D3226" t="s">
        <v>5247</v>
      </c>
      <c r="E3226" t="s">
        <v>35</v>
      </c>
      <c r="F3226" t="s">
        <v>1032</v>
      </c>
      <c r="G3226" s="1">
        <v>23427</v>
      </c>
      <c r="H3226" s="1">
        <v>39823</v>
      </c>
      <c r="I3226" t="str">
        <f t="shared" si="68"/>
        <v>51</v>
      </c>
      <c r="J3226" t="s">
        <v>471</v>
      </c>
      <c r="K3226" t="s">
        <v>25</v>
      </c>
      <c r="L3226" t="s">
        <v>26</v>
      </c>
      <c r="M3226" t="s">
        <v>27</v>
      </c>
      <c r="N3226" s="1">
        <v>18629</v>
      </c>
      <c r="O3226">
        <v>0</v>
      </c>
      <c r="P3226">
        <v>0</v>
      </c>
      <c r="Q3226" t="s">
        <v>28</v>
      </c>
      <c r="R3226" t="s">
        <v>51</v>
      </c>
      <c r="S3226" t="s">
        <v>2732</v>
      </c>
      <c r="T3226" t="s">
        <v>2733</v>
      </c>
    </row>
    <row r="3227" spans="1:20" x14ac:dyDescent="0.25">
      <c r="A3227" t="s">
        <v>7889</v>
      </c>
      <c r="B3227" t="str">
        <f>"9495"</f>
        <v>9495</v>
      </c>
      <c r="C3227" t="str">
        <f>"323449495"</f>
        <v>323449495</v>
      </c>
      <c r="D3227" t="s">
        <v>7890</v>
      </c>
      <c r="E3227" t="s">
        <v>3605</v>
      </c>
      <c r="F3227" t="s">
        <v>256</v>
      </c>
      <c r="G3227" s="1">
        <v>18170</v>
      </c>
      <c r="H3227" s="1">
        <v>39823</v>
      </c>
      <c r="I3227" t="str">
        <f t="shared" si="68"/>
        <v>51</v>
      </c>
      <c r="J3227" t="s">
        <v>471</v>
      </c>
      <c r="K3227" t="s">
        <v>25</v>
      </c>
      <c r="L3227" t="s">
        <v>26</v>
      </c>
      <c r="M3227" t="s">
        <v>27</v>
      </c>
      <c r="N3227" s="1">
        <v>18629</v>
      </c>
      <c r="O3227">
        <v>0</v>
      </c>
      <c r="P3227">
        <v>0</v>
      </c>
      <c r="Q3227" t="s">
        <v>37</v>
      </c>
      <c r="R3227" t="s">
        <v>51</v>
      </c>
      <c r="S3227" s="2" t="s">
        <v>5804</v>
      </c>
      <c r="T3227" t="s">
        <v>5805</v>
      </c>
    </row>
    <row r="3228" spans="1:20" x14ac:dyDescent="0.25">
      <c r="A3228" t="s">
        <v>7891</v>
      </c>
      <c r="B3228" t="str">
        <f>"0336"</f>
        <v>0336</v>
      </c>
      <c r="C3228" t="str">
        <f>"300560336"</f>
        <v>300560336</v>
      </c>
      <c r="D3228" t="s">
        <v>7892</v>
      </c>
      <c r="E3228" t="s">
        <v>1287</v>
      </c>
      <c r="F3228" t="s">
        <v>7893</v>
      </c>
      <c r="G3228" s="1">
        <v>20204</v>
      </c>
      <c r="H3228" s="1">
        <v>39823</v>
      </c>
      <c r="I3228" t="str">
        <f t="shared" si="68"/>
        <v>51</v>
      </c>
      <c r="J3228" t="s">
        <v>471</v>
      </c>
      <c r="K3228" t="s">
        <v>25</v>
      </c>
      <c r="L3228" t="s">
        <v>26</v>
      </c>
      <c r="M3228" t="s">
        <v>27</v>
      </c>
      <c r="N3228" s="1">
        <v>18629</v>
      </c>
      <c r="O3228">
        <v>0</v>
      </c>
      <c r="P3228">
        <v>0</v>
      </c>
      <c r="Q3228" t="s">
        <v>37</v>
      </c>
      <c r="R3228" t="s">
        <v>51</v>
      </c>
      <c r="S3228" s="2" t="s">
        <v>3778</v>
      </c>
      <c r="T3228" t="s">
        <v>3779</v>
      </c>
    </row>
    <row r="3229" spans="1:20" x14ac:dyDescent="0.25">
      <c r="A3229" t="s">
        <v>7894</v>
      </c>
      <c r="B3229" t="str">
        <f>"6340"</f>
        <v>6340</v>
      </c>
      <c r="C3229" t="str">
        <f>"130286340"</f>
        <v>130286340</v>
      </c>
      <c r="D3229" t="s">
        <v>7895</v>
      </c>
      <c r="E3229" t="s">
        <v>3558</v>
      </c>
      <c r="G3229" s="1">
        <v>13604</v>
      </c>
      <c r="H3229" s="1">
        <v>39823</v>
      </c>
      <c r="I3229" t="str">
        <f t="shared" si="68"/>
        <v>51</v>
      </c>
      <c r="J3229" t="s">
        <v>471</v>
      </c>
      <c r="K3229" t="s">
        <v>25</v>
      </c>
      <c r="L3229" t="s">
        <v>26</v>
      </c>
      <c r="M3229" t="s">
        <v>27</v>
      </c>
      <c r="N3229" s="1">
        <v>18629</v>
      </c>
      <c r="O3229">
        <v>0</v>
      </c>
      <c r="P3229">
        <v>0</v>
      </c>
      <c r="Q3229" t="s">
        <v>28</v>
      </c>
      <c r="R3229" t="s">
        <v>29</v>
      </c>
      <c r="S3229" t="s">
        <v>83</v>
      </c>
      <c r="T3229" t="s">
        <v>84</v>
      </c>
    </row>
    <row r="3230" spans="1:20" x14ac:dyDescent="0.25">
      <c r="A3230" t="s">
        <v>7896</v>
      </c>
      <c r="B3230" t="str">
        <f>"6833"</f>
        <v>6833</v>
      </c>
      <c r="C3230" t="str">
        <f>"273606833"</f>
        <v>273606833</v>
      </c>
      <c r="D3230" t="s">
        <v>753</v>
      </c>
      <c r="E3230" t="s">
        <v>7897</v>
      </c>
      <c r="G3230" s="1">
        <v>26393</v>
      </c>
      <c r="H3230" s="1">
        <v>39823</v>
      </c>
      <c r="I3230" t="str">
        <f t="shared" si="68"/>
        <v>51</v>
      </c>
      <c r="J3230" t="s">
        <v>471</v>
      </c>
      <c r="K3230" t="s">
        <v>25</v>
      </c>
      <c r="L3230" t="s">
        <v>26</v>
      </c>
      <c r="M3230" t="s">
        <v>27</v>
      </c>
      <c r="N3230" s="1">
        <v>18629</v>
      </c>
      <c r="O3230">
        <v>0</v>
      </c>
      <c r="P3230">
        <v>0</v>
      </c>
      <c r="Q3230" t="s">
        <v>37</v>
      </c>
      <c r="R3230" t="s">
        <v>29</v>
      </c>
      <c r="S3230" t="s">
        <v>1605</v>
      </c>
      <c r="T3230" t="s">
        <v>1606</v>
      </c>
    </row>
    <row r="3231" spans="1:20" x14ac:dyDescent="0.25">
      <c r="A3231" t="s">
        <v>7898</v>
      </c>
      <c r="B3231" t="str">
        <f>"3059"</f>
        <v>3059</v>
      </c>
      <c r="C3231" t="str">
        <f>"564603059"</f>
        <v>564603059</v>
      </c>
      <c r="D3231" t="s">
        <v>724</v>
      </c>
      <c r="E3231" t="s">
        <v>634</v>
      </c>
      <c r="F3231" t="s">
        <v>44</v>
      </c>
      <c r="G3231" s="1">
        <v>16637</v>
      </c>
      <c r="H3231" s="1">
        <v>39823</v>
      </c>
      <c r="I3231" t="str">
        <f>"50"</f>
        <v>50</v>
      </c>
      <c r="J3231" t="s">
        <v>208</v>
      </c>
      <c r="K3231" t="s">
        <v>25</v>
      </c>
      <c r="L3231" t="s">
        <v>26</v>
      </c>
      <c r="M3231" t="s">
        <v>27</v>
      </c>
      <c r="N3231" s="1">
        <v>18629</v>
      </c>
      <c r="O3231">
        <v>0</v>
      </c>
      <c r="P3231">
        <v>0</v>
      </c>
      <c r="Q3231" t="s">
        <v>37</v>
      </c>
      <c r="R3231" t="s">
        <v>29</v>
      </c>
      <c r="S3231" t="s">
        <v>240</v>
      </c>
      <c r="T3231" t="s">
        <v>241</v>
      </c>
    </row>
    <row r="3232" spans="1:20" x14ac:dyDescent="0.25">
      <c r="A3232" t="s">
        <v>7899</v>
      </c>
      <c r="B3232" t="str">
        <f>"2808"</f>
        <v>2808</v>
      </c>
      <c r="C3232" t="str">
        <f>"283642808"</f>
        <v>283642808</v>
      </c>
      <c r="D3232" t="s">
        <v>3718</v>
      </c>
      <c r="E3232" t="s">
        <v>3490</v>
      </c>
      <c r="F3232" t="s">
        <v>282</v>
      </c>
      <c r="G3232" s="1">
        <v>21082</v>
      </c>
      <c r="H3232" s="1">
        <v>39823</v>
      </c>
      <c r="I3232" t="str">
        <f t="shared" ref="I3232:I3238" si="69">"51"</f>
        <v>51</v>
      </c>
      <c r="J3232" t="s">
        <v>471</v>
      </c>
      <c r="K3232" t="s">
        <v>25</v>
      </c>
      <c r="L3232" t="s">
        <v>26</v>
      </c>
      <c r="M3232" t="s">
        <v>27</v>
      </c>
      <c r="N3232" s="1">
        <v>18629</v>
      </c>
      <c r="O3232">
        <v>0</v>
      </c>
      <c r="P3232">
        <v>0</v>
      </c>
      <c r="Q3232" t="s">
        <v>28</v>
      </c>
      <c r="R3232" t="s">
        <v>29</v>
      </c>
      <c r="S3232" t="s">
        <v>765</v>
      </c>
      <c r="T3232" t="s">
        <v>766</v>
      </c>
    </row>
    <row r="3233" spans="1:20" x14ac:dyDescent="0.25">
      <c r="A3233" t="s">
        <v>7900</v>
      </c>
      <c r="B3233" t="str">
        <f>"3616"</f>
        <v>3616</v>
      </c>
      <c r="C3233" t="str">
        <f>"280423616"</f>
        <v>280423616</v>
      </c>
      <c r="D3233" t="s">
        <v>7901</v>
      </c>
      <c r="E3233" t="s">
        <v>33</v>
      </c>
      <c r="F3233" t="s">
        <v>832</v>
      </c>
      <c r="G3233" s="1">
        <v>17390</v>
      </c>
      <c r="H3233" s="1">
        <v>39823</v>
      </c>
      <c r="I3233" t="str">
        <f t="shared" si="69"/>
        <v>51</v>
      </c>
      <c r="J3233" t="s">
        <v>471</v>
      </c>
      <c r="K3233" t="s">
        <v>25</v>
      </c>
      <c r="L3233" t="s">
        <v>26</v>
      </c>
      <c r="M3233" t="s">
        <v>27</v>
      </c>
      <c r="N3233" s="1">
        <v>18629</v>
      </c>
      <c r="O3233">
        <v>0</v>
      </c>
      <c r="P3233">
        <v>0</v>
      </c>
      <c r="Q3233" t="s">
        <v>28</v>
      </c>
      <c r="R3233" t="s">
        <v>29</v>
      </c>
      <c r="S3233" t="s">
        <v>1427</v>
      </c>
      <c r="T3233" t="s">
        <v>1428</v>
      </c>
    </row>
    <row r="3234" spans="1:20" x14ac:dyDescent="0.25">
      <c r="A3234" t="s">
        <v>7902</v>
      </c>
      <c r="B3234" t="str">
        <f>"1917"</f>
        <v>1917</v>
      </c>
      <c r="C3234" t="str">
        <f>"301821917"</f>
        <v>301821917</v>
      </c>
      <c r="D3234" t="s">
        <v>3696</v>
      </c>
      <c r="E3234" t="s">
        <v>1846</v>
      </c>
      <c r="F3234" t="s">
        <v>358</v>
      </c>
      <c r="G3234" s="1">
        <v>25793</v>
      </c>
      <c r="H3234" s="1">
        <v>39823</v>
      </c>
      <c r="I3234" t="str">
        <f t="shared" si="69"/>
        <v>51</v>
      </c>
      <c r="J3234" t="s">
        <v>471</v>
      </c>
      <c r="K3234" t="s">
        <v>25</v>
      </c>
      <c r="L3234" t="s">
        <v>26</v>
      </c>
      <c r="M3234" t="s">
        <v>27</v>
      </c>
      <c r="N3234" s="1">
        <v>18629</v>
      </c>
      <c r="O3234">
        <v>0</v>
      </c>
      <c r="P3234">
        <v>0</v>
      </c>
      <c r="Q3234" t="s">
        <v>37</v>
      </c>
      <c r="R3234" t="s">
        <v>29</v>
      </c>
      <c r="S3234" t="s">
        <v>138</v>
      </c>
      <c r="T3234" t="s">
        <v>139</v>
      </c>
    </row>
    <row r="3235" spans="1:20" x14ac:dyDescent="0.25">
      <c r="A3235" t="s">
        <v>7903</v>
      </c>
      <c r="B3235" t="str">
        <f>"2226"</f>
        <v>2226</v>
      </c>
      <c r="C3235" t="str">
        <f>"286842226"</f>
        <v>286842226</v>
      </c>
      <c r="D3235" t="s">
        <v>7904</v>
      </c>
      <c r="E3235" t="s">
        <v>1639</v>
      </c>
      <c r="F3235" t="s">
        <v>97</v>
      </c>
      <c r="G3235" s="1">
        <v>28607</v>
      </c>
      <c r="H3235" s="1">
        <v>39823</v>
      </c>
      <c r="I3235" t="str">
        <f t="shared" si="69"/>
        <v>51</v>
      </c>
      <c r="J3235" t="s">
        <v>471</v>
      </c>
      <c r="K3235" t="s">
        <v>25</v>
      </c>
      <c r="L3235" t="s">
        <v>26</v>
      </c>
      <c r="M3235" t="s">
        <v>27</v>
      </c>
      <c r="N3235" s="1">
        <v>18629</v>
      </c>
      <c r="O3235">
        <v>0</v>
      </c>
      <c r="P3235">
        <v>0</v>
      </c>
      <c r="Q3235" t="s">
        <v>28</v>
      </c>
      <c r="R3235" t="s">
        <v>51</v>
      </c>
      <c r="S3235" s="2" t="s">
        <v>4118</v>
      </c>
      <c r="T3235" t="s">
        <v>4119</v>
      </c>
    </row>
    <row r="3236" spans="1:20" x14ac:dyDescent="0.25">
      <c r="A3236" t="s">
        <v>7905</v>
      </c>
      <c r="B3236" t="str">
        <f>"8035"</f>
        <v>8035</v>
      </c>
      <c r="C3236" t="str">
        <f>"302968035"</f>
        <v>302968035</v>
      </c>
      <c r="D3236" t="s">
        <v>7906</v>
      </c>
      <c r="E3236" t="s">
        <v>7907</v>
      </c>
      <c r="G3236" s="1">
        <v>24575</v>
      </c>
      <c r="H3236" s="1">
        <v>39823</v>
      </c>
      <c r="I3236" t="str">
        <f t="shared" si="69"/>
        <v>51</v>
      </c>
      <c r="J3236" t="s">
        <v>471</v>
      </c>
      <c r="K3236" t="s">
        <v>25</v>
      </c>
      <c r="L3236" t="s">
        <v>26</v>
      </c>
      <c r="M3236" t="s">
        <v>27</v>
      </c>
      <c r="N3236" s="1">
        <v>18629</v>
      </c>
      <c r="O3236">
        <v>0</v>
      </c>
      <c r="P3236">
        <v>0</v>
      </c>
      <c r="Q3236" t="s">
        <v>37</v>
      </c>
      <c r="R3236" t="s">
        <v>51</v>
      </c>
      <c r="S3236" s="2" t="s">
        <v>7908</v>
      </c>
      <c r="T3236" t="s">
        <v>7909</v>
      </c>
    </row>
    <row r="3237" spans="1:20" x14ac:dyDescent="0.25">
      <c r="A3237" t="s">
        <v>7910</v>
      </c>
      <c r="B3237" t="str">
        <f>"5648"</f>
        <v>5648</v>
      </c>
      <c r="C3237" t="str">
        <f>"475985648"</f>
        <v>475985648</v>
      </c>
      <c r="D3237" t="s">
        <v>7911</v>
      </c>
      <c r="E3237" t="s">
        <v>7912</v>
      </c>
      <c r="F3237" t="s">
        <v>49</v>
      </c>
      <c r="G3237" s="1">
        <v>30219</v>
      </c>
      <c r="H3237" s="1">
        <v>39823</v>
      </c>
      <c r="I3237" t="str">
        <f t="shared" si="69"/>
        <v>51</v>
      </c>
      <c r="J3237" t="s">
        <v>471</v>
      </c>
      <c r="K3237" t="s">
        <v>25</v>
      </c>
      <c r="L3237" t="s">
        <v>26</v>
      </c>
      <c r="M3237" t="s">
        <v>27</v>
      </c>
      <c r="N3237" s="1">
        <v>18629</v>
      </c>
      <c r="O3237">
        <v>0</v>
      </c>
      <c r="P3237">
        <v>0</v>
      </c>
      <c r="Q3237" t="s">
        <v>37</v>
      </c>
      <c r="R3237" t="s">
        <v>29</v>
      </c>
      <c r="S3237" t="s">
        <v>5366</v>
      </c>
      <c r="T3237" t="s">
        <v>5367</v>
      </c>
    </row>
    <row r="3238" spans="1:20" x14ac:dyDescent="0.25">
      <c r="A3238" t="s">
        <v>7913</v>
      </c>
      <c r="B3238" t="str">
        <f>"3535"</f>
        <v>3535</v>
      </c>
      <c r="C3238" t="str">
        <f>"281603535"</f>
        <v>281603535</v>
      </c>
      <c r="D3238" t="s">
        <v>1446</v>
      </c>
      <c r="E3238" t="s">
        <v>7914</v>
      </c>
      <c r="F3238" t="s">
        <v>2075</v>
      </c>
      <c r="G3238" s="1">
        <v>20831</v>
      </c>
      <c r="H3238" s="1">
        <v>39822</v>
      </c>
      <c r="I3238" t="str">
        <f t="shared" si="69"/>
        <v>51</v>
      </c>
      <c r="J3238" t="s">
        <v>471</v>
      </c>
      <c r="K3238" t="s">
        <v>25</v>
      </c>
      <c r="L3238" t="s">
        <v>26</v>
      </c>
      <c r="M3238" t="s">
        <v>27</v>
      </c>
      <c r="N3238" s="1">
        <v>18629</v>
      </c>
      <c r="O3238">
        <v>0</v>
      </c>
      <c r="P3238">
        <v>0</v>
      </c>
      <c r="Q3238" t="s">
        <v>37</v>
      </c>
      <c r="R3238" t="s">
        <v>29</v>
      </c>
      <c r="S3238" t="s">
        <v>1075</v>
      </c>
      <c r="T3238" t="s">
        <v>1076</v>
      </c>
    </row>
    <row r="3239" spans="1:20" x14ac:dyDescent="0.25">
      <c r="A3239" t="s">
        <v>7915</v>
      </c>
      <c r="B3239" t="str">
        <f>"6301"</f>
        <v>6301</v>
      </c>
      <c r="C3239" t="str">
        <f>"271546301"</f>
        <v>271546301</v>
      </c>
      <c r="D3239" t="s">
        <v>7916</v>
      </c>
      <c r="E3239" t="s">
        <v>137</v>
      </c>
      <c r="F3239" t="s">
        <v>44</v>
      </c>
      <c r="G3239" s="1">
        <v>24153</v>
      </c>
      <c r="H3239" s="1">
        <v>39811</v>
      </c>
      <c r="I3239" t="str">
        <f>"03"</f>
        <v>03</v>
      </c>
      <c r="J3239" t="s">
        <v>70</v>
      </c>
      <c r="K3239" t="s">
        <v>98</v>
      </c>
      <c r="L3239" t="s">
        <v>37</v>
      </c>
      <c r="M3239" t="s">
        <v>99</v>
      </c>
      <c r="N3239" s="1">
        <v>41617</v>
      </c>
      <c r="O3239">
        <v>14801.8</v>
      </c>
      <c r="P3239">
        <v>3700.32</v>
      </c>
      <c r="Q3239" t="s">
        <v>37</v>
      </c>
      <c r="R3239" t="s">
        <v>71</v>
      </c>
      <c r="S3239" t="s">
        <v>72</v>
      </c>
      <c r="T3239" t="s">
        <v>73</v>
      </c>
    </row>
    <row r="3240" spans="1:20" x14ac:dyDescent="0.25">
      <c r="A3240" t="s">
        <v>7917</v>
      </c>
      <c r="B3240" t="str">
        <f>"0489"</f>
        <v>0489</v>
      </c>
      <c r="C3240" t="str">
        <f>"271740489"</f>
        <v>271740489</v>
      </c>
      <c r="D3240" t="s">
        <v>7918</v>
      </c>
      <c r="E3240" t="s">
        <v>7919</v>
      </c>
      <c r="F3240" t="s">
        <v>44</v>
      </c>
      <c r="G3240" s="1">
        <v>26101</v>
      </c>
      <c r="H3240" s="1">
        <v>39811</v>
      </c>
      <c r="I3240" t="str">
        <f>"20"</f>
        <v>20</v>
      </c>
      <c r="J3240" t="s">
        <v>123</v>
      </c>
      <c r="K3240" t="s">
        <v>98</v>
      </c>
      <c r="L3240" t="s">
        <v>37</v>
      </c>
      <c r="M3240" t="s">
        <v>99</v>
      </c>
      <c r="N3240" s="1">
        <v>41631</v>
      </c>
      <c r="O3240">
        <v>14801.82</v>
      </c>
      <c r="P3240">
        <v>3700.4</v>
      </c>
      <c r="Q3240" t="s">
        <v>28</v>
      </c>
      <c r="R3240" t="s">
        <v>71</v>
      </c>
      <c r="S3240" t="s">
        <v>3419</v>
      </c>
      <c r="T3240" t="s">
        <v>3420</v>
      </c>
    </row>
    <row r="3241" spans="1:20" x14ac:dyDescent="0.25">
      <c r="A3241" t="s">
        <v>7920</v>
      </c>
      <c r="B3241" t="str">
        <f>"2399"</f>
        <v>2399</v>
      </c>
      <c r="C3241" t="str">
        <f>"008302399"</f>
        <v>008302399</v>
      </c>
      <c r="D3241" t="s">
        <v>7921</v>
      </c>
      <c r="E3241" t="s">
        <v>7922</v>
      </c>
      <c r="G3241" s="1">
        <v>14317</v>
      </c>
      <c r="H3241" s="1">
        <v>39811</v>
      </c>
      <c r="I3241" t="str">
        <f>"50"</f>
        <v>50</v>
      </c>
      <c r="J3241" t="s">
        <v>208</v>
      </c>
      <c r="K3241" t="s">
        <v>25</v>
      </c>
      <c r="L3241" t="s">
        <v>26</v>
      </c>
      <c r="M3241" t="s">
        <v>27</v>
      </c>
      <c r="N3241" s="1">
        <v>18629</v>
      </c>
      <c r="O3241">
        <v>0</v>
      </c>
      <c r="P3241">
        <v>0</v>
      </c>
      <c r="Q3241" t="s">
        <v>28</v>
      </c>
      <c r="R3241" t="s">
        <v>51</v>
      </c>
      <c r="S3241" s="2" t="s">
        <v>683</v>
      </c>
      <c r="T3241" t="s">
        <v>684</v>
      </c>
    </row>
    <row r="3242" spans="1:20" x14ac:dyDescent="0.25">
      <c r="A3242" t="s">
        <v>7923</v>
      </c>
      <c r="B3242" t="str">
        <f>"5403"</f>
        <v>5403</v>
      </c>
      <c r="C3242" t="str">
        <f>"283565403"</f>
        <v>283565403</v>
      </c>
      <c r="D3242" t="s">
        <v>7924</v>
      </c>
      <c r="E3242" t="s">
        <v>1381</v>
      </c>
      <c r="F3242" t="s">
        <v>93</v>
      </c>
      <c r="G3242" s="1">
        <v>20005</v>
      </c>
      <c r="H3242" s="1">
        <v>39811</v>
      </c>
      <c r="I3242" t="str">
        <f>"05"</f>
        <v>05</v>
      </c>
      <c r="J3242" t="s">
        <v>58</v>
      </c>
      <c r="K3242" t="s">
        <v>98</v>
      </c>
      <c r="L3242" t="s">
        <v>37</v>
      </c>
      <c r="M3242" t="s">
        <v>99</v>
      </c>
      <c r="N3242" s="1">
        <v>41617</v>
      </c>
      <c r="O3242">
        <v>14801.8</v>
      </c>
      <c r="P3242">
        <v>3700.32</v>
      </c>
      <c r="Q3242" t="s">
        <v>28</v>
      </c>
      <c r="R3242" t="s">
        <v>346</v>
      </c>
      <c r="S3242" t="s">
        <v>1392</v>
      </c>
      <c r="T3242" t="s">
        <v>1393</v>
      </c>
    </row>
    <row r="3243" spans="1:20" x14ac:dyDescent="0.25">
      <c r="A3243" t="s">
        <v>7925</v>
      </c>
      <c r="B3243" t="str">
        <f>"2922"</f>
        <v>2922</v>
      </c>
      <c r="C3243" t="str">
        <f>"302482922"</f>
        <v>302482922</v>
      </c>
      <c r="D3243" t="s">
        <v>863</v>
      </c>
      <c r="E3243" t="s">
        <v>7926</v>
      </c>
      <c r="F3243" t="s">
        <v>44</v>
      </c>
      <c r="G3243" s="1">
        <v>18560</v>
      </c>
      <c r="H3243" s="1">
        <v>39811</v>
      </c>
      <c r="I3243" t="str">
        <f>"30"</f>
        <v>30</v>
      </c>
      <c r="J3243" t="s">
        <v>50</v>
      </c>
      <c r="K3243" t="s">
        <v>25</v>
      </c>
      <c r="L3243" t="s">
        <v>26</v>
      </c>
      <c r="M3243" t="s">
        <v>27</v>
      </c>
      <c r="N3243" s="1">
        <v>18629</v>
      </c>
      <c r="O3243">
        <v>0</v>
      </c>
      <c r="P3243">
        <v>0</v>
      </c>
      <c r="Q3243" t="s">
        <v>37</v>
      </c>
      <c r="R3243" t="s">
        <v>29</v>
      </c>
      <c r="S3243" t="s">
        <v>4000</v>
      </c>
      <c r="T3243" t="s">
        <v>4001</v>
      </c>
    </row>
    <row r="3244" spans="1:20" x14ac:dyDescent="0.25">
      <c r="A3244" t="s">
        <v>7927</v>
      </c>
      <c r="B3244" t="str">
        <f>"3142"</f>
        <v>3142</v>
      </c>
      <c r="C3244" t="str">
        <f>"274423142"</f>
        <v>274423142</v>
      </c>
      <c r="D3244" t="s">
        <v>7928</v>
      </c>
      <c r="E3244" t="s">
        <v>7929</v>
      </c>
      <c r="F3244" t="s">
        <v>629</v>
      </c>
      <c r="G3244" s="1">
        <v>17627</v>
      </c>
      <c r="H3244" s="1">
        <v>39810</v>
      </c>
      <c r="I3244" t="str">
        <f>"01"</f>
        <v>01</v>
      </c>
      <c r="J3244" t="s">
        <v>116</v>
      </c>
      <c r="K3244" t="s">
        <v>98</v>
      </c>
      <c r="L3244" t="s">
        <v>37</v>
      </c>
      <c r="M3244" t="s">
        <v>257</v>
      </c>
      <c r="N3244" s="1">
        <v>41617</v>
      </c>
      <c r="O3244">
        <v>10753.08</v>
      </c>
      <c r="P3244">
        <v>2688.4</v>
      </c>
      <c r="Q3244" t="s">
        <v>37</v>
      </c>
      <c r="R3244" t="s">
        <v>71</v>
      </c>
      <c r="S3244" t="s">
        <v>955</v>
      </c>
      <c r="T3244" t="s">
        <v>956</v>
      </c>
    </row>
    <row r="3245" spans="1:20" x14ac:dyDescent="0.25">
      <c r="A3245" t="s">
        <v>7930</v>
      </c>
      <c r="B3245" t="str">
        <f>"7002"</f>
        <v>7002</v>
      </c>
      <c r="C3245" t="str">
        <f>"272587002"</f>
        <v>272587002</v>
      </c>
      <c r="D3245" t="s">
        <v>7931</v>
      </c>
      <c r="E3245" t="s">
        <v>2339</v>
      </c>
      <c r="F3245" t="s">
        <v>438</v>
      </c>
      <c r="G3245" s="1">
        <v>20802</v>
      </c>
      <c r="H3245" s="1">
        <v>39808</v>
      </c>
      <c r="I3245" t="str">
        <f>"03"</f>
        <v>03</v>
      </c>
      <c r="J3245" t="s">
        <v>70</v>
      </c>
      <c r="K3245" t="s">
        <v>98</v>
      </c>
      <c r="L3245" t="s">
        <v>37</v>
      </c>
      <c r="M3245" t="s">
        <v>257</v>
      </c>
      <c r="N3245" s="1">
        <v>41799</v>
      </c>
      <c r="O3245">
        <v>10753.08</v>
      </c>
      <c r="P3245">
        <v>2688.4</v>
      </c>
      <c r="Q3245" t="s">
        <v>37</v>
      </c>
      <c r="R3245" t="s">
        <v>29</v>
      </c>
      <c r="S3245" t="s">
        <v>584</v>
      </c>
      <c r="T3245" t="s">
        <v>585</v>
      </c>
    </row>
    <row r="3246" spans="1:20" x14ac:dyDescent="0.25">
      <c r="A3246" t="s">
        <v>7932</v>
      </c>
      <c r="B3246" t="str">
        <f>"9774"</f>
        <v>9774</v>
      </c>
      <c r="C3246" t="str">
        <f>"278769774"</f>
        <v>278769774</v>
      </c>
      <c r="D3246" t="s">
        <v>1798</v>
      </c>
      <c r="E3246" t="s">
        <v>2308</v>
      </c>
      <c r="G3246" s="1">
        <v>24027</v>
      </c>
      <c r="H3246" s="1">
        <v>39797</v>
      </c>
      <c r="I3246" t="str">
        <f>"42"</f>
        <v>42</v>
      </c>
      <c r="J3246" t="s">
        <v>367</v>
      </c>
      <c r="K3246" t="s">
        <v>25</v>
      </c>
      <c r="L3246" t="s">
        <v>26</v>
      </c>
      <c r="M3246" t="s">
        <v>27</v>
      </c>
      <c r="N3246" s="1">
        <v>18629</v>
      </c>
      <c r="O3246">
        <v>0</v>
      </c>
      <c r="P3246">
        <v>0</v>
      </c>
      <c r="Q3246" t="s">
        <v>37</v>
      </c>
      <c r="R3246" t="s">
        <v>29</v>
      </c>
      <c r="S3246" t="s">
        <v>885</v>
      </c>
      <c r="T3246" t="s">
        <v>886</v>
      </c>
    </row>
    <row r="3247" spans="1:20" x14ac:dyDescent="0.25">
      <c r="A3247" t="s">
        <v>7933</v>
      </c>
      <c r="B3247" t="str">
        <f>"3406"</f>
        <v>3406</v>
      </c>
      <c r="C3247" t="str">
        <f>"173403406"</f>
        <v>173403406</v>
      </c>
      <c r="D3247" t="s">
        <v>7934</v>
      </c>
      <c r="E3247" t="s">
        <v>856</v>
      </c>
      <c r="F3247" t="s">
        <v>26</v>
      </c>
      <c r="G3247" s="1">
        <v>19820</v>
      </c>
      <c r="H3247" s="1">
        <v>39797</v>
      </c>
      <c r="I3247" t="str">
        <f>"12"</f>
        <v>12</v>
      </c>
      <c r="J3247" t="s">
        <v>245</v>
      </c>
      <c r="K3247" t="s">
        <v>98</v>
      </c>
      <c r="L3247" t="s">
        <v>37</v>
      </c>
      <c r="M3247" t="s">
        <v>257</v>
      </c>
      <c r="N3247" s="1">
        <v>41617</v>
      </c>
      <c r="O3247">
        <v>10753.08</v>
      </c>
      <c r="P3247">
        <v>2688.4</v>
      </c>
      <c r="Q3247" t="s">
        <v>37</v>
      </c>
      <c r="R3247" t="s">
        <v>71</v>
      </c>
      <c r="S3247" t="s">
        <v>1702</v>
      </c>
      <c r="T3247" t="s">
        <v>1703</v>
      </c>
    </row>
    <row r="3248" spans="1:20" x14ac:dyDescent="0.25">
      <c r="A3248" t="s">
        <v>7935</v>
      </c>
      <c r="B3248" t="str">
        <f>"9298"</f>
        <v>9298</v>
      </c>
      <c r="C3248" t="str">
        <f>"268669298"</f>
        <v>268669298</v>
      </c>
      <c r="D3248" t="s">
        <v>7936</v>
      </c>
      <c r="E3248" t="s">
        <v>5064</v>
      </c>
      <c r="F3248" t="s">
        <v>44</v>
      </c>
      <c r="G3248" s="1">
        <v>21699</v>
      </c>
      <c r="H3248" s="1">
        <v>39790</v>
      </c>
      <c r="I3248" t="str">
        <f>"05"</f>
        <v>05</v>
      </c>
      <c r="J3248" t="s">
        <v>58</v>
      </c>
      <c r="K3248" t="s">
        <v>510</v>
      </c>
      <c r="L3248" t="s">
        <v>37</v>
      </c>
      <c r="M3248" t="s">
        <v>117</v>
      </c>
      <c r="N3248" s="1">
        <v>41617</v>
      </c>
      <c r="O3248">
        <v>6477.12</v>
      </c>
      <c r="P3248">
        <v>1619.28</v>
      </c>
      <c r="Q3248" t="s">
        <v>37</v>
      </c>
      <c r="R3248" t="s">
        <v>258</v>
      </c>
      <c r="S3248" t="s">
        <v>6691</v>
      </c>
      <c r="T3248" t="s">
        <v>6692</v>
      </c>
    </row>
    <row r="3249" spans="1:20" x14ac:dyDescent="0.25">
      <c r="A3249" t="s">
        <v>7937</v>
      </c>
      <c r="B3249" t="str">
        <f>"5667"</f>
        <v>5667</v>
      </c>
      <c r="C3249" t="str">
        <f>"282805667"</f>
        <v>282805667</v>
      </c>
      <c r="D3249" t="s">
        <v>7938</v>
      </c>
      <c r="E3249" t="s">
        <v>56</v>
      </c>
      <c r="G3249" s="1">
        <v>24861</v>
      </c>
      <c r="H3249" s="1">
        <v>39783</v>
      </c>
      <c r="I3249" t="str">
        <f>"03"</f>
        <v>03</v>
      </c>
      <c r="J3249" t="s">
        <v>70</v>
      </c>
      <c r="K3249" t="s">
        <v>98</v>
      </c>
      <c r="L3249" t="s">
        <v>37</v>
      </c>
      <c r="M3249" t="s">
        <v>117</v>
      </c>
      <c r="N3249" s="1">
        <v>41617</v>
      </c>
      <c r="O3249">
        <v>4951.96</v>
      </c>
      <c r="P3249">
        <v>1237.8599999999999</v>
      </c>
      <c r="Q3249" t="s">
        <v>28</v>
      </c>
      <c r="R3249" t="s">
        <v>29</v>
      </c>
      <c r="S3249" t="s">
        <v>138</v>
      </c>
      <c r="T3249" t="s">
        <v>139</v>
      </c>
    </row>
    <row r="3250" spans="1:20" x14ac:dyDescent="0.25">
      <c r="A3250" t="s">
        <v>7939</v>
      </c>
      <c r="B3250" t="str">
        <f>"3910"</f>
        <v>3910</v>
      </c>
      <c r="C3250" t="str">
        <f>"160463910"</f>
        <v>160463910</v>
      </c>
      <c r="D3250" t="s">
        <v>7940</v>
      </c>
      <c r="E3250" t="s">
        <v>2463</v>
      </c>
      <c r="G3250" s="1">
        <v>25135</v>
      </c>
      <c r="H3250" s="1">
        <v>39783</v>
      </c>
      <c r="I3250" t="str">
        <f>"15"</f>
        <v>15</v>
      </c>
      <c r="J3250" t="s">
        <v>36</v>
      </c>
      <c r="K3250" t="s">
        <v>98</v>
      </c>
      <c r="L3250" t="s">
        <v>37</v>
      </c>
      <c r="M3250" t="s">
        <v>117</v>
      </c>
      <c r="N3250" s="1">
        <v>41617</v>
      </c>
      <c r="O3250">
        <v>4951.96</v>
      </c>
      <c r="P3250">
        <v>1237.8599999999999</v>
      </c>
      <c r="Q3250" t="s">
        <v>37</v>
      </c>
      <c r="R3250" t="s">
        <v>38</v>
      </c>
      <c r="S3250" t="s">
        <v>5868</v>
      </c>
      <c r="T3250" t="s">
        <v>5869</v>
      </c>
    </row>
    <row r="3251" spans="1:20" x14ac:dyDescent="0.25">
      <c r="A3251" t="s">
        <v>7941</v>
      </c>
      <c r="B3251" t="str">
        <f>"7168"</f>
        <v>7168</v>
      </c>
      <c r="C3251" t="str">
        <f>"271767168"</f>
        <v>271767168</v>
      </c>
      <c r="D3251" t="s">
        <v>7942</v>
      </c>
      <c r="E3251" t="s">
        <v>56</v>
      </c>
      <c r="F3251" t="s">
        <v>165</v>
      </c>
      <c r="G3251" s="1">
        <v>26971</v>
      </c>
      <c r="H3251" s="1">
        <v>39783</v>
      </c>
      <c r="I3251" t="str">
        <f>"20"</f>
        <v>20</v>
      </c>
      <c r="J3251" t="s">
        <v>123</v>
      </c>
      <c r="K3251" t="s">
        <v>98</v>
      </c>
      <c r="L3251" t="s">
        <v>37</v>
      </c>
      <c r="M3251" t="s">
        <v>99</v>
      </c>
      <c r="N3251" s="1">
        <v>41631</v>
      </c>
      <c r="O3251">
        <v>14801.82</v>
      </c>
      <c r="P3251">
        <v>3700.4</v>
      </c>
      <c r="Q3251" t="s">
        <v>28</v>
      </c>
      <c r="R3251" t="s">
        <v>29</v>
      </c>
      <c r="S3251" t="s">
        <v>240</v>
      </c>
      <c r="T3251" t="s">
        <v>241</v>
      </c>
    </row>
    <row r="3252" spans="1:20" x14ac:dyDescent="0.25">
      <c r="A3252" t="s">
        <v>7943</v>
      </c>
      <c r="B3252" t="str">
        <f>"4384"</f>
        <v>4384</v>
      </c>
      <c r="C3252" t="str">
        <f>"280444384"</f>
        <v>280444384</v>
      </c>
      <c r="D3252" t="s">
        <v>7944</v>
      </c>
      <c r="E3252" t="s">
        <v>2152</v>
      </c>
      <c r="F3252" t="s">
        <v>2917</v>
      </c>
      <c r="G3252" s="1">
        <v>17497</v>
      </c>
      <c r="H3252" s="1">
        <v>39783</v>
      </c>
      <c r="I3252" t="str">
        <f>"50"</f>
        <v>50</v>
      </c>
      <c r="J3252" t="s">
        <v>208</v>
      </c>
      <c r="K3252" t="s">
        <v>25</v>
      </c>
      <c r="L3252" t="s">
        <v>26</v>
      </c>
      <c r="M3252" t="s">
        <v>27</v>
      </c>
      <c r="N3252" s="1">
        <v>18629</v>
      </c>
      <c r="O3252">
        <v>0</v>
      </c>
      <c r="P3252">
        <v>0</v>
      </c>
      <c r="Q3252" t="s">
        <v>37</v>
      </c>
      <c r="R3252" t="s">
        <v>71</v>
      </c>
      <c r="S3252" t="s">
        <v>209</v>
      </c>
      <c r="T3252" t="s">
        <v>210</v>
      </c>
    </row>
    <row r="3253" spans="1:20" x14ac:dyDescent="0.25">
      <c r="A3253" t="s">
        <v>7945</v>
      </c>
      <c r="B3253" t="str">
        <f>"9501"</f>
        <v>9501</v>
      </c>
      <c r="C3253" t="str">
        <f>"272589501"</f>
        <v>272589501</v>
      </c>
      <c r="D3253" t="s">
        <v>7946</v>
      </c>
      <c r="E3253" t="s">
        <v>1813</v>
      </c>
      <c r="F3253" t="s">
        <v>49</v>
      </c>
      <c r="G3253" s="1">
        <v>20192</v>
      </c>
      <c r="H3253" s="1">
        <v>39777</v>
      </c>
      <c r="I3253" t="str">
        <f>"30"</f>
        <v>30</v>
      </c>
      <c r="J3253" t="s">
        <v>50</v>
      </c>
      <c r="K3253" t="s">
        <v>25</v>
      </c>
      <c r="L3253" t="s">
        <v>26</v>
      </c>
      <c r="M3253" t="s">
        <v>27</v>
      </c>
      <c r="N3253" s="1">
        <v>18629</v>
      </c>
      <c r="O3253">
        <v>0</v>
      </c>
      <c r="P3253">
        <v>0</v>
      </c>
      <c r="Q3253" t="s">
        <v>37</v>
      </c>
      <c r="R3253" t="s">
        <v>51</v>
      </c>
      <c r="S3253" s="2" t="s">
        <v>198</v>
      </c>
      <c r="T3253" t="s">
        <v>199</v>
      </c>
    </row>
    <row r="3254" spans="1:20" x14ac:dyDescent="0.25">
      <c r="A3254" t="s">
        <v>7947</v>
      </c>
      <c r="B3254" t="str">
        <f>"1391"</f>
        <v>1391</v>
      </c>
      <c r="C3254" t="str">
        <f>"129641391"</f>
        <v>129641391</v>
      </c>
      <c r="D3254" t="s">
        <v>7948</v>
      </c>
      <c r="E3254" t="s">
        <v>56</v>
      </c>
      <c r="F3254" t="s">
        <v>127</v>
      </c>
      <c r="G3254" s="1">
        <v>23668</v>
      </c>
      <c r="H3254" s="1">
        <v>39771</v>
      </c>
      <c r="I3254" t="str">
        <f>"33"</f>
        <v>33</v>
      </c>
      <c r="J3254" t="s">
        <v>45</v>
      </c>
      <c r="K3254" t="s">
        <v>25</v>
      </c>
      <c r="L3254" t="s">
        <v>26</v>
      </c>
      <c r="M3254" t="s">
        <v>27</v>
      </c>
      <c r="N3254" s="1">
        <v>18629</v>
      </c>
      <c r="O3254">
        <v>0</v>
      </c>
      <c r="P3254">
        <v>0</v>
      </c>
      <c r="Q3254" t="s">
        <v>28</v>
      </c>
      <c r="R3254" t="s">
        <v>71</v>
      </c>
      <c r="S3254" t="s">
        <v>955</v>
      </c>
      <c r="T3254" t="s">
        <v>956</v>
      </c>
    </row>
    <row r="3255" spans="1:20" x14ac:dyDescent="0.25">
      <c r="A3255" t="s">
        <v>7949</v>
      </c>
      <c r="B3255" t="str">
        <f>"0185"</f>
        <v>0185</v>
      </c>
      <c r="C3255" t="str">
        <f>"289540185"</f>
        <v>289540185</v>
      </c>
      <c r="D3255" t="s">
        <v>7950</v>
      </c>
      <c r="E3255" t="s">
        <v>1655</v>
      </c>
      <c r="G3255" s="1">
        <v>19527</v>
      </c>
      <c r="H3255" s="1">
        <v>39769</v>
      </c>
      <c r="I3255" t="str">
        <f>"30"</f>
        <v>30</v>
      </c>
      <c r="J3255" t="s">
        <v>50</v>
      </c>
      <c r="K3255" t="s">
        <v>25</v>
      </c>
      <c r="L3255" t="s">
        <v>26</v>
      </c>
      <c r="M3255" t="s">
        <v>27</v>
      </c>
      <c r="N3255" s="1">
        <v>18629</v>
      </c>
      <c r="O3255">
        <v>0</v>
      </c>
      <c r="P3255">
        <v>0</v>
      </c>
      <c r="Q3255" t="s">
        <v>37</v>
      </c>
      <c r="R3255" t="s">
        <v>71</v>
      </c>
      <c r="S3255" t="s">
        <v>373</v>
      </c>
      <c r="T3255" t="s">
        <v>374</v>
      </c>
    </row>
    <row r="3256" spans="1:20" x14ac:dyDescent="0.25">
      <c r="A3256" t="s">
        <v>7951</v>
      </c>
      <c r="B3256" t="str">
        <f>"6729"</f>
        <v>6729</v>
      </c>
      <c r="C3256" t="str">
        <f>"273526729"</f>
        <v>273526729</v>
      </c>
      <c r="D3256" t="s">
        <v>7952</v>
      </c>
      <c r="E3256" t="s">
        <v>5693</v>
      </c>
      <c r="F3256" t="s">
        <v>97</v>
      </c>
      <c r="G3256" s="1">
        <v>19903</v>
      </c>
      <c r="H3256" s="1">
        <v>39755</v>
      </c>
      <c r="I3256" t="str">
        <f>"05"</f>
        <v>05</v>
      </c>
      <c r="J3256" t="s">
        <v>58</v>
      </c>
      <c r="K3256" t="s">
        <v>98</v>
      </c>
      <c r="L3256" t="s">
        <v>37</v>
      </c>
      <c r="M3256" t="s">
        <v>257</v>
      </c>
      <c r="N3256" s="1">
        <v>41617</v>
      </c>
      <c r="O3256">
        <v>10753.08</v>
      </c>
      <c r="P3256">
        <v>2688.4</v>
      </c>
      <c r="Q3256" t="s">
        <v>28</v>
      </c>
      <c r="R3256" t="s">
        <v>29</v>
      </c>
      <c r="S3256" t="s">
        <v>240</v>
      </c>
      <c r="T3256" t="s">
        <v>241</v>
      </c>
    </row>
    <row r="3257" spans="1:20" x14ac:dyDescent="0.25">
      <c r="A3257" t="s">
        <v>7953</v>
      </c>
      <c r="B3257" t="str">
        <f>"3869"</f>
        <v>3869</v>
      </c>
      <c r="C3257" t="str">
        <f>"302883869"</f>
        <v>302883869</v>
      </c>
      <c r="D3257" t="s">
        <v>5134</v>
      </c>
      <c r="E3257" t="s">
        <v>609</v>
      </c>
      <c r="F3257" t="s">
        <v>44</v>
      </c>
      <c r="G3257" s="1">
        <v>30641</v>
      </c>
      <c r="H3257" s="1">
        <v>39755</v>
      </c>
      <c r="I3257" t="str">
        <f>"05"</f>
        <v>05</v>
      </c>
      <c r="J3257" t="s">
        <v>58</v>
      </c>
      <c r="K3257" t="s">
        <v>175</v>
      </c>
      <c r="L3257" t="s">
        <v>37</v>
      </c>
      <c r="M3257" t="s">
        <v>99</v>
      </c>
      <c r="N3257" s="1">
        <v>41645</v>
      </c>
      <c r="O3257">
        <v>16411.72</v>
      </c>
      <c r="P3257">
        <v>4102.8</v>
      </c>
      <c r="Q3257" t="s">
        <v>28</v>
      </c>
      <c r="R3257" t="s">
        <v>29</v>
      </c>
      <c r="S3257" t="s">
        <v>3444</v>
      </c>
      <c r="T3257" t="s">
        <v>3445</v>
      </c>
    </row>
    <row r="3258" spans="1:20" x14ac:dyDescent="0.25">
      <c r="A3258" t="s">
        <v>7954</v>
      </c>
      <c r="B3258" t="str">
        <f>"0348"</f>
        <v>0348</v>
      </c>
      <c r="C3258" t="str">
        <f>"278500348"</f>
        <v>278500348</v>
      </c>
      <c r="D3258" t="s">
        <v>7955</v>
      </c>
      <c r="E3258" t="s">
        <v>1071</v>
      </c>
      <c r="G3258" s="1">
        <v>18786</v>
      </c>
      <c r="H3258" s="1">
        <v>39755</v>
      </c>
      <c r="I3258" t="str">
        <f>"15"</f>
        <v>15</v>
      </c>
      <c r="J3258" t="s">
        <v>36</v>
      </c>
      <c r="K3258" t="s">
        <v>98</v>
      </c>
      <c r="L3258" t="s">
        <v>37</v>
      </c>
      <c r="M3258" t="s">
        <v>257</v>
      </c>
      <c r="N3258" s="1">
        <v>41617</v>
      </c>
      <c r="O3258">
        <v>10753.08</v>
      </c>
      <c r="P3258">
        <v>2688.4</v>
      </c>
      <c r="Q3258" t="s">
        <v>37</v>
      </c>
      <c r="R3258" t="s">
        <v>29</v>
      </c>
      <c r="S3258" t="s">
        <v>300</v>
      </c>
      <c r="T3258" t="s">
        <v>301</v>
      </c>
    </row>
    <row r="3259" spans="1:20" x14ac:dyDescent="0.25">
      <c r="A3259" t="s">
        <v>7956</v>
      </c>
      <c r="B3259" t="str">
        <f>"3995"</f>
        <v>3995</v>
      </c>
      <c r="C3259" t="str">
        <f>"282683995"</f>
        <v>282683995</v>
      </c>
      <c r="D3259" t="s">
        <v>7111</v>
      </c>
      <c r="E3259" t="s">
        <v>7957</v>
      </c>
      <c r="F3259" t="s">
        <v>832</v>
      </c>
      <c r="G3259" s="1">
        <v>22330</v>
      </c>
      <c r="H3259" s="1">
        <v>39748</v>
      </c>
      <c r="I3259" t="str">
        <f>"01"</f>
        <v>01</v>
      </c>
      <c r="J3259" t="s">
        <v>116</v>
      </c>
      <c r="K3259" t="s">
        <v>98</v>
      </c>
      <c r="L3259" t="s">
        <v>37</v>
      </c>
      <c r="M3259" t="s">
        <v>117</v>
      </c>
      <c r="N3259" s="1">
        <v>41617</v>
      </c>
      <c r="O3259">
        <v>4951.96</v>
      </c>
      <c r="P3259">
        <v>1237.8599999999999</v>
      </c>
      <c r="Q3259" t="s">
        <v>28</v>
      </c>
      <c r="R3259" t="s">
        <v>51</v>
      </c>
      <c r="S3259" s="2" t="s">
        <v>1922</v>
      </c>
      <c r="T3259" t="s">
        <v>1923</v>
      </c>
    </row>
    <row r="3260" spans="1:20" x14ac:dyDescent="0.25">
      <c r="A3260" t="s">
        <v>7958</v>
      </c>
      <c r="B3260" t="str">
        <f>"9625"</f>
        <v>9625</v>
      </c>
      <c r="C3260" t="str">
        <f>"179409625"</f>
        <v>179409625</v>
      </c>
      <c r="D3260" t="s">
        <v>7959</v>
      </c>
      <c r="E3260" t="s">
        <v>1067</v>
      </c>
      <c r="G3260" s="1">
        <v>18439</v>
      </c>
      <c r="H3260" s="1">
        <v>39741</v>
      </c>
      <c r="I3260" t="str">
        <f>"51"</f>
        <v>51</v>
      </c>
      <c r="J3260" t="s">
        <v>471</v>
      </c>
      <c r="K3260" t="s">
        <v>25</v>
      </c>
      <c r="L3260" t="s">
        <v>26</v>
      </c>
      <c r="M3260" t="s">
        <v>27</v>
      </c>
      <c r="N3260" s="1">
        <v>18629</v>
      </c>
      <c r="O3260">
        <v>0</v>
      </c>
      <c r="P3260">
        <v>0</v>
      </c>
      <c r="Q3260" t="s">
        <v>28</v>
      </c>
      <c r="R3260" t="s">
        <v>51</v>
      </c>
      <c r="S3260" s="2" t="s">
        <v>5804</v>
      </c>
      <c r="T3260" t="s">
        <v>5805</v>
      </c>
    </row>
    <row r="3261" spans="1:20" x14ac:dyDescent="0.25">
      <c r="A3261" t="s">
        <v>7960</v>
      </c>
      <c r="B3261" t="str">
        <f>"5990"</f>
        <v>5990</v>
      </c>
      <c r="C3261" t="str">
        <f>"138465990"</f>
        <v>138465990</v>
      </c>
      <c r="D3261" t="s">
        <v>327</v>
      </c>
      <c r="E3261" t="s">
        <v>263</v>
      </c>
      <c r="G3261" s="1">
        <v>18946</v>
      </c>
      <c r="H3261" s="1">
        <v>39741</v>
      </c>
      <c r="I3261" t="str">
        <f>"41"</f>
        <v>41</v>
      </c>
      <c r="J3261" t="s">
        <v>24</v>
      </c>
      <c r="K3261" t="s">
        <v>25</v>
      </c>
      <c r="L3261" t="s">
        <v>26</v>
      </c>
      <c r="M3261" t="s">
        <v>27</v>
      </c>
      <c r="N3261" s="1">
        <v>18629</v>
      </c>
      <c r="O3261">
        <v>0</v>
      </c>
      <c r="P3261">
        <v>0</v>
      </c>
      <c r="Q3261" t="s">
        <v>28</v>
      </c>
      <c r="R3261" t="s">
        <v>29</v>
      </c>
      <c r="S3261" t="s">
        <v>300</v>
      </c>
      <c r="T3261" t="s">
        <v>301</v>
      </c>
    </row>
    <row r="3262" spans="1:20" x14ac:dyDescent="0.25">
      <c r="A3262" t="s">
        <v>7961</v>
      </c>
      <c r="B3262" t="str">
        <f>"7255"</f>
        <v>7255</v>
      </c>
      <c r="C3262" t="str">
        <f>"274667255"</f>
        <v>274667255</v>
      </c>
      <c r="D3262" t="s">
        <v>7962</v>
      </c>
      <c r="E3262" t="s">
        <v>82</v>
      </c>
      <c r="F3262" t="s">
        <v>438</v>
      </c>
      <c r="G3262" s="1">
        <v>22156</v>
      </c>
      <c r="H3262" s="1">
        <v>39741</v>
      </c>
      <c r="I3262" t="str">
        <f>"03"</f>
        <v>03</v>
      </c>
      <c r="J3262" t="s">
        <v>70</v>
      </c>
      <c r="L3262" t="s">
        <v>37</v>
      </c>
      <c r="M3262" t="s">
        <v>143</v>
      </c>
      <c r="N3262" s="1">
        <v>41617</v>
      </c>
      <c r="O3262">
        <v>185.9</v>
      </c>
      <c r="P3262">
        <v>-185.9</v>
      </c>
      <c r="Q3262" t="s">
        <v>37</v>
      </c>
      <c r="R3262" t="s">
        <v>71</v>
      </c>
      <c r="S3262" t="s">
        <v>2297</v>
      </c>
      <c r="T3262" t="s">
        <v>2298</v>
      </c>
    </row>
    <row r="3263" spans="1:20" x14ac:dyDescent="0.25">
      <c r="A3263" t="s">
        <v>7963</v>
      </c>
      <c r="B3263" t="str">
        <f>"4506"</f>
        <v>4506</v>
      </c>
      <c r="C3263" t="str">
        <f>"281664506"</f>
        <v>281664506</v>
      </c>
      <c r="D3263" t="s">
        <v>7964</v>
      </c>
      <c r="E3263" t="s">
        <v>7965</v>
      </c>
      <c r="G3263" s="1">
        <v>21513</v>
      </c>
      <c r="H3263" s="1">
        <v>39741</v>
      </c>
      <c r="I3263" t="str">
        <f>"03"</f>
        <v>03</v>
      </c>
      <c r="J3263" t="s">
        <v>70</v>
      </c>
      <c r="K3263" t="s">
        <v>98</v>
      </c>
      <c r="L3263" t="s">
        <v>37</v>
      </c>
      <c r="M3263" t="s">
        <v>117</v>
      </c>
      <c r="N3263" s="1">
        <v>41617</v>
      </c>
      <c r="O3263">
        <v>4951.96</v>
      </c>
      <c r="P3263">
        <v>1237.8599999999999</v>
      </c>
      <c r="Q3263" t="s">
        <v>37</v>
      </c>
      <c r="R3263" t="s">
        <v>51</v>
      </c>
      <c r="S3263" t="s">
        <v>1264</v>
      </c>
      <c r="T3263" t="s">
        <v>1265</v>
      </c>
    </row>
    <row r="3264" spans="1:20" x14ac:dyDescent="0.25">
      <c r="A3264" t="s">
        <v>7966</v>
      </c>
      <c r="B3264" t="str">
        <f>"3356"</f>
        <v>3356</v>
      </c>
      <c r="C3264" t="str">
        <f>"300763356"</f>
        <v>300763356</v>
      </c>
      <c r="D3264" t="s">
        <v>310</v>
      </c>
      <c r="E3264" t="s">
        <v>2385</v>
      </c>
      <c r="F3264" t="s">
        <v>329</v>
      </c>
      <c r="G3264" s="1">
        <v>21670</v>
      </c>
      <c r="H3264" s="1">
        <v>39741</v>
      </c>
      <c r="I3264" t="str">
        <f>"05"</f>
        <v>05</v>
      </c>
      <c r="J3264" t="s">
        <v>58</v>
      </c>
      <c r="K3264" t="s">
        <v>175</v>
      </c>
      <c r="L3264" t="s">
        <v>37</v>
      </c>
      <c r="M3264" t="s">
        <v>99</v>
      </c>
      <c r="N3264" s="1">
        <v>41617</v>
      </c>
      <c r="O3264">
        <v>16411.72</v>
      </c>
      <c r="P3264">
        <v>4102.8</v>
      </c>
      <c r="Q3264" t="s">
        <v>37</v>
      </c>
      <c r="R3264" t="s">
        <v>51</v>
      </c>
      <c r="S3264" s="2" t="s">
        <v>7967</v>
      </c>
      <c r="T3264" t="s">
        <v>7968</v>
      </c>
    </row>
    <row r="3265" spans="1:20" x14ac:dyDescent="0.25">
      <c r="A3265" t="s">
        <v>7969</v>
      </c>
      <c r="B3265" t="str">
        <f>"0707"</f>
        <v>0707</v>
      </c>
      <c r="C3265" t="str">
        <f>"287660707"</f>
        <v>287660707</v>
      </c>
      <c r="D3265" t="s">
        <v>7970</v>
      </c>
      <c r="E3265" t="s">
        <v>7971</v>
      </c>
      <c r="F3265" t="s">
        <v>438</v>
      </c>
      <c r="G3265" s="1">
        <v>27180</v>
      </c>
      <c r="H3265" s="1">
        <v>39739</v>
      </c>
      <c r="I3265" t="str">
        <f>"51"</f>
        <v>51</v>
      </c>
      <c r="J3265" t="s">
        <v>471</v>
      </c>
      <c r="K3265" t="s">
        <v>25</v>
      </c>
      <c r="L3265" t="s">
        <v>26</v>
      </c>
      <c r="M3265" t="s">
        <v>27</v>
      </c>
      <c r="N3265" s="1">
        <v>18629</v>
      </c>
      <c r="O3265">
        <v>0</v>
      </c>
      <c r="P3265">
        <v>0</v>
      </c>
      <c r="Q3265" t="s">
        <v>28</v>
      </c>
      <c r="R3265" t="s">
        <v>71</v>
      </c>
      <c r="S3265" t="s">
        <v>157</v>
      </c>
      <c r="T3265" t="s">
        <v>158</v>
      </c>
    </row>
    <row r="3266" spans="1:20" x14ac:dyDescent="0.25">
      <c r="A3266" t="s">
        <v>7972</v>
      </c>
      <c r="B3266" t="str">
        <f>"2054"</f>
        <v>2054</v>
      </c>
      <c r="C3266" t="str">
        <f>"027562054"</f>
        <v>027562054</v>
      </c>
      <c r="D3266" t="s">
        <v>7973</v>
      </c>
      <c r="E3266" t="s">
        <v>7974</v>
      </c>
      <c r="F3266" t="s">
        <v>37</v>
      </c>
      <c r="G3266" s="1">
        <v>23471</v>
      </c>
      <c r="H3266" s="1">
        <v>39727</v>
      </c>
      <c r="I3266" t="str">
        <f>"05"</f>
        <v>05</v>
      </c>
      <c r="J3266" t="s">
        <v>58</v>
      </c>
      <c r="K3266" t="s">
        <v>98</v>
      </c>
      <c r="L3266" t="s">
        <v>37</v>
      </c>
      <c r="M3266" t="s">
        <v>257</v>
      </c>
      <c r="N3266" s="1">
        <v>41617</v>
      </c>
      <c r="O3266">
        <v>10753.08</v>
      </c>
      <c r="P3266">
        <v>2688.4</v>
      </c>
      <c r="Q3266" t="s">
        <v>37</v>
      </c>
      <c r="R3266" t="s">
        <v>29</v>
      </c>
      <c r="S3266" t="s">
        <v>3275</v>
      </c>
      <c r="T3266" t="s">
        <v>3276</v>
      </c>
    </row>
    <row r="3267" spans="1:20" x14ac:dyDescent="0.25">
      <c r="A3267" t="s">
        <v>7975</v>
      </c>
      <c r="B3267" t="str">
        <f>"1245"</f>
        <v>1245</v>
      </c>
      <c r="C3267" t="str">
        <f>"290501245"</f>
        <v>290501245</v>
      </c>
      <c r="D3267" t="s">
        <v>7976</v>
      </c>
      <c r="E3267" t="s">
        <v>7977</v>
      </c>
      <c r="F3267" t="s">
        <v>97</v>
      </c>
      <c r="G3267" s="1">
        <v>19200</v>
      </c>
      <c r="H3267" s="1">
        <v>39727</v>
      </c>
      <c r="I3267" t="str">
        <f>"03"</f>
        <v>03</v>
      </c>
      <c r="J3267" t="s">
        <v>70</v>
      </c>
      <c r="K3267" t="s">
        <v>98</v>
      </c>
      <c r="L3267" t="s">
        <v>37</v>
      </c>
      <c r="M3267" t="s">
        <v>117</v>
      </c>
      <c r="N3267" s="1">
        <v>41617</v>
      </c>
      <c r="O3267">
        <v>4951.96</v>
      </c>
      <c r="P3267">
        <v>1237.8599999999999</v>
      </c>
      <c r="Q3267" t="s">
        <v>28</v>
      </c>
      <c r="R3267" t="s">
        <v>38</v>
      </c>
      <c r="S3267" t="s">
        <v>1937</v>
      </c>
      <c r="T3267" t="s">
        <v>951</v>
      </c>
    </row>
    <row r="3268" spans="1:20" x14ac:dyDescent="0.25">
      <c r="A3268" t="s">
        <v>7978</v>
      </c>
      <c r="B3268" t="str">
        <f>"3914"</f>
        <v>3914</v>
      </c>
      <c r="C3268" t="str">
        <f>"268643914"</f>
        <v>268643914</v>
      </c>
      <c r="D3268" t="s">
        <v>7979</v>
      </c>
      <c r="E3268" t="s">
        <v>944</v>
      </c>
      <c r="F3268" t="s">
        <v>264</v>
      </c>
      <c r="G3268" s="1">
        <v>22747</v>
      </c>
      <c r="H3268" s="1">
        <v>39727</v>
      </c>
      <c r="I3268" t="str">
        <f>"08"</f>
        <v>08</v>
      </c>
      <c r="J3268" t="s">
        <v>265</v>
      </c>
      <c r="K3268" t="s">
        <v>510</v>
      </c>
      <c r="L3268" t="s">
        <v>37</v>
      </c>
      <c r="M3268" t="s">
        <v>117</v>
      </c>
      <c r="N3268" s="1">
        <v>41617</v>
      </c>
      <c r="O3268">
        <v>6477.12</v>
      </c>
      <c r="P3268">
        <v>1619.28</v>
      </c>
      <c r="Q3268" t="s">
        <v>28</v>
      </c>
      <c r="R3268" t="s">
        <v>258</v>
      </c>
      <c r="S3268" t="s">
        <v>982</v>
      </c>
      <c r="T3268" t="s">
        <v>983</v>
      </c>
    </row>
    <row r="3269" spans="1:20" x14ac:dyDescent="0.25">
      <c r="A3269" t="s">
        <v>7980</v>
      </c>
      <c r="B3269" t="str">
        <f>"1754"</f>
        <v>1754</v>
      </c>
      <c r="C3269" t="str">
        <f>"285061754"</f>
        <v>285061754</v>
      </c>
      <c r="D3269" t="s">
        <v>7981</v>
      </c>
      <c r="E3269" t="s">
        <v>7982</v>
      </c>
      <c r="G3269" s="1">
        <v>23872</v>
      </c>
      <c r="H3269" s="1">
        <v>39727</v>
      </c>
      <c r="I3269" t="str">
        <f>"51"</f>
        <v>51</v>
      </c>
      <c r="J3269" t="s">
        <v>471</v>
      </c>
      <c r="K3269" t="s">
        <v>25</v>
      </c>
      <c r="L3269" t="s">
        <v>26</v>
      </c>
      <c r="M3269" t="s">
        <v>27</v>
      </c>
      <c r="N3269" s="1">
        <v>18629</v>
      </c>
      <c r="O3269">
        <v>0</v>
      </c>
      <c r="P3269">
        <v>0</v>
      </c>
      <c r="Q3269" t="s">
        <v>28</v>
      </c>
      <c r="R3269" t="s">
        <v>29</v>
      </c>
      <c r="S3269" t="s">
        <v>594</v>
      </c>
      <c r="T3269" t="s">
        <v>595</v>
      </c>
    </row>
    <row r="3270" spans="1:20" x14ac:dyDescent="0.25">
      <c r="A3270" t="s">
        <v>7983</v>
      </c>
      <c r="B3270" t="str">
        <f>"0781"</f>
        <v>0781</v>
      </c>
      <c r="C3270" t="str">
        <f>"286620781"</f>
        <v>286620781</v>
      </c>
      <c r="D3270" t="s">
        <v>7984</v>
      </c>
      <c r="E3270" t="s">
        <v>7985</v>
      </c>
      <c r="F3270" t="s">
        <v>310</v>
      </c>
      <c r="G3270" s="1">
        <v>20601</v>
      </c>
      <c r="H3270" s="1">
        <v>39727</v>
      </c>
      <c r="I3270" t="str">
        <f>"30"</f>
        <v>30</v>
      </c>
      <c r="J3270" t="s">
        <v>50</v>
      </c>
      <c r="K3270" t="s">
        <v>25</v>
      </c>
      <c r="L3270" t="s">
        <v>26</v>
      </c>
      <c r="M3270" t="s">
        <v>27</v>
      </c>
      <c r="N3270" s="1">
        <v>18629</v>
      </c>
      <c r="O3270">
        <v>0</v>
      </c>
      <c r="P3270">
        <v>0</v>
      </c>
      <c r="Q3270" t="s">
        <v>28</v>
      </c>
      <c r="R3270" t="s">
        <v>71</v>
      </c>
      <c r="S3270" t="s">
        <v>373</v>
      </c>
      <c r="T3270" t="s">
        <v>374</v>
      </c>
    </row>
    <row r="3271" spans="1:20" x14ac:dyDescent="0.25">
      <c r="A3271" t="s">
        <v>7986</v>
      </c>
      <c r="B3271" t="str">
        <f>"9380"</f>
        <v>9380</v>
      </c>
      <c r="C3271" t="str">
        <f>"277529380"</f>
        <v>277529380</v>
      </c>
      <c r="D3271" t="s">
        <v>6256</v>
      </c>
      <c r="E3271" t="s">
        <v>194</v>
      </c>
      <c r="F3271" t="s">
        <v>239</v>
      </c>
      <c r="G3271" s="1">
        <v>21115</v>
      </c>
      <c r="H3271" s="1">
        <v>39727</v>
      </c>
      <c r="I3271" t="str">
        <f>"51"</f>
        <v>51</v>
      </c>
      <c r="J3271" t="s">
        <v>471</v>
      </c>
      <c r="K3271" t="s">
        <v>25</v>
      </c>
      <c r="L3271" t="s">
        <v>26</v>
      </c>
      <c r="M3271" t="s">
        <v>27</v>
      </c>
      <c r="N3271" s="1">
        <v>18629</v>
      </c>
      <c r="O3271">
        <v>0</v>
      </c>
      <c r="P3271">
        <v>0</v>
      </c>
      <c r="Q3271" t="s">
        <v>37</v>
      </c>
      <c r="R3271" t="s">
        <v>51</v>
      </c>
      <c r="S3271" s="2" t="s">
        <v>1568</v>
      </c>
      <c r="T3271" t="s">
        <v>1569</v>
      </c>
    </row>
    <row r="3272" spans="1:20" x14ac:dyDescent="0.25">
      <c r="A3272" t="s">
        <v>7987</v>
      </c>
      <c r="B3272" t="str">
        <f>"9924"</f>
        <v>9924</v>
      </c>
      <c r="C3272" t="str">
        <f>"280869924"</f>
        <v>280869924</v>
      </c>
      <c r="D3272" t="s">
        <v>7988</v>
      </c>
      <c r="E3272" t="s">
        <v>518</v>
      </c>
      <c r="F3272" t="s">
        <v>174</v>
      </c>
      <c r="G3272" s="1">
        <v>29929</v>
      </c>
      <c r="H3272" s="1">
        <v>39727</v>
      </c>
      <c r="I3272" t="str">
        <f>"41"</f>
        <v>41</v>
      </c>
      <c r="J3272" t="s">
        <v>24</v>
      </c>
      <c r="K3272" t="s">
        <v>25</v>
      </c>
      <c r="L3272" t="s">
        <v>26</v>
      </c>
      <c r="M3272" t="s">
        <v>27</v>
      </c>
      <c r="N3272" s="1">
        <v>18629</v>
      </c>
      <c r="O3272">
        <v>0</v>
      </c>
      <c r="P3272">
        <v>0</v>
      </c>
      <c r="Q3272" t="s">
        <v>37</v>
      </c>
      <c r="R3272" t="s">
        <v>71</v>
      </c>
      <c r="S3272" t="s">
        <v>505</v>
      </c>
      <c r="T3272" t="s">
        <v>506</v>
      </c>
    </row>
    <row r="3273" spans="1:20" x14ac:dyDescent="0.25">
      <c r="A3273" t="s">
        <v>7989</v>
      </c>
      <c r="B3273" t="str">
        <f>"4821"</f>
        <v>4821</v>
      </c>
      <c r="C3273" t="str">
        <f>"289484821"</f>
        <v>289484821</v>
      </c>
      <c r="D3273" t="s">
        <v>7990</v>
      </c>
      <c r="E3273" t="s">
        <v>2256</v>
      </c>
      <c r="G3273" s="1">
        <v>18083</v>
      </c>
      <c r="H3273" s="1">
        <v>39721</v>
      </c>
      <c r="I3273" t="str">
        <f>"51"</f>
        <v>51</v>
      </c>
      <c r="J3273" t="s">
        <v>471</v>
      </c>
      <c r="K3273" t="s">
        <v>25</v>
      </c>
      <c r="L3273" t="s">
        <v>26</v>
      </c>
      <c r="M3273" t="s">
        <v>27</v>
      </c>
      <c r="N3273" s="1">
        <v>18629</v>
      </c>
      <c r="O3273">
        <v>0</v>
      </c>
      <c r="P3273">
        <v>0</v>
      </c>
      <c r="Q3273" t="s">
        <v>37</v>
      </c>
      <c r="R3273" t="s">
        <v>51</v>
      </c>
      <c r="S3273" s="2" t="s">
        <v>1656</v>
      </c>
      <c r="T3273" t="s">
        <v>1657</v>
      </c>
    </row>
    <row r="3274" spans="1:20" x14ac:dyDescent="0.25">
      <c r="A3274" t="s">
        <v>7991</v>
      </c>
      <c r="B3274" t="str">
        <f>"7914"</f>
        <v>7914</v>
      </c>
      <c r="C3274" t="str">
        <f>"268727914"</f>
        <v>268727914</v>
      </c>
      <c r="D3274" t="s">
        <v>7992</v>
      </c>
      <c r="E3274" t="s">
        <v>609</v>
      </c>
      <c r="F3274" t="s">
        <v>239</v>
      </c>
      <c r="G3274" s="1">
        <v>25515</v>
      </c>
      <c r="H3274" s="1">
        <v>39717</v>
      </c>
      <c r="I3274" t="str">
        <f>"51"</f>
        <v>51</v>
      </c>
      <c r="J3274" t="s">
        <v>471</v>
      </c>
      <c r="K3274" t="s">
        <v>25</v>
      </c>
      <c r="L3274" t="s">
        <v>26</v>
      </c>
      <c r="M3274" t="s">
        <v>27</v>
      </c>
      <c r="N3274" s="1">
        <v>18629</v>
      </c>
      <c r="O3274">
        <v>0</v>
      </c>
      <c r="P3274">
        <v>0</v>
      </c>
      <c r="Q3274" t="s">
        <v>28</v>
      </c>
      <c r="R3274" t="s">
        <v>71</v>
      </c>
      <c r="S3274" s="2" t="s">
        <v>7993</v>
      </c>
      <c r="T3274" t="s">
        <v>7994</v>
      </c>
    </row>
    <row r="3275" spans="1:20" x14ac:dyDescent="0.25">
      <c r="A3275" t="s">
        <v>7995</v>
      </c>
      <c r="B3275" t="str">
        <f>"3606"</f>
        <v>3606</v>
      </c>
      <c r="C3275" t="str">
        <f>"279763606"</f>
        <v>279763606</v>
      </c>
      <c r="D3275" t="s">
        <v>7996</v>
      </c>
      <c r="E3275" t="s">
        <v>35</v>
      </c>
      <c r="F3275" t="s">
        <v>93</v>
      </c>
      <c r="G3275" s="1">
        <v>23491</v>
      </c>
      <c r="H3275" s="1">
        <v>39713</v>
      </c>
      <c r="I3275" t="str">
        <f>"03"</f>
        <v>03</v>
      </c>
      <c r="J3275" t="s">
        <v>70</v>
      </c>
      <c r="K3275" t="s">
        <v>98</v>
      </c>
      <c r="L3275" t="s">
        <v>37</v>
      </c>
      <c r="M3275" t="s">
        <v>99</v>
      </c>
      <c r="N3275" s="1">
        <v>41617</v>
      </c>
      <c r="O3275">
        <v>14801.8</v>
      </c>
      <c r="P3275">
        <v>3700.32</v>
      </c>
      <c r="Q3275" t="s">
        <v>28</v>
      </c>
      <c r="R3275" t="s">
        <v>110</v>
      </c>
      <c r="S3275" t="s">
        <v>7997</v>
      </c>
      <c r="T3275" t="s">
        <v>7998</v>
      </c>
    </row>
    <row r="3276" spans="1:20" x14ac:dyDescent="0.25">
      <c r="A3276" t="s">
        <v>7999</v>
      </c>
      <c r="B3276" t="str">
        <f>"2764"</f>
        <v>2764</v>
      </c>
      <c r="C3276" t="str">
        <f>"420962764"</f>
        <v>420962764</v>
      </c>
      <c r="D3276" t="s">
        <v>8000</v>
      </c>
      <c r="E3276" t="s">
        <v>3241</v>
      </c>
      <c r="F3276" t="s">
        <v>308</v>
      </c>
      <c r="G3276" s="1">
        <v>26622</v>
      </c>
      <c r="H3276" s="1">
        <v>39713</v>
      </c>
      <c r="I3276" t="str">
        <f>"52"</f>
        <v>52</v>
      </c>
      <c r="J3276" t="s">
        <v>330</v>
      </c>
      <c r="K3276" t="s">
        <v>25</v>
      </c>
      <c r="L3276" t="s">
        <v>26</v>
      </c>
      <c r="M3276" t="s">
        <v>27</v>
      </c>
      <c r="N3276" s="1">
        <v>18629</v>
      </c>
      <c r="O3276">
        <v>0</v>
      </c>
      <c r="P3276">
        <v>0</v>
      </c>
      <c r="Q3276" t="s">
        <v>37</v>
      </c>
      <c r="R3276" t="s">
        <v>258</v>
      </c>
      <c r="S3276" t="s">
        <v>331</v>
      </c>
      <c r="T3276" t="s">
        <v>332</v>
      </c>
    </row>
    <row r="3277" spans="1:20" x14ac:dyDescent="0.25">
      <c r="A3277" t="s">
        <v>8001</v>
      </c>
      <c r="B3277" t="str">
        <f>"0021"</f>
        <v>0021</v>
      </c>
      <c r="C3277" t="str">
        <f>"271700021"</f>
        <v>271700021</v>
      </c>
      <c r="D3277" t="s">
        <v>2290</v>
      </c>
      <c r="E3277" t="s">
        <v>518</v>
      </c>
      <c r="G3277" s="1">
        <v>22529</v>
      </c>
      <c r="H3277" s="1">
        <v>39713</v>
      </c>
      <c r="I3277" t="str">
        <f>"05"</f>
        <v>05</v>
      </c>
      <c r="J3277" t="s">
        <v>58</v>
      </c>
      <c r="K3277" t="s">
        <v>98</v>
      </c>
      <c r="L3277" t="s">
        <v>37</v>
      </c>
      <c r="M3277" t="s">
        <v>117</v>
      </c>
      <c r="N3277" s="1">
        <v>41617</v>
      </c>
      <c r="O3277">
        <v>4951.96</v>
      </c>
      <c r="P3277">
        <v>1237.8599999999999</v>
      </c>
      <c r="Q3277" t="s">
        <v>37</v>
      </c>
      <c r="R3277" t="s">
        <v>258</v>
      </c>
      <c r="S3277" t="s">
        <v>259</v>
      </c>
      <c r="T3277" t="s">
        <v>260</v>
      </c>
    </row>
    <row r="3278" spans="1:20" x14ac:dyDescent="0.25">
      <c r="A3278" t="s">
        <v>8002</v>
      </c>
      <c r="B3278" t="str">
        <f>"3078"</f>
        <v>3078</v>
      </c>
      <c r="C3278" t="str">
        <f>"289483078"</f>
        <v>289483078</v>
      </c>
      <c r="D3278" t="s">
        <v>8003</v>
      </c>
      <c r="E3278" t="s">
        <v>7103</v>
      </c>
      <c r="G3278" s="1">
        <v>18737</v>
      </c>
      <c r="H3278" s="1">
        <v>39711</v>
      </c>
      <c r="I3278" t="str">
        <f>"52"</f>
        <v>52</v>
      </c>
      <c r="J3278" t="s">
        <v>330</v>
      </c>
      <c r="K3278" t="s">
        <v>25</v>
      </c>
      <c r="L3278" t="s">
        <v>26</v>
      </c>
      <c r="M3278" t="s">
        <v>27</v>
      </c>
      <c r="N3278" s="1">
        <v>18629</v>
      </c>
      <c r="O3278">
        <v>0</v>
      </c>
      <c r="P3278">
        <v>0</v>
      </c>
      <c r="Q3278" t="s">
        <v>28</v>
      </c>
      <c r="R3278" t="s">
        <v>258</v>
      </c>
      <c r="S3278" t="s">
        <v>331</v>
      </c>
      <c r="T3278" t="s">
        <v>332</v>
      </c>
    </row>
    <row r="3279" spans="1:20" x14ac:dyDescent="0.25">
      <c r="A3279" t="s">
        <v>8004</v>
      </c>
      <c r="B3279" t="str">
        <f>"5443"</f>
        <v>5443</v>
      </c>
      <c r="C3279" t="str">
        <f>"128865443"</f>
        <v>128865443</v>
      </c>
      <c r="D3279" t="s">
        <v>8005</v>
      </c>
      <c r="E3279" t="s">
        <v>8006</v>
      </c>
      <c r="F3279" t="s">
        <v>28</v>
      </c>
      <c r="G3279" s="1">
        <v>28563</v>
      </c>
      <c r="H3279" s="1">
        <v>39708</v>
      </c>
      <c r="I3279" t="str">
        <f>"51"</f>
        <v>51</v>
      </c>
      <c r="J3279" t="s">
        <v>471</v>
      </c>
      <c r="K3279" t="s">
        <v>25</v>
      </c>
      <c r="L3279" t="s">
        <v>26</v>
      </c>
      <c r="M3279" t="s">
        <v>27</v>
      </c>
      <c r="N3279" s="1">
        <v>18629</v>
      </c>
      <c r="O3279">
        <v>0</v>
      </c>
      <c r="P3279">
        <v>0</v>
      </c>
      <c r="Q3279" t="s">
        <v>37</v>
      </c>
      <c r="R3279" t="s">
        <v>29</v>
      </c>
      <c r="S3279" t="s">
        <v>1427</v>
      </c>
      <c r="T3279" t="s">
        <v>1428</v>
      </c>
    </row>
    <row r="3280" spans="1:20" x14ac:dyDescent="0.25">
      <c r="A3280" t="s">
        <v>8007</v>
      </c>
      <c r="B3280" t="str">
        <f>"5836"</f>
        <v>5836</v>
      </c>
      <c r="C3280" t="str">
        <f>"286505836"</f>
        <v>286505836</v>
      </c>
      <c r="D3280" t="s">
        <v>8008</v>
      </c>
      <c r="E3280" t="s">
        <v>704</v>
      </c>
      <c r="F3280" t="s">
        <v>97</v>
      </c>
      <c r="G3280" s="1">
        <v>22716</v>
      </c>
      <c r="H3280" s="1">
        <v>39699</v>
      </c>
      <c r="I3280" t="str">
        <f>"30"</f>
        <v>30</v>
      </c>
      <c r="J3280" t="s">
        <v>50</v>
      </c>
      <c r="K3280" t="s">
        <v>25</v>
      </c>
      <c r="L3280" t="s">
        <v>26</v>
      </c>
      <c r="M3280" t="s">
        <v>27</v>
      </c>
      <c r="N3280" s="1">
        <v>18629</v>
      </c>
      <c r="O3280">
        <v>0</v>
      </c>
      <c r="P3280">
        <v>0</v>
      </c>
      <c r="Q3280" t="s">
        <v>28</v>
      </c>
      <c r="R3280" t="s">
        <v>71</v>
      </c>
      <c r="S3280" t="s">
        <v>584</v>
      </c>
      <c r="T3280" t="s">
        <v>585</v>
      </c>
    </row>
    <row r="3281" spans="1:20" x14ac:dyDescent="0.25">
      <c r="A3281" t="s">
        <v>8009</v>
      </c>
      <c r="B3281" t="str">
        <f>"2224"</f>
        <v>2224</v>
      </c>
      <c r="C3281" t="str">
        <f>"296822224"</f>
        <v>296822224</v>
      </c>
      <c r="D3281" t="s">
        <v>105</v>
      </c>
      <c r="E3281" t="s">
        <v>8010</v>
      </c>
      <c r="F3281" t="s">
        <v>2075</v>
      </c>
      <c r="G3281" s="1">
        <v>27234</v>
      </c>
      <c r="H3281" s="1">
        <v>39699</v>
      </c>
      <c r="I3281" t="str">
        <f>"51"</f>
        <v>51</v>
      </c>
      <c r="J3281" t="s">
        <v>471</v>
      </c>
      <c r="K3281" t="s">
        <v>25</v>
      </c>
      <c r="L3281" t="s">
        <v>26</v>
      </c>
      <c r="M3281" t="s">
        <v>27</v>
      </c>
      <c r="N3281" s="1">
        <v>18629</v>
      </c>
      <c r="O3281">
        <v>0</v>
      </c>
      <c r="P3281">
        <v>0</v>
      </c>
      <c r="Q3281" t="s">
        <v>37</v>
      </c>
      <c r="R3281" t="s">
        <v>29</v>
      </c>
      <c r="S3281" t="s">
        <v>138</v>
      </c>
      <c r="T3281" t="s">
        <v>139</v>
      </c>
    </row>
    <row r="3282" spans="1:20" x14ac:dyDescent="0.25">
      <c r="A3282" t="s">
        <v>8011</v>
      </c>
      <c r="B3282" t="str">
        <f>"4027"</f>
        <v>4027</v>
      </c>
      <c r="C3282" t="str">
        <f>"269544027"</f>
        <v>269544027</v>
      </c>
      <c r="D3282" t="s">
        <v>8012</v>
      </c>
      <c r="E3282" t="s">
        <v>1589</v>
      </c>
      <c r="F3282" t="s">
        <v>26</v>
      </c>
      <c r="G3282" s="1">
        <v>19329</v>
      </c>
      <c r="H3282" s="1">
        <v>39699</v>
      </c>
      <c r="I3282" t="str">
        <f>"05"</f>
        <v>05</v>
      </c>
      <c r="J3282" t="s">
        <v>58</v>
      </c>
      <c r="K3282" t="s">
        <v>98</v>
      </c>
      <c r="L3282" t="s">
        <v>37</v>
      </c>
      <c r="M3282" t="s">
        <v>257</v>
      </c>
      <c r="N3282" s="1">
        <v>41617</v>
      </c>
      <c r="O3282">
        <v>10753.08</v>
      </c>
      <c r="P3282">
        <v>2688.4</v>
      </c>
      <c r="Q3282" t="s">
        <v>37</v>
      </c>
      <c r="R3282" t="s">
        <v>29</v>
      </c>
      <c r="S3282" t="s">
        <v>3258</v>
      </c>
      <c r="T3282" t="s">
        <v>3259</v>
      </c>
    </row>
    <row r="3283" spans="1:20" x14ac:dyDescent="0.25">
      <c r="A3283" t="s">
        <v>8013</v>
      </c>
      <c r="B3283" t="str">
        <f>"5352"</f>
        <v>5352</v>
      </c>
      <c r="C3283" t="str">
        <f>"295705352"</f>
        <v>295705352</v>
      </c>
      <c r="D3283" t="s">
        <v>8014</v>
      </c>
      <c r="E3283" t="s">
        <v>3412</v>
      </c>
      <c r="F3283" t="s">
        <v>26</v>
      </c>
      <c r="G3283" s="1">
        <v>27995</v>
      </c>
      <c r="H3283" s="1">
        <v>39693</v>
      </c>
      <c r="I3283" t="str">
        <f>"41"</f>
        <v>41</v>
      </c>
      <c r="J3283" t="s">
        <v>24</v>
      </c>
      <c r="K3283" t="s">
        <v>25</v>
      </c>
      <c r="L3283" t="s">
        <v>26</v>
      </c>
      <c r="M3283" t="s">
        <v>27</v>
      </c>
      <c r="N3283" s="1">
        <v>18629</v>
      </c>
      <c r="O3283">
        <v>0</v>
      </c>
      <c r="P3283">
        <v>0</v>
      </c>
      <c r="Q3283" t="s">
        <v>28</v>
      </c>
      <c r="R3283" t="s">
        <v>29</v>
      </c>
      <c r="S3283" t="s">
        <v>615</v>
      </c>
      <c r="T3283" t="s">
        <v>616</v>
      </c>
    </row>
    <row r="3284" spans="1:20" x14ac:dyDescent="0.25">
      <c r="A3284" t="s">
        <v>8015</v>
      </c>
      <c r="B3284" t="str">
        <f>"1294"</f>
        <v>1294</v>
      </c>
      <c r="C3284" t="str">
        <f>"271901294"</f>
        <v>271901294</v>
      </c>
      <c r="D3284" t="s">
        <v>8016</v>
      </c>
      <c r="E3284" t="s">
        <v>1032</v>
      </c>
      <c r="F3284" t="s">
        <v>2075</v>
      </c>
      <c r="G3284" s="1">
        <v>30679</v>
      </c>
      <c r="H3284" s="1">
        <v>39685</v>
      </c>
      <c r="I3284" t="str">
        <f>"33"</f>
        <v>33</v>
      </c>
      <c r="J3284" t="s">
        <v>45</v>
      </c>
      <c r="K3284" t="s">
        <v>25</v>
      </c>
      <c r="L3284" t="s">
        <v>26</v>
      </c>
      <c r="M3284" t="s">
        <v>27</v>
      </c>
      <c r="N3284" s="1">
        <v>18629</v>
      </c>
      <c r="O3284">
        <v>0</v>
      </c>
      <c r="P3284">
        <v>0</v>
      </c>
      <c r="Q3284" t="s">
        <v>28</v>
      </c>
      <c r="R3284" t="s">
        <v>29</v>
      </c>
      <c r="S3284" t="s">
        <v>594</v>
      </c>
      <c r="T3284" t="s">
        <v>595</v>
      </c>
    </row>
    <row r="3285" spans="1:20" x14ac:dyDescent="0.25">
      <c r="A3285" t="s">
        <v>8017</v>
      </c>
      <c r="B3285" t="str">
        <f>"5874"</f>
        <v>5874</v>
      </c>
      <c r="C3285" t="str">
        <f>"280685874"</f>
        <v>280685874</v>
      </c>
      <c r="D3285" t="s">
        <v>8018</v>
      </c>
      <c r="E3285" t="s">
        <v>2794</v>
      </c>
      <c r="F3285" t="s">
        <v>26</v>
      </c>
      <c r="G3285" s="1">
        <v>21723</v>
      </c>
      <c r="H3285" s="1">
        <v>39685</v>
      </c>
      <c r="I3285" t="str">
        <f>"41"</f>
        <v>41</v>
      </c>
      <c r="J3285" t="s">
        <v>24</v>
      </c>
      <c r="K3285" t="s">
        <v>25</v>
      </c>
      <c r="L3285" t="s">
        <v>26</v>
      </c>
      <c r="M3285" t="s">
        <v>27</v>
      </c>
      <c r="N3285" s="1">
        <v>18629</v>
      </c>
      <c r="O3285">
        <v>0</v>
      </c>
      <c r="P3285">
        <v>0</v>
      </c>
      <c r="Q3285" t="s">
        <v>28</v>
      </c>
      <c r="R3285" t="s">
        <v>71</v>
      </c>
      <c r="S3285" t="s">
        <v>1780</v>
      </c>
      <c r="T3285" t="s">
        <v>1781</v>
      </c>
    </row>
    <row r="3286" spans="1:20" x14ac:dyDescent="0.25">
      <c r="A3286" t="s">
        <v>8019</v>
      </c>
      <c r="B3286" t="str">
        <f>"2458"</f>
        <v>2458</v>
      </c>
      <c r="C3286" t="str">
        <f>"278502458"</f>
        <v>278502458</v>
      </c>
      <c r="D3286" t="s">
        <v>433</v>
      </c>
      <c r="E3286" t="s">
        <v>8020</v>
      </c>
      <c r="F3286" t="s">
        <v>28</v>
      </c>
      <c r="G3286" s="1">
        <v>18711</v>
      </c>
      <c r="H3286" s="1">
        <v>39685</v>
      </c>
      <c r="I3286" t="str">
        <f>"15"</f>
        <v>15</v>
      </c>
      <c r="J3286" t="s">
        <v>36</v>
      </c>
      <c r="K3286" t="s">
        <v>98</v>
      </c>
      <c r="L3286" t="s">
        <v>37</v>
      </c>
      <c r="M3286" t="s">
        <v>257</v>
      </c>
      <c r="N3286" s="1">
        <v>41617</v>
      </c>
      <c r="O3286">
        <v>10753.08</v>
      </c>
      <c r="P3286">
        <v>2688.4</v>
      </c>
      <c r="Q3286" t="s">
        <v>37</v>
      </c>
      <c r="R3286" t="s">
        <v>71</v>
      </c>
      <c r="S3286" t="s">
        <v>402</v>
      </c>
      <c r="T3286" t="s">
        <v>403</v>
      </c>
    </row>
    <row r="3287" spans="1:20" x14ac:dyDescent="0.25">
      <c r="A3287" t="s">
        <v>8021</v>
      </c>
      <c r="B3287" t="str">
        <f>"3866"</f>
        <v>3866</v>
      </c>
      <c r="C3287" t="str">
        <f>"296403866"</f>
        <v>296403866</v>
      </c>
      <c r="D3287" t="s">
        <v>8022</v>
      </c>
      <c r="E3287" t="s">
        <v>2537</v>
      </c>
      <c r="G3287" s="1">
        <v>16781</v>
      </c>
      <c r="H3287" s="1">
        <v>39685</v>
      </c>
      <c r="I3287" t="str">
        <f>"01"</f>
        <v>01</v>
      </c>
      <c r="J3287" t="s">
        <v>116</v>
      </c>
      <c r="K3287" t="s">
        <v>98</v>
      </c>
      <c r="L3287" t="s">
        <v>37</v>
      </c>
      <c r="M3287" t="s">
        <v>257</v>
      </c>
      <c r="N3287" s="1">
        <v>41617</v>
      </c>
      <c r="O3287">
        <v>10753.08</v>
      </c>
      <c r="P3287">
        <v>2688.4</v>
      </c>
      <c r="Q3287" t="s">
        <v>37</v>
      </c>
      <c r="R3287" t="s">
        <v>29</v>
      </c>
      <c r="S3287" t="s">
        <v>6691</v>
      </c>
      <c r="T3287" t="s">
        <v>6692</v>
      </c>
    </row>
    <row r="3288" spans="1:20" x14ac:dyDescent="0.25">
      <c r="A3288" t="s">
        <v>8023</v>
      </c>
      <c r="B3288" t="str">
        <f>"9880"</f>
        <v>9880</v>
      </c>
      <c r="C3288" t="str">
        <f>"269669880"</f>
        <v>269669880</v>
      </c>
      <c r="D3288" t="s">
        <v>8024</v>
      </c>
      <c r="E3288" t="s">
        <v>35</v>
      </c>
      <c r="F3288" t="s">
        <v>3934</v>
      </c>
      <c r="G3288" s="1">
        <v>21042</v>
      </c>
      <c r="H3288" s="1">
        <v>39683</v>
      </c>
      <c r="I3288" t="str">
        <f>"51"</f>
        <v>51</v>
      </c>
      <c r="J3288" t="s">
        <v>471</v>
      </c>
      <c r="K3288" t="s">
        <v>25</v>
      </c>
      <c r="L3288" t="s">
        <v>26</v>
      </c>
      <c r="M3288" t="s">
        <v>27</v>
      </c>
      <c r="N3288" s="1">
        <v>18629</v>
      </c>
      <c r="O3288">
        <v>0</v>
      </c>
      <c r="P3288">
        <v>0</v>
      </c>
      <c r="Q3288" t="s">
        <v>28</v>
      </c>
      <c r="R3288" t="s">
        <v>71</v>
      </c>
      <c r="S3288" t="s">
        <v>1555</v>
      </c>
      <c r="T3288" t="s">
        <v>1556</v>
      </c>
    </row>
    <row r="3289" spans="1:20" x14ac:dyDescent="0.25">
      <c r="A3289" t="s">
        <v>8025</v>
      </c>
      <c r="B3289" t="str">
        <f>"8562"</f>
        <v>8562</v>
      </c>
      <c r="C3289" t="str">
        <f>"275568562"</f>
        <v>275568562</v>
      </c>
      <c r="D3289" t="s">
        <v>8026</v>
      </c>
      <c r="E3289" t="s">
        <v>8027</v>
      </c>
      <c r="F3289" t="s">
        <v>28</v>
      </c>
      <c r="G3289" s="1">
        <v>19903</v>
      </c>
      <c r="H3289" s="1">
        <v>39683</v>
      </c>
      <c r="I3289" t="str">
        <f>"51"</f>
        <v>51</v>
      </c>
      <c r="J3289" t="s">
        <v>471</v>
      </c>
      <c r="K3289" t="s">
        <v>25</v>
      </c>
      <c r="L3289" t="s">
        <v>26</v>
      </c>
      <c r="M3289" t="s">
        <v>27</v>
      </c>
      <c r="N3289" s="1">
        <v>18629</v>
      </c>
      <c r="O3289">
        <v>0</v>
      </c>
      <c r="P3289">
        <v>0</v>
      </c>
      <c r="Q3289" t="s">
        <v>37</v>
      </c>
      <c r="R3289" t="s">
        <v>29</v>
      </c>
      <c r="S3289" t="s">
        <v>1707</v>
      </c>
      <c r="T3289" t="s">
        <v>1708</v>
      </c>
    </row>
    <row r="3290" spans="1:20" x14ac:dyDescent="0.25">
      <c r="A3290" t="s">
        <v>8028</v>
      </c>
      <c r="B3290" t="str">
        <f>"7678"</f>
        <v>7678</v>
      </c>
      <c r="C3290" t="str">
        <f>"282387678"</f>
        <v>282387678</v>
      </c>
      <c r="D3290" t="s">
        <v>8029</v>
      </c>
      <c r="E3290" t="s">
        <v>4512</v>
      </c>
      <c r="F3290" t="s">
        <v>97</v>
      </c>
      <c r="G3290" s="1">
        <v>15976</v>
      </c>
      <c r="H3290" s="1">
        <v>39683</v>
      </c>
      <c r="I3290" t="str">
        <f>"51"</f>
        <v>51</v>
      </c>
      <c r="J3290" t="s">
        <v>471</v>
      </c>
      <c r="K3290" t="s">
        <v>25</v>
      </c>
      <c r="L3290" t="s">
        <v>26</v>
      </c>
      <c r="M3290" t="s">
        <v>27</v>
      </c>
      <c r="N3290" s="1">
        <v>18629</v>
      </c>
      <c r="O3290">
        <v>0</v>
      </c>
      <c r="P3290">
        <v>0</v>
      </c>
      <c r="Q3290" t="s">
        <v>28</v>
      </c>
      <c r="R3290" t="s">
        <v>71</v>
      </c>
      <c r="S3290" t="s">
        <v>157</v>
      </c>
      <c r="T3290" t="s">
        <v>158</v>
      </c>
    </row>
    <row r="3291" spans="1:20" x14ac:dyDescent="0.25">
      <c r="A3291" t="s">
        <v>8030</v>
      </c>
      <c r="B3291" t="str">
        <f>"5690"</f>
        <v>5690</v>
      </c>
      <c r="C3291" t="str">
        <f>"270765690"</f>
        <v>270765690</v>
      </c>
      <c r="D3291" t="s">
        <v>8031</v>
      </c>
      <c r="E3291" t="s">
        <v>2311</v>
      </c>
      <c r="F3291" t="s">
        <v>28</v>
      </c>
      <c r="G3291" s="1">
        <v>29029</v>
      </c>
      <c r="H3291" s="1">
        <v>39683</v>
      </c>
      <c r="I3291" t="str">
        <f>"51"</f>
        <v>51</v>
      </c>
      <c r="J3291" t="s">
        <v>471</v>
      </c>
      <c r="K3291" t="s">
        <v>25</v>
      </c>
      <c r="L3291" t="s">
        <v>26</v>
      </c>
      <c r="M3291" t="s">
        <v>27</v>
      </c>
      <c r="N3291" s="1">
        <v>18629</v>
      </c>
      <c r="O3291">
        <v>0</v>
      </c>
      <c r="P3291">
        <v>0</v>
      </c>
      <c r="Q3291" t="s">
        <v>37</v>
      </c>
      <c r="R3291" t="s">
        <v>100</v>
      </c>
      <c r="S3291" t="s">
        <v>790</v>
      </c>
      <c r="T3291" t="s">
        <v>791</v>
      </c>
    </row>
    <row r="3292" spans="1:20" x14ac:dyDescent="0.25">
      <c r="A3292" t="s">
        <v>8032</v>
      </c>
      <c r="B3292" t="str">
        <f>"6328"</f>
        <v>6328</v>
      </c>
      <c r="C3292" t="str">
        <f>"284526328"</f>
        <v>284526328</v>
      </c>
      <c r="D3292" t="s">
        <v>141</v>
      </c>
      <c r="E3292" t="s">
        <v>8033</v>
      </c>
      <c r="G3292" s="1">
        <v>18619</v>
      </c>
      <c r="H3292" s="1">
        <v>39683</v>
      </c>
      <c r="I3292" t="str">
        <f>"51"</f>
        <v>51</v>
      </c>
      <c r="J3292" t="s">
        <v>471</v>
      </c>
      <c r="K3292" t="s">
        <v>25</v>
      </c>
      <c r="L3292" t="s">
        <v>26</v>
      </c>
      <c r="M3292" t="s">
        <v>27</v>
      </c>
      <c r="N3292" s="1">
        <v>18629</v>
      </c>
      <c r="O3292">
        <v>0</v>
      </c>
      <c r="P3292">
        <v>0</v>
      </c>
      <c r="Q3292" t="s">
        <v>37</v>
      </c>
      <c r="R3292" t="s">
        <v>29</v>
      </c>
      <c r="S3292" t="s">
        <v>138</v>
      </c>
      <c r="T3292" t="s">
        <v>139</v>
      </c>
    </row>
    <row r="3293" spans="1:20" x14ac:dyDescent="0.25">
      <c r="A3293" t="s">
        <v>8034</v>
      </c>
      <c r="B3293" t="str">
        <f>"1117"</f>
        <v>1117</v>
      </c>
      <c r="C3293" t="str">
        <f>"272861117"</f>
        <v>272861117</v>
      </c>
      <c r="D3293" t="s">
        <v>2326</v>
      </c>
      <c r="E3293" t="s">
        <v>963</v>
      </c>
      <c r="F3293" t="s">
        <v>49</v>
      </c>
      <c r="G3293" s="1">
        <v>30112</v>
      </c>
      <c r="H3293" s="1">
        <v>39683</v>
      </c>
      <c r="I3293" t="str">
        <f>"33"</f>
        <v>33</v>
      </c>
      <c r="J3293" t="s">
        <v>45</v>
      </c>
      <c r="K3293" t="s">
        <v>25</v>
      </c>
      <c r="L3293" t="s">
        <v>26</v>
      </c>
      <c r="M3293" t="s">
        <v>27</v>
      </c>
      <c r="N3293" s="1">
        <v>18629</v>
      </c>
      <c r="O3293">
        <v>0</v>
      </c>
      <c r="P3293">
        <v>0</v>
      </c>
      <c r="Q3293" t="s">
        <v>37</v>
      </c>
      <c r="R3293" t="s">
        <v>71</v>
      </c>
      <c r="S3293" t="s">
        <v>157</v>
      </c>
      <c r="T3293" t="s">
        <v>158</v>
      </c>
    </row>
    <row r="3294" spans="1:20" x14ac:dyDescent="0.25">
      <c r="A3294" t="s">
        <v>8035</v>
      </c>
      <c r="B3294" t="str">
        <f>"5044"</f>
        <v>5044</v>
      </c>
      <c r="C3294" t="str">
        <f>"075485044"</f>
        <v>075485044</v>
      </c>
      <c r="D3294" t="s">
        <v>8036</v>
      </c>
      <c r="E3294" t="s">
        <v>944</v>
      </c>
      <c r="F3294" t="s">
        <v>93</v>
      </c>
      <c r="G3294" s="1">
        <v>21545</v>
      </c>
      <c r="H3294" s="1">
        <v>39683</v>
      </c>
      <c r="I3294" t="str">
        <f>"51"</f>
        <v>51</v>
      </c>
      <c r="J3294" t="s">
        <v>471</v>
      </c>
      <c r="K3294" t="s">
        <v>25</v>
      </c>
      <c r="L3294" t="s">
        <v>26</v>
      </c>
      <c r="M3294" t="s">
        <v>27</v>
      </c>
      <c r="N3294" s="1">
        <v>18629</v>
      </c>
      <c r="O3294">
        <v>0</v>
      </c>
      <c r="P3294">
        <v>0</v>
      </c>
      <c r="Q3294" t="s">
        <v>28</v>
      </c>
      <c r="R3294" t="s">
        <v>71</v>
      </c>
      <c r="S3294" t="s">
        <v>2406</v>
      </c>
      <c r="T3294" t="s">
        <v>2407</v>
      </c>
    </row>
    <row r="3295" spans="1:20" x14ac:dyDescent="0.25">
      <c r="A3295" t="s">
        <v>8037</v>
      </c>
      <c r="B3295" t="str">
        <f>"3991"</f>
        <v>3991</v>
      </c>
      <c r="C3295" t="str">
        <f>"268743991"</f>
        <v>268743991</v>
      </c>
      <c r="D3295" t="s">
        <v>8038</v>
      </c>
      <c r="E3295" t="s">
        <v>900</v>
      </c>
      <c r="F3295" t="s">
        <v>264</v>
      </c>
      <c r="G3295" s="1">
        <v>22916</v>
      </c>
      <c r="H3295" s="1">
        <v>39683</v>
      </c>
      <c r="I3295" t="str">
        <f>"41"</f>
        <v>41</v>
      </c>
      <c r="J3295" t="s">
        <v>24</v>
      </c>
      <c r="K3295" t="s">
        <v>25</v>
      </c>
      <c r="L3295" t="s">
        <v>26</v>
      </c>
      <c r="M3295" t="s">
        <v>27</v>
      </c>
      <c r="N3295" s="1">
        <v>18629</v>
      </c>
      <c r="O3295">
        <v>0</v>
      </c>
      <c r="P3295">
        <v>0</v>
      </c>
      <c r="Q3295" t="s">
        <v>37</v>
      </c>
      <c r="R3295" t="s">
        <v>29</v>
      </c>
      <c r="S3295" t="s">
        <v>138</v>
      </c>
      <c r="T3295" t="s">
        <v>139</v>
      </c>
    </row>
    <row r="3296" spans="1:20" x14ac:dyDescent="0.25">
      <c r="A3296" t="s">
        <v>8039</v>
      </c>
      <c r="B3296" t="str">
        <f>"7288"</f>
        <v>7288</v>
      </c>
      <c r="C3296" t="str">
        <f>"281647288"</f>
        <v>281647288</v>
      </c>
      <c r="D3296" t="s">
        <v>8040</v>
      </c>
      <c r="E3296" t="s">
        <v>544</v>
      </c>
      <c r="F3296" t="s">
        <v>7227</v>
      </c>
      <c r="G3296" s="1">
        <v>26891</v>
      </c>
      <c r="H3296" s="1">
        <v>39683</v>
      </c>
      <c r="I3296" t="str">
        <f t="shared" ref="I3296:I3304" si="70">"51"</f>
        <v>51</v>
      </c>
      <c r="J3296" t="s">
        <v>471</v>
      </c>
      <c r="K3296" t="s">
        <v>25</v>
      </c>
      <c r="L3296" t="s">
        <v>26</v>
      </c>
      <c r="M3296" t="s">
        <v>27</v>
      </c>
      <c r="N3296" s="1">
        <v>18629</v>
      </c>
      <c r="O3296">
        <v>0</v>
      </c>
      <c r="P3296">
        <v>0</v>
      </c>
      <c r="Q3296" t="s">
        <v>37</v>
      </c>
      <c r="R3296" t="s">
        <v>71</v>
      </c>
      <c r="S3296" t="s">
        <v>871</v>
      </c>
      <c r="T3296" t="s">
        <v>872</v>
      </c>
    </row>
    <row r="3297" spans="1:20" x14ac:dyDescent="0.25">
      <c r="A3297" t="s">
        <v>8041</v>
      </c>
      <c r="B3297" t="str">
        <f>"2142"</f>
        <v>2142</v>
      </c>
      <c r="C3297" t="str">
        <f>"208462142"</f>
        <v>208462142</v>
      </c>
      <c r="D3297" t="s">
        <v>8042</v>
      </c>
      <c r="E3297" t="s">
        <v>8043</v>
      </c>
      <c r="F3297" t="s">
        <v>629</v>
      </c>
      <c r="G3297" s="1">
        <v>18168</v>
      </c>
      <c r="H3297" s="1">
        <v>39683</v>
      </c>
      <c r="I3297" t="str">
        <f t="shared" si="70"/>
        <v>51</v>
      </c>
      <c r="J3297" t="s">
        <v>471</v>
      </c>
      <c r="K3297" t="s">
        <v>25</v>
      </c>
      <c r="L3297" t="s">
        <v>26</v>
      </c>
      <c r="M3297" t="s">
        <v>27</v>
      </c>
      <c r="N3297" s="1">
        <v>18629</v>
      </c>
      <c r="O3297">
        <v>0</v>
      </c>
      <c r="P3297">
        <v>0</v>
      </c>
      <c r="Q3297" t="s">
        <v>28</v>
      </c>
      <c r="R3297" t="s">
        <v>71</v>
      </c>
      <c r="S3297" t="s">
        <v>3594</v>
      </c>
      <c r="T3297" t="s">
        <v>3595</v>
      </c>
    </row>
    <row r="3298" spans="1:20" x14ac:dyDescent="0.25">
      <c r="A3298" t="s">
        <v>8044</v>
      </c>
      <c r="B3298" t="str">
        <f>"8020"</f>
        <v>8020</v>
      </c>
      <c r="C3298" t="str">
        <f>"270588020"</f>
        <v>270588020</v>
      </c>
      <c r="D3298" t="s">
        <v>3096</v>
      </c>
      <c r="E3298" t="s">
        <v>106</v>
      </c>
      <c r="F3298" t="s">
        <v>345</v>
      </c>
      <c r="G3298" s="1">
        <v>20059</v>
      </c>
      <c r="H3298" s="1">
        <v>39683</v>
      </c>
      <c r="I3298" t="str">
        <f t="shared" si="70"/>
        <v>51</v>
      </c>
      <c r="J3298" t="s">
        <v>471</v>
      </c>
      <c r="K3298" t="s">
        <v>25</v>
      </c>
      <c r="L3298" t="s">
        <v>26</v>
      </c>
      <c r="M3298" t="s">
        <v>27</v>
      </c>
      <c r="N3298" s="1">
        <v>18629</v>
      </c>
      <c r="O3298">
        <v>0</v>
      </c>
      <c r="P3298">
        <v>0</v>
      </c>
      <c r="Q3298" t="s">
        <v>28</v>
      </c>
      <c r="R3298" t="s">
        <v>71</v>
      </c>
      <c r="S3298" t="s">
        <v>2190</v>
      </c>
      <c r="T3298" t="s">
        <v>2191</v>
      </c>
    </row>
    <row r="3299" spans="1:20" x14ac:dyDescent="0.25">
      <c r="A3299" t="s">
        <v>8045</v>
      </c>
      <c r="B3299" t="str">
        <f>"3404"</f>
        <v>3404</v>
      </c>
      <c r="C3299" t="str">
        <f>"302683404"</f>
        <v>302683404</v>
      </c>
      <c r="D3299" t="s">
        <v>8046</v>
      </c>
      <c r="E3299" t="s">
        <v>8047</v>
      </c>
      <c r="F3299" t="s">
        <v>518</v>
      </c>
      <c r="G3299" s="1">
        <v>25700</v>
      </c>
      <c r="H3299" s="1">
        <v>39683</v>
      </c>
      <c r="I3299" t="str">
        <f t="shared" si="70"/>
        <v>51</v>
      </c>
      <c r="J3299" t="s">
        <v>471</v>
      </c>
      <c r="K3299" t="s">
        <v>25</v>
      </c>
      <c r="L3299" t="s">
        <v>26</v>
      </c>
      <c r="M3299" t="s">
        <v>27</v>
      </c>
      <c r="N3299" s="1">
        <v>18629</v>
      </c>
      <c r="O3299">
        <v>0</v>
      </c>
      <c r="P3299">
        <v>0</v>
      </c>
      <c r="Q3299" t="s">
        <v>37</v>
      </c>
      <c r="R3299" t="s">
        <v>29</v>
      </c>
      <c r="S3299" t="s">
        <v>1075</v>
      </c>
      <c r="T3299" t="s">
        <v>1076</v>
      </c>
    </row>
    <row r="3300" spans="1:20" x14ac:dyDescent="0.25">
      <c r="A3300" t="s">
        <v>8048</v>
      </c>
      <c r="B3300" t="str">
        <f>"2455"</f>
        <v>2455</v>
      </c>
      <c r="C3300" t="str">
        <f>"302802455"</f>
        <v>302802455</v>
      </c>
      <c r="D3300" t="s">
        <v>7328</v>
      </c>
      <c r="E3300" t="s">
        <v>8049</v>
      </c>
      <c r="F3300" t="s">
        <v>438</v>
      </c>
      <c r="G3300" s="1">
        <v>28047</v>
      </c>
      <c r="H3300" s="1">
        <v>39683</v>
      </c>
      <c r="I3300" t="str">
        <f t="shared" si="70"/>
        <v>51</v>
      </c>
      <c r="J3300" t="s">
        <v>471</v>
      </c>
      <c r="K3300" t="s">
        <v>25</v>
      </c>
      <c r="L3300" t="s">
        <v>26</v>
      </c>
      <c r="M3300" t="s">
        <v>27</v>
      </c>
      <c r="N3300" s="1">
        <v>18629</v>
      </c>
      <c r="O3300">
        <v>0</v>
      </c>
      <c r="P3300">
        <v>0</v>
      </c>
      <c r="Q3300" t="s">
        <v>37</v>
      </c>
      <c r="R3300" t="s">
        <v>29</v>
      </c>
      <c r="S3300" t="s">
        <v>138</v>
      </c>
      <c r="T3300" t="s">
        <v>139</v>
      </c>
    </row>
    <row r="3301" spans="1:20" x14ac:dyDescent="0.25">
      <c r="A3301" t="s">
        <v>8050</v>
      </c>
      <c r="B3301" t="str">
        <f>"0626"</f>
        <v>0626</v>
      </c>
      <c r="C3301" t="str">
        <f>"285580626"</f>
        <v>285580626</v>
      </c>
      <c r="D3301" t="s">
        <v>75</v>
      </c>
      <c r="E3301" t="s">
        <v>2339</v>
      </c>
      <c r="F3301" t="s">
        <v>556</v>
      </c>
      <c r="G3301" s="1">
        <v>25889</v>
      </c>
      <c r="H3301" s="1">
        <v>39683</v>
      </c>
      <c r="I3301" t="str">
        <f t="shared" si="70"/>
        <v>51</v>
      </c>
      <c r="J3301" t="s">
        <v>471</v>
      </c>
      <c r="K3301" t="s">
        <v>25</v>
      </c>
      <c r="L3301" t="s">
        <v>26</v>
      </c>
      <c r="M3301" t="s">
        <v>27</v>
      </c>
      <c r="N3301" s="1">
        <v>18629</v>
      </c>
      <c r="O3301">
        <v>0</v>
      </c>
      <c r="P3301">
        <v>0</v>
      </c>
      <c r="Q3301" t="s">
        <v>37</v>
      </c>
      <c r="R3301" t="s">
        <v>71</v>
      </c>
      <c r="S3301" t="s">
        <v>157</v>
      </c>
      <c r="T3301" t="s">
        <v>158</v>
      </c>
    </row>
    <row r="3302" spans="1:20" x14ac:dyDescent="0.25">
      <c r="A3302" t="s">
        <v>8051</v>
      </c>
      <c r="B3302" t="str">
        <f>"4877"</f>
        <v>4877</v>
      </c>
      <c r="C3302" t="str">
        <f>"298504877"</f>
        <v>298504877</v>
      </c>
      <c r="D3302" t="s">
        <v>8052</v>
      </c>
      <c r="E3302" t="s">
        <v>2070</v>
      </c>
      <c r="F3302" t="s">
        <v>3670</v>
      </c>
      <c r="G3302" s="1">
        <v>24794</v>
      </c>
      <c r="H3302" s="1">
        <v>39683</v>
      </c>
      <c r="I3302" t="str">
        <f t="shared" si="70"/>
        <v>51</v>
      </c>
      <c r="J3302" t="s">
        <v>471</v>
      </c>
      <c r="K3302" t="s">
        <v>25</v>
      </c>
      <c r="L3302" t="s">
        <v>26</v>
      </c>
      <c r="M3302" t="s">
        <v>27</v>
      </c>
      <c r="N3302" s="1">
        <v>18629</v>
      </c>
      <c r="O3302">
        <v>0</v>
      </c>
      <c r="P3302">
        <v>0</v>
      </c>
      <c r="Q3302" t="s">
        <v>37</v>
      </c>
      <c r="R3302" t="s">
        <v>29</v>
      </c>
      <c r="S3302" t="s">
        <v>138</v>
      </c>
      <c r="T3302" t="s">
        <v>139</v>
      </c>
    </row>
    <row r="3303" spans="1:20" x14ac:dyDescent="0.25">
      <c r="A3303" t="s">
        <v>8053</v>
      </c>
      <c r="B3303" t="str">
        <f>"9937"</f>
        <v>9937</v>
      </c>
      <c r="C3303" t="str">
        <f>"226029937"</f>
        <v>226029937</v>
      </c>
      <c r="D3303" t="s">
        <v>3555</v>
      </c>
      <c r="E3303" t="s">
        <v>2042</v>
      </c>
      <c r="G3303" s="1">
        <v>25552</v>
      </c>
      <c r="H3303" s="1">
        <v>39683</v>
      </c>
      <c r="I3303" t="str">
        <f t="shared" si="70"/>
        <v>51</v>
      </c>
      <c r="J3303" t="s">
        <v>471</v>
      </c>
      <c r="K3303" t="s">
        <v>25</v>
      </c>
      <c r="L3303" t="s">
        <v>26</v>
      </c>
      <c r="M3303" t="s">
        <v>27</v>
      </c>
      <c r="N3303" s="1">
        <v>18629</v>
      </c>
      <c r="O3303">
        <v>0</v>
      </c>
      <c r="P3303">
        <v>0</v>
      </c>
      <c r="Q3303" t="s">
        <v>37</v>
      </c>
      <c r="R3303" t="s">
        <v>71</v>
      </c>
      <c r="S3303" t="s">
        <v>3635</v>
      </c>
      <c r="T3303" t="s">
        <v>3636</v>
      </c>
    </row>
    <row r="3304" spans="1:20" x14ac:dyDescent="0.25">
      <c r="A3304" t="s">
        <v>8054</v>
      </c>
      <c r="B3304" t="str">
        <f>"9241"</f>
        <v>9241</v>
      </c>
      <c r="C3304" t="str">
        <f>"350769241"</f>
        <v>350769241</v>
      </c>
      <c r="D3304" t="s">
        <v>8055</v>
      </c>
      <c r="E3304" t="s">
        <v>8056</v>
      </c>
      <c r="F3304" t="s">
        <v>97</v>
      </c>
      <c r="G3304" s="1">
        <v>27551</v>
      </c>
      <c r="H3304" s="1">
        <v>39683</v>
      </c>
      <c r="I3304" t="str">
        <f t="shared" si="70"/>
        <v>51</v>
      </c>
      <c r="J3304" t="s">
        <v>471</v>
      </c>
      <c r="K3304" t="s">
        <v>25</v>
      </c>
      <c r="L3304" t="s">
        <v>26</v>
      </c>
      <c r="M3304" t="s">
        <v>27</v>
      </c>
      <c r="N3304" s="1">
        <v>18629</v>
      </c>
      <c r="O3304">
        <v>0</v>
      </c>
      <c r="P3304">
        <v>0</v>
      </c>
      <c r="Q3304" t="s">
        <v>37</v>
      </c>
      <c r="R3304" t="s">
        <v>71</v>
      </c>
      <c r="S3304" t="s">
        <v>2406</v>
      </c>
      <c r="T3304" t="s">
        <v>2407</v>
      </c>
    </row>
    <row r="3305" spans="1:20" x14ac:dyDescent="0.25">
      <c r="A3305" t="s">
        <v>8057</v>
      </c>
      <c r="B3305" t="str">
        <f>"7306"</f>
        <v>7306</v>
      </c>
      <c r="C3305" t="str">
        <f>"380847306"</f>
        <v>380847306</v>
      </c>
      <c r="D3305" t="s">
        <v>8058</v>
      </c>
      <c r="E3305" t="s">
        <v>2126</v>
      </c>
      <c r="F3305" t="s">
        <v>93</v>
      </c>
      <c r="G3305" s="1">
        <v>23208</v>
      </c>
      <c r="H3305" s="1">
        <v>39683</v>
      </c>
      <c r="I3305" t="str">
        <f>"33"</f>
        <v>33</v>
      </c>
      <c r="J3305" t="s">
        <v>45</v>
      </c>
      <c r="K3305" t="s">
        <v>25</v>
      </c>
      <c r="L3305" t="s">
        <v>26</v>
      </c>
      <c r="M3305" t="s">
        <v>27</v>
      </c>
      <c r="N3305" s="1">
        <v>18629</v>
      </c>
      <c r="O3305">
        <v>0</v>
      </c>
      <c r="P3305">
        <v>0</v>
      </c>
      <c r="Q3305" t="s">
        <v>37</v>
      </c>
      <c r="R3305" t="s">
        <v>71</v>
      </c>
      <c r="S3305" t="s">
        <v>157</v>
      </c>
      <c r="T3305" t="s">
        <v>158</v>
      </c>
    </row>
    <row r="3306" spans="1:20" x14ac:dyDescent="0.25">
      <c r="A3306" t="s">
        <v>8059</v>
      </c>
      <c r="B3306" t="str">
        <f>"1407"</f>
        <v>1407</v>
      </c>
      <c r="C3306" t="str">
        <f>"280681407"</f>
        <v>280681407</v>
      </c>
      <c r="D3306" t="s">
        <v>1798</v>
      </c>
      <c r="E3306" t="s">
        <v>1802</v>
      </c>
      <c r="F3306" t="s">
        <v>165</v>
      </c>
      <c r="G3306" s="1">
        <v>23785</v>
      </c>
      <c r="H3306" s="1">
        <v>39683</v>
      </c>
      <c r="I3306" t="str">
        <f>"51"</f>
        <v>51</v>
      </c>
      <c r="J3306" t="s">
        <v>471</v>
      </c>
      <c r="K3306" t="s">
        <v>25</v>
      </c>
      <c r="L3306" t="s">
        <v>26</v>
      </c>
      <c r="M3306" t="s">
        <v>27</v>
      </c>
      <c r="N3306" s="1">
        <v>18629</v>
      </c>
      <c r="O3306">
        <v>0</v>
      </c>
      <c r="P3306">
        <v>0</v>
      </c>
      <c r="Q3306" t="s">
        <v>37</v>
      </c>
      <c r="R3306" t="s">
        <v>29</v>
      </c>
      <c r="S3306" t="s">
        <v>138</v>
      </c>
      <c r="T3306" t="s">
        <v>139</v>
      </c>
    </row>
    <row r="3307" spans="1:20" x14ac:dyDescent="0.25">
      <c r="A3307" t="s">
        <v>8060</v>
      </c>
      <c r="B3307" t="str">
        <f>"2345"</f>
        <v>2345</v>
      </c>
      <c r="C3307" t="str">
        <f>"287702345"</f>
        <v>287702345</v>
      </c>
      <c r="D3307" t="s">
        <v>8061</v>
      </c>
      <c r="E3307" t="s">
        <v>2971</v>
      </c>
      <c r="F3307" t="s">
        <v>93</v>
      </c>
      <c r="G3307" s="1">
        <v>27968</v>
      </c>
      <c r="H3307" s="1">
        <v>39683</v>
      </c>
      <c r="I3307" t="str">
        <f>"33"</f>
        <v>33</v>
      </c>
      <c r="J3307" t="s">
        <v>45</v>
      </c>
      <c r="K3307" t="s">
        <v>25</v>
      </c>
      <c r="L3307" t="s">
        <v>26</v>
      </c>
      <c r="M3307" t="s">
        <v>27</v>
      </c>
      <c r="N3307" s="1">
        <v>18629</v>
      </c>
      <c r="O3307">
        <v>0</v>
      </c>
      <c r="P3307">
        <v>0</v>
      </c>
      <c r="Q3307" t="s">
        <v>37</v>
      </c>
      <c r="R3307" t="s">
        <v>71</v>
      </c>
      <c r="S3307" t="s">
        <v>757</v>
      </c>
      <c r="T3307" t="s">
        <v>758</v>
      </c>
    </row>
    <row r="3308" spans="1:20" x14ac:dyDescent="0.25">
      <c r="A3308" t="s">
        <v>8062</v>
      </c>
      <c r="B3308" t="str">
        <f>"5173"</f>
        <v>5173</v>
      </c>
      <c r="C3308" t="str">
        <f>"392585173"</f>
        <v>392585173</v>
      </c>
      <c r="D3308" t="s">
        <v>1565</v>
      </c>
      <c r="E3308" t="s">
        <v>335</v>
      </c>
      <c r="F3308" t="s">
        <v>165</v>
      </c>
      <c r="G3308" s="1">
        <v>19211</v>
      </c>
      <c r="H3308" s="1">
        <v>39683</v>
      </c>
      <c r="I3308" t="str">
        <f t="shared" ref="I3308:I3323" si="71">"51"</f>
        <v>51</v>
      </c>
      <c r="J3308" t="s">
        <v>471</v>
      </c>
      <c r="K3308" t="s">
        <v>25</v>
      </c>
      <c r="L3308" t="s">
        <v>26</v>
      </c>
      <c r="M3308" t="s">
        <v>27</v>
      </c>
      <c r="N3308" s="1">
        <v>18629</v>
      </c>
      <c r="O3308">
        <v>0</v>
      </c>
      <c r="P3308">
        <v>0</v>
      </c>
      <c r="Q3308" t="s">
        <v>28</v>
      </c>
      <c r="R3308" t="s">
        <v>71</v>
      </c>
      <c r="S3308" t="s">
        <v>2458</v>
      </c>
      <c r="T3308" t="s">
        <v>2459</v>
      </c>
    </row>
    <row r="3309" spans="1:20" x14ac:dyDescent="0.25">
      <c r="A3309" t="s">
        <v>8063</v>
      </c>
      <c r="B3309" t="str">
        <f>"1289"</f>
        <v>1289</v>
      </c>
      <c r="C3309" t="str">
        <f>"288301289"</f>
        <v>288301289</v>
      </c>
      <c r="D3309" t="s">
        <v>4948</v>
      </c>
      <c r="E3309" t="s">
        <v>8064</v>
      </c>
      <c r="F3309" t="s">
        <v>44</v>
      </c>
      <c r="G3309" s="1">
        <v>13303</v>
      </c>
      <c r="H3309" s="1">
        <v>39683</v>
      </c>
      <c r="I3309" t="str">
        <f t="shared" si="71"/>
        <v>51</v>
      </c>
      <c r="J3309" t="s">
        <v>471</v>
      </c>
      <c r="K3309" t="s">
        <v>25</v>
      </c>
      <c r="L3309" t="s">
        <v>26</v>
      </c>
      <c r="M3309" t="s">
        <v>27</v>
      </c>
      <c r="N3309" s="1">
        <v>18629</v>
      </c>
      <c r="O3309">
        <v>0</v>
      </c>
      <c r="P3309">
        <v>0</v>
      </c>
      <c r="Q3309" t="s">
        <v>37</v>
      </c>
      <c r="R3309" t="s">
        <v>29</v>
      </c>
      <c r="S3309" t="s">
        <v>1572</v>
      </c>
      <c r="T3309" t="s">
        <v>1573</v>
      </c>
    </row>
    <row r="3310" spans="1:20" x14ac:dyDescent="0.25">
      <c r="A3310" t="s">
        <v>8065</v>
      </c>
      <c r="B3310" t="str">
        <f>"5550"</f>
        <v>5550</v>
      </c>
      <c r="C3310" t="str">
        <f>"274825550"</f>
        <v>274825550</v>
      </c>
      <c r="D3310" t="s">
        <v>8066</v>
      </c>
      <c r="E3310" t="s">
        <v>179</v>
      </c>
      <c r="F3310" t="s">
        <v>165</v>
      </c>
      <c r="G3310" s="1">
        <v>30515</v>
      </c>
      <c r="H3310" s="1">
        <v>39683</v>
      </c>
      <c r="I3310" t="str">
        <f t="shared" si="71"/>
        <v>51</v>
      </c>
      <c r="J3310" t="s">
        <v>471</v>
      </c>
      <c r="K3310" t="s">
        <v>25</v>
      </c>
      <c r="L3310" t="s">
        <v>26</v>
      </c>
      <c r="M3310" t="s">
        <v>27</v>
      </c>
      <c r="N3310" s="1">
        <v>18629</v>
      </c>
      <c r="O3310">
        <v>0</v>
      </c>
      <c r="P3310">
        <v>0</v>
      </c>
      <c r="Q3310" t="s">
        <v>28</v>
      </c>
      <c r="R3310" t="s">
        <v>51</v>
      </c>
      <c r="S3310" s="2" t="s">
        <v>4118</v>
      </c>
      <c r="T3310" t="s">
        <v>4119</v>
      </c>
    </row>
    <row r="3311" spans="1:20" x14ac:dyDescent="0.25">
      <c r="A3311" t="s">
        <v>8067</v>
      </c>
      <c r="B3311" t="str">
        <f>"8781"</f>
        <v>8781</v>
      </c>
      <c r="C3311" t="str">
        <f>"363768781"</f>
        <v>363768781</v>
      </c>
      <c r="D3311" t="s">
        <v>8068</v>
      </c>
      <c r="E3311" t="s">
        <v>4566</v>
      </c>
      <c r="F3311" t="s">
        <v>44</v>
      </c>
      <c r="G3311" s="1">
        <v>22631</v>
      </c>
      <c r="H3311" s="1">
        <v>39683</v>
      </c>
      <c r="I3311" t="str">
        <f t="shared" si="71"/>
        <v>51</v>
      </c>
      <c r="J3311" t="s">
        <v>471</v>
      </c>
      <c r="K3311" t="s">
        <v>25</v>
      </c>
      <c r="L3311" t="s">
        <v>26</v>
      </c>
      <c r="M3311" t="s">
        <v>27</v>
      </c>
      <c r="N3311" s="1">
        <v>18629</v>
      </c>
      <c r="O3311">
        <v>0</v>
      </c>
      <c r="P3311">
        <v>0</v>
      </c>
      <c r="Q3311" t="s">
        <v>37</v>
      </c>
      <c r="R3311" t="s">
        <v>71</v>
      </c>
      <c r="S3311" t="s">
        <v>1547</v>
      </c>
      <c r="T3311" t="s">
        <v>1548</v>
      </c>
    </row>
    <row r="3312" spans="1:20" x14ac:dyDescent="0.25">
      <c r="A3312" t="s">
        <v>8069</v>
      </c>
      <c r="B3312" t="str">
        <f>"2439"</f>
        <v>2439</v>
      </c>
      <c r="C3312" t="str">
        <f>"287402439"</f>
        <v>287402439</v>
      </c>
      <c r="D3312" t="s">
        <v>8070</v>
      </c>
      <c r="E3312" t="s">
        <v>2455</v>
      </c>
      <c r="F3312" t="s">
        <v>69</v>
      </c>
      <c r="G3312" s="1">
        <v>16937</v>
      </c>
      <c r="H3312" s="1">
        <v>39683</v>
      </c>
      <c r="I3312" t="str">
        <f t="shared" si="71"/>
        <v>51</v>
      </c>
      <c r="J3312" t="s">
        <v>471</v>
      </c>
      <c r="K3312" t="s">
        <v>25</v>
      </c>
      <c r="L3312" t="s">
        <v>26</v>
      </c>
      <c r="M3312" t="s">
        <v>27</v>
      </c>
      <c r="N3312" s="1">
        <v>18629</v>
      </c>
      <c r="O3312">
        <v>0</v>
      </c>
      <c r="P3312">
        <v>0</v>
      </c>
      <c r="Q3312" t="s">
        <v>37</v>
      </c>
      <c r="R3312" t="s">
        <v>71</v>
      </c>
      <c r="S3312" t="s">
        <v>2458</v>
      </c>
      <c r="T3312" t="s">
        <v>2459</v>
      </c>
    </row>
    <row r="3313" spans="1:20" x14ac:dyDescent="0.25">
      <c r="A3313" t="s">
        <v>8071</v>
      </c>
      <c r="B3313" t="str">
        <f>"5601"</f>
        <v>5601</v>
      </c>
      <c r="C3313" t="str">
        <f>"440765601"</f>
        <v>440765601</v>
      </c>
      <c r="D3313" t="s">
        <v>8072</v>
      </c>
      <c r="E3313" t="s">
        <v>8073</v>
      </c>
      <c r="G3313" s="1">
        <v>21920</v>
      </c>
      <c r="H3313" s="1">
        <v>39683</v>
      </c>
      <c r="I3313" t="str">
        <f t="shared" si="71"/>
        <v>51</v>
      </c>
      <c r="J3313" t="s">
        <v>471</v>
      </c>
      <c r="K3313" t="s">
        <v>25</v>
      </c>
      <c r="L3313" t="s">
        <v>26</v>
      </c>
      <c r="M3313" t="s">
        <v>27</v>
      </c>
      <c r="N3313" s="1">
        <v>18629</v>
      </c>
      <c r="O3313">
        <v>0</v>
      </c>
      <c r="P3313">
        <v>0</v>
      </c>
      <c r="Q3313" t="s">
        <v>28</v>
      </c>
      <c r="R3313" t="s">
        <v>71</v>
      </c>
      <c r="S3313" t="s">
        <v>3191</v>
      </c>
      <c r="T3313" t="s">
        <v>3192</v>
      </c>
    </row>
    <row r="3314" spans="1:20" x14ac:dyDescent="0.25">
      <c r="A3314" t="s">
        <v>8074</v>
      </c>
      <c r="B3314" t="str">
        <f>"2133"</f>
        <v>2133</v>
      </c>
      <c r="C3314" t="str">
        <f>"283822133"</f>
        <v>283822133</v>
      </c>
      <c r="D3314" t="s">
        <v>8075</v>
      </c>
      <c r="E3314" t="s">
        <v>619</v>
      </c>
      <c r="F3314" t="s">
        <v>165</v>
      </c>
      <c r="G3314" s="1">
        <v>30726</v>
      </c>
      <c r="H3314" s="1">
        <v>39683</v>
      </c>
      <c r="I3314" t="str">
        <f t="shared" si="71"/>
        <v>51</v>
      </c>
      <c r="J3314" t="s">
        <v>471</v>
      </c>
      <c r="K3314" t="s">
        <v>25</v>
      </c>
      <c r="L3314" t="s">
        <v>26</v>
      </c>
      <c r="M3314" t="s">
        <v>27</v>
      </c>
      <c r="N3314" s="1">
        <v>18629</v>
      </c>
      <c r="O3314">
        <v>0</v>
      </c>
      <c r="P3314">
        <v>0</v>
      </c>
      <c r="Q3314" t="s">
        <v>37</v>
      </c>
      <c r="R3314" t="s">
        <v>71</v>
      </c>
      <c r="S3314" t="s">
        <v>157</v>
      </c>
      <c r="T3314" t="s">
        <v>158</v>
      </c>
    </row>
    <row r="3315" spans="1:20" x14ac:dyDescent="0.25">
      <c r="A3315" t="s">
        <v>8076</v>
      </c>
      <c r="B3315" t="str">
        <f>"6274"</f>
        <v>6274</v>
      </c>
      <c r="C3315" t="str">
        <f>"277786274"</f>
        <v>277786274</v>
      </c>
      <c r="D3315" t="s">
        <v>8077</v>
      </c>
      <c r="E3315" t="s">
        <v>1049</v>
      </c>
      <c r="F3315" t="s">
        <v>165</v>
      </c>
      <c r="G3315" s="1">
        <v>29468</v>
      </c>
      <c r="H3315" s="1">
        <v>39683</v>
      </c>
      <c r="I3315" t="str">
        <f t="shared" si="71"/>
        <v>51</v>
      </c>
      <c r="J3315" t="s">
        <v>471</v>
      </c>
      <c r="K3315" t="s">
        <v>25</v>
      </c>
      <c r="L3315" t="s">
        <v>26</v>
      </c>
      <c r="M3315" t="s">
        <v>27</v>
      </c>
      <c r="N3315" s="1">
        <v>18629</v>
      </c>
      <c r="O3315">
        <v>0</v>
      </c>
      <c r="P3315">
        <v>0</v>
      </c>
      <c r="Q3315" t="s">
        <v>28</v>
      </c>
      <c r="R3315" t="s">
        <v>29</v>
      </c>
      <c r="S3315" t="s">
        <v>589</v>
      </c>
      <c r="T3315" t="s">
        <v>590</v>
      </c>
    </row>
    <row r="3316" spans="1:20" x14ac:dyDescent="0.25">
      <c r="A3316" t="s">
        <v>8078</v>
      </c>
      <c r="B3316" t="str">
        <f>"0389"</f>
        <v>0389</v>
      </c>
      <c r="C3316" t="str">
        <f>"295440389"</f>
        <v>295440389</v>
      </c>
      <c r="D3316" t="s">
        <v>8079</v>
      </c>
      <c r="E3316" t="s">
        <v>716</v>
      </c>
      <c r="F3316" t="s">
        <v>165</v>
      </c>
      <c r="G3316" s="1">
        <v>16978</v>
      </c>
      <c r="H3316" s="1">
        <v>39683</v>
      </c>
      <c r="I3316" t="str">
        <f t="shared" si="71"/>
        <v>51</v>
      </c>
      <c r="J3316" t="s">
        <v>471</v>
      </c>
      <c r="K3316" t="s">
        <v>25</v>
      </c>
      <c r="L3316" t="s">
        <v>26</v>
      </c>
      <c r="M3316" t="s">
        <v>27</v>
      </c>
      <c r="N3316" s="1">
        <v>18629</v>
      </c>
      <c r="O3316">
        <v>0</v>
      </c>
      <c r="P3316">
        <v>0</v>
      </c>
      <c r="Q3316" t="s">
        <v>28</v>
      </c>
      <c r="R3316" t="s">
        <v>71</v>
      </c>
      <c r="S3316" t="s">
        <v>2458</v>
      </c>
      <c r="T3316" t="s">
        <v>2459</v>
      </c>
    </row>
    <row r="3317" spans="1:20" x14ac:dyDescent="0.25">
      <c r="A3317" t="s">
        <v>8080</v>
      </c>
      <c r="B3317" t="str">
        <f>"7149"</f>
        <v>7149</v>
      </c>
      <c r="C3317" t="str">
        <f>"578747149"</f>
        <v>578747149</v>
      </c>
      <c r="D3317" t="s">
        <v>8081</v>
      </c>
      <c r="E3317" t="s">
        <v>8082</v>
      </c>
      <c r="F3317" t="s">
        <v>219</v>
      </c>
      <c r="G3317" s="1">
        <v>17389</v>
      </c>
      <c r="H3317" s="1">
        <v>39683</v>
      </c>
      <c r="I3317" t="str">
        <f t="shared" si="71"/>
        <v>51</v>
      </c>
      <c r="J3317" t="s">
        <v>471</v>
      </c>
      <c r="K3317" t="s">
        <v>25</v>
      </c>
      <c r="L3317" t="s">
        <v>26</v>
      </c>
      <c r="M3317" t="s">
        <v>27</v>
      </c>
      <c r="N3317" s="1">
        <v>18629</v>
      </c>
      <c r="O3317">
        <v>0</v>
      </c>
      <c r="P3317">
        <v>0</v>
      </c>
      <c r="Q3317" t="s">
        <v>37</v>
      </c>
      <c r="R3317" t="s">
        <v>29</v>
      </c>
      <c r="S3317" t="s">
        <v>7536</v>
      </c>
      <c r="T3317" t="s">
        <v>7537</v>
      </c>
    </row>
    <row r="3318" spans="1:20" x14ac:dyDescent="0.25">
      <c r="A3318" t="s">
        <v>8083</v>
      </c>
      <c r="B3318" t="str">
        <f>"1549"</f>
        <v>1549</v>
      </c>
      <c r="C3318" t="str">
        <f>"282721549"</f>
        <v>282721549</v>
      </c>
      <c r="D3318" t="s">
        <v>105</v>
      </c>
      <c r="E3318" t="s">
        <v>1372</v>
      </c>
      <c r="F3318" t="s">
        <v>93</v>
      </c>
      <c r="G3318" s="1">
        <v>23927</v>
      </c>
      <c r="H3318" s="1">
        <v>39683</v>
      </c>
      <c r="I3318" t="str">
        <f t="shared" si="71"/>
        <v>51</v>
      </c>
      <c r="J3318" t="s">
        <v>471</v>
      </c>
      <c r="K3318" t="s">
        <v>25</v>
      </c>
      <c r="L3318" t="s">
        <v>26</v>
      </c>
      <c r="M3318" t="s">
        <v>27</v>
      </c>
      <c r="N3318" s="1">
        <v>18629</v>
      </c>
      <c r="O3318">
        <v>0</v>
      </c>
      <c r="P3318">
        <v>0</v>
      </c>
      <c r="Q3318" t="s">
        <v>37</v>
      </c>
      <c r="R3318" t="s">
        <v>71</v>
      </c>
      <c r="S3318" t="s">
        <v>645</v>
      </c>
      <c r="T3318" t="s">
        <v>646</v>
      </c>
    </row>
    <row r="3319" spans="1:20" x14ac:dyDescent="0.25">
      <c r="A3319" t="s">
        <v>8084</v>
      </c>
      <c r="B3319" t="str">
        <f>"2632"</f>
        <v>2632</v>
      </c>
      <c r="C3319" t="str">
        <f>"286482632"</f>
        <v>286482632</v>
      </c>
      <c r="D3319" t="s">
        <v>8085</v>
      </c>
      <c r="E3319" t="s">
        <v>8086</v>
      </c>
      <c r="G3319" s="1">
        <v>17792</v>
      </c>
      <c r="H3319" s="1">
        <v>39683</v>
      </c>
      <c r="I3319" t="str">
        <f t="shared" si="71"/>
        <v>51</v>
      </c>
      <c r="J3319" t="s">
        <v>471</v>
      </c>
      <c r="K3319" t="s">
        <v>25</v>
      </c>
      <c r="L3319" t="s">
        <v>26</v>
      </c>
      <c r="M3319" t="s">
        <v>27</v>
      </c>
      <c r="N3319" s="1">
        <v>18629</v>
      </c>
      <c r="O3319">
        <v>0</v>
      </c>
      <c r="P3319">
        <v>0</v>
      </c>
      <c r="Q3319" t="s">
        <v>37</v>
      </c>
      <c r="R3319" t="s">
        <v>71</v>
      </c>
      <c r="S3319" t="s">
        <v>871</v>
      </c>
      <c r="T3319" t="s">
        <v>872</v>
      </c>
    </row>
    <row r="3320" spans="1:20" x14ac:dyDescent="0.25">
      <c r="A3320" t="s">
        <v>8087</v>
      </c>
      <c r="B3320" t="str">
        <f>"1946"</f>
        <v>1946</v>
      </c>
      <c r="C3320" t="str">
        <f>"281701946"</f>
        <v>281701946</v>
      </c>
      <c r="D3320" t="s">
        <v>8088</v>
      </c>
      <c r="E3320" t="s">
        <v>33</v>
      </c>
      <c r="F3320" t="s">
        <v>122</v>
      </c>
      <c r="G3320" s="1">
        <v>23213</v>
      </c>
      <c r="H3320" s="1">
        <v>39683</v>
      </c>
      <c r="I3320" t="str">
        <f t="shared" si="71"/>
        <v>51</v>
      </c>
      <c r="J3320" t="s">
        <v>471</v>
      </c>
      <c r="K3320" t="s">
        <v>25</v>
      </c>
      <c r="L3320" t="s">
        <v>26</v>
      </c>
      <c r="M3320" t="s">
        <v>27</v>
      </c>
      <c r="N3320" s="1">
        <v>18629</v>
      </c>
      <c r="O3320">
        <v>0</v>
      </c>
      <c r="P3320">
        <v>0</v>
      </c>
      <c r="Q3320" t="s">
        <v>28</v>
      </c>
      <c r="R3320" t="s">
        <v>29</v>
      </c>
      <c r="S3320" t="s">
        <v>1677</v>
      </c>
      <c r="T3320" t="s">
        <v>1678</v>
      </c>
    </row>
    <row r="3321" spans="1:20" x14ac:dyDescent="0.25">
      <c r="A3321" t="s">
        <v>8089</v>
      </c>
      <c r="B3321" t="str">
        <f>"7298"</f>
        <v>7298</v>
      </c>
      <c r="C3321" t="str">
        <f>"274547298"</f>
        <v>274547298</v>
      </c>
      <c r="D3321" t="s">
        <v>8090</v>
      </c>
      <c r="E3321" t="s">
        <v>3646</v>
      </c>
      <c r="F3321" t="s">
        <v>165</v>
      </c>
      <c r="G3321" s="1">
        <v>19293</v>
      </c>
      <c r="H3321" s="1">
        <v>39683</v>
      </c>
      <c r="I3321" t="str">
        <f t="shared" si="71"/>
        <v>51</v>
      </c>
      <c r="J3321" t="s">
        <v>471</v>
      </c>
      <c r="K3321" t="s">
        <v>25</v>
      </c>
      <c r="L3321" t="s">
        <v>26</v>
      </c>
      <c r="M3321" t="s">
        <v>27</v>
      </c>
      <c r="N3321" s="1">
        <v>18629</v>
      </c>
      <c r="O3321">
        <v>0</v>
      </c>
      <c r="P3321">
        <v>0</v>
      </c>
      <c r="Q3321" t="s">
        <v>28</v>
      </c>
      <c r="R3321" t="s">
        <v>29</v>
      </c>
      <c r="S3321" t="s">
        <v>1555</v>
      </c>
      <c r="T3321" t="s">
        <v>1556</v>
      </c>
    </row>
    <row r="3322" spans="1:20" x14ac:dyDescent="0.25">
      <c r="A3322" t="s">
        <v>8091</v>
      </c>
      <c r="B3322" t="str">
        <f>"0538"</f>
        <v>0538</v>
      </c>
      <c r="C3322" t="str">
        <f>"220720538"</f>
        <v>220720538</v>
      </c>
      <c r="D3322" t="s">
        <v>8092</v>
      </c>
      <c r="E3322" t="s">
        <v>682</v>
      </c>
      <c r="F3322" t="s">
        <v>28</v>
      </c>
      <c r="G3322" s="1">
        <v>20743</v>
      </c>
      <c r="H3322" s="1">
        <v>39683</v>
      </c>
      <c r="I3322" t="str">
        <f t="shared" si="71"/>
        <v>51</v>
      </c>
      <c r="J3322" t="s">
        <v>471</v>
      </c>
      <c r="K3322" t="s">
        <v>25</v>
      </c>
      <c r="L3322" t="s">
        <v>26</v>
      </c>
      <c r="M3322" t="s">
        <v>27</v>
      </c>
      <c r="N3322" s="1">
        <v>18629</v>
      </c>
      <c r="O3322">
        <v>0</v>
      </c>
      <c r="P3322">
        <v>0</v>
      </c>
      <c r="Q3322" t="s">
        <v>37</v>
      </c>
      <c r="R3322" t="s">
        <v>71</v>
      </c>
      <c r="S3322" t="s">
        <v>790</v>
      </c>
      <c r="T3322" t="s">
        <v>791</v>
      </c>
    </row>
    <row r="3323" spans="1:20" x14ac:dyDescent="0.25">
      <c r="A3323" t="s">
        <v>8093</v>
      </c>
      <c r="B3323" t="str">
        <f>"6553"</f>
        <v>6553</v>
      </c>
      <c r="C3323" t="str">
        <f>"282626553"</f>
        <v>282626553</v>
      </c>
      <c r="D3323" t="s">
        <v>1049</v>
      </c>
      <c r="E3323" t="s">
        <v>1181</v>
      </c>
      <c r="F3323" t="s">
        <v>2934</v>
      </c>
      <c r="G3323" s="1">
        <v>26651</v>
      </c>
      <c r="H3323" s="1">
        <v>39683</v>
      </c>
      <c r="I3323" t="str">
        <f t="shared" si="71"/>
        <v>51</v>
      </c>
      <c r="J3323" t="s">
        <v>471</v>
      </c>
      <c r="K3323" t="s">
        <v>25</v>
      </c>
      <c r="L3323" t="s">
        <v>26</v>
      </c>
      <c r="M3323" t="s">
        <v>27</v>
      </c>
      <c r="N3323" s="1">
        <v>18629</v>
      </c>
      <c r="O3323">
        <v>0</v>
      </c>
      <c r="P3323">
        <v>0</v>
      </c>
      <c r="Q3323" t="s">
        <v>37</v>
      </c>
      <c r="R3323" t="s">
        <v>29</v>
      </c>
      <c r="S3323" t="s">
        <v>5366</v>
      </c>
      <c r="T3323" t="s">
        <v>5367</v>
      </c>
    </row>
    <row r="3324" spans="1:20" x14ac:dyDescent="0.25">
      <c r="A3324" t="s">
        <v>8094</v>
      </c>
      <c r="B3324" t="str">
        <f>"3573"</f>
        <v>3573</v>
      </c>
      <c r="C3324" t="str">
        <f>"269803573"</f>
        <v>269803573</v>
      </c>
      <c r="D3324" t="s">
        <v>8095</v>
      </c>
      <c r="E3324" t="s">
        <v>2014</v>
      </c>
      <c r="F3324" t="s">
        <v>28</v>
      </c>
      <c r="G3324" s="1">
        <v>28713</v>
      </c>
      <c r="H3324" s="1">
        <v>39683</v>
      </c>
      <c r="I3324" t="str">
        <f>"33"</f>
        <v>33</v>
      </c>
      <c r="J3324" t="s">
        <v>45</v>
      </c>
      <c r="K3324" t="s">
        <v>25</v>
      </c>
      <c r="L3324" t="s">
        <v>26</v>
      </c>
      <c r="M3324" t="s">
        <v>27</v>
      </c>
      <c r="N3324" s="1">
        <v>18629</v>
      </c>
      <c r="O3324">
        <v>0</v>
      </c>
      <c r="P3324">
        <v>0</v>
      </c>
      <c r="Q3324" t="s">
        <v>37</v>
      </c>
      <c r="R3324" t="s">
        <v>71</v>
      </c>
      <c r="S3324" t="s">
        <v>157</v>
      </c>
      <c r="T3324" t="s">
        <v>158</v>
      </c>
    </row>
    <row r="3325" spans="1:20" x14ac:dyDescent="0.25">
      <c r="A3325" t="s">
        <v>8096</v>
      </c>
      <c r="B3325" t="str">
        <f>"4106"</f>
        <v>4106</v>
      </c>
      <c r="C3325" t="str">
        <f>"297134106"</f>
        <v>297134106</v>
      </c>
      <c r="D3325" t="s">
        <v>8097</v>
      </c>
      <c r="E3325" t="s">
        <v>4600</v>
      </c>
      <c r="G3325" s="1">
        <v>27401</v>
      </c>
      <c r="H3325" s="1">
        <v>39683</v>
      </c>
      <c r="I3325" t="str">
        <f t="shared" ref="I3325:I3330" si="72">"51"</f>
        <v>51</v>
      </c>
      <c r="J3325" t="s">
        <v>471</v>
      </c>
      <c r="K3325" t="s">
        <v>25</v>
      </c>
      <c r="L3325" t="s">
        <v>26</v>
      </c>
      <c r="M3325" t="s">
        <v>27</v>
      </c>
      <c r="N3325" s="1">
        <v>18629</v>
      </c>
      <c r="O3325">
        <v>0</v>
      </c>
      <c r="P3325">
        <v>0</v>
      </c>
      <c r="Q3325" t="s">
        <v>28</v>
      </c>
      <c r="R3325" t="s">
        <v>258</v>
      </c>
      <c r="S3325" t="s">
        <v>472</v>
      </c>
      <c r="T3325" t="s">
        <v>473</v>
      </c>
    </row>
    <row r="3326" spans="1:20" x14ac:dyDescent="0.25">
      <c r="A3326" t="s">
        <v>8098</v>
      </c>
      <c r="B3326" t="str">
        <f>"7831"</f>
        <v>7831</v>
      </c>
      <c r="C3326" t="str">
        <f>"288867831"</f>
        <v>288867831</v>
      </c>
      <c r="D3326" t="s">
        <v>860</v>
      </c>
      <c r="E3326" t="s">
        <v>6021</v>
      </c>
      <c r="F3326" t="s">
        <v>93</v>
      </c>
      <c r="G3326" s="1">
        <v>29155</v>
      </c>
      <c r="H3326" s="1">
        <v>39683</v>
      </c>
      <c r="I3326" t="str">
        <f t="shared" si="72"/>
        <v>51</v>
      </c>
      <c r="J3326" t="s">
        <v>471</v>
      </c>
      <c r="K3326" t="s">
        <v>25</v>
      </c>
      <c r="L3326" t="s">
        <v>26</v>
      </c>
      <c r="M3326" t="s">
        <v>27</v>
      </c>
      <c r="N3326" s="1">
        <v>18629</v>
      </c>
      <c r="O3326">
        <v>0</v>
      </c>
      <c r="P3326">
        <v>0</v>
      </c>
      <c r="Q3326" t="s">
        <v>28</v>
      </c>
      <c r="R3326" t="s">
        <v>51</v>
      </c>
      <c r="S3326" s="2" t="s">
        <v>1508</v>
      </c>
      <c r="T3326" t="s">
        <v>1509</v>
      </c>
    </row>
    <row r="3327" spans="1:20" x14ac:dyDescent="0.25">
      <c r="A3327" t="s">
        <v>8099</v>
      </c>
      <c r="B3327" t="str">
        <f>"2291"</f>
        <v>2291</v>
      </c>
      <c r="C3327" t="str">
        <f>"280742291"</f>
        <v>280742291</v>
      </c>
      <c r="D3327" t="s">
        <v>8100</v>
      </c>
      <c r="E3327" t="s">
        <v>8101</v>
      </c>
      <c r="F3327" t="s">
        <v>219</v>
      </c>
      <c r="G3327" s="1">
        <v>28687</v>
      </c>
      <c r="H3327" s="1">
        <v>39683</v>
      </c>
      <c r="I3327" t="str">
        <f t="shared" si="72"/>
        <v>51</v>
      </c>
      <c r="J3327" t="s">
        <v>471</v>
      </c>
      <c r="K3327" t="s">
        <v>25</v>
      </c>
      <c r="L3327" t="s">
        <v>26</v>
      </c>
      <c r="M3327" t="s">
        <v>27</v>
      </c>
      <c r="N3327" s="1">
        <v>18629</v>
      </c>
      <c r="O3327">
        <v>0</v>
      </c>
      <c r="P3327">
        <v>0</v>
      </c>
      <c r="Q3327" t="s">
        <v>28</v>
      </c>
      <c r="R3327" t="s">
        <v>71</v>
      </c>
      <c r="S3327" t="s">
        <v>2458</v>
      </c>
      <c r="T3327" t="s">
        <v>2459</v>
      </c>
    </row>
    <row r="3328" spans="1:20" x14ac:dyDescent="0.25">
      <c r="A3328" t="s">
        <v>8102</v>
      </c>
      <c r="B3328" t="str">
        <f>"4656"</f>
        <v>4656</v>
      </c>
      <c r="C3328" t="str">
        <f>"457654656"</f>
        <v>457654656</v>
      </c>
      <c r="D3328" t="s">
        <v>8103</v>
      </c>
      <c r="E3328" t="s">
        <v>2239</v>
      </c>
      <c r="F3328" t="s">
        <v>327</v>
      </c>
      <c r="G3328" s="1">
        <v>26091</v>
      </c>
      <c r="H3328" s="1">
        <v>39683</v>
      </c>
      <c r="I3328" t="str">
        <f t="shared" si="72"/>
        <v>51</v>
      </c>
      <c r="J3328" t="s">
        <v>471</v>
      </c>
      <c r="K3328" t="s">
        <v>25</v>
      </c>
      <c r="L3328" t="s">
        <v>26</v>
      </c>
      <c r="M3328" t="s">
        <v>27</v>
      </c>
      <c r="N3328" s="1">
        <v>18629</v>
      </c>
      <c r="O3328">
        <v>0</v>
      </c>
      <c r="P3328">
        <v>0</v>
      </c>
      <c r="Q3328" t="s">
        <v>37</v>
      </c>
      <c r="R3328" t="s">
        <v>29</v>
      </c>
      <c r="S3328" t="s">
        <v>191</v>
      </c>
      <c r="T3328" t="s">
        <v>192</v>
      </c>
    </row>
    <row r="3329" spans="1:20" x14ac:dyDescent="0.25">
      <c r="A3329" t="s">
        <v>8104</v>
      </c>
      <c r="B3329" t="str">
        <f>"3614"</f>
        <v>3614</v>
      </c>
      <c r="C3329" t="str">
        <f>"296423614"</f>
        <v>296423614</v>
      </c>
      <c r="D3329" t="s">
        <v>8105</v>
      </c>
      <c r="E3329" t="s">
        <v>769</v>
      </c>
      <c r="F3329" t="s">
        <v>438</v>
      </c>
      <c r="G3329" s="1">
        <v>20716</v>
      </c>
      <c r="H3329" s="1">
        <v>39683</v>
      </c>
      <c r="I3329" t="str">
        <f t="shared" si="72"/>
        <v>51</v>
      </c>
      <c r="J3329" t="s">
        <v>471</v>
      </c>
      <c r="K3329" t="s">
        <v>25</v>
      </c>
      <c r="L3329" t="s">
        <v>26</v>
      </c>
      <c r="M3329" t="s">
        <v>27</v>
      </c>
      <c r="N3329" s="1">
        <v>18629</v>
      </c>
      <c r="O3329">
        <v>0</v>
      </c>
      <c r="P3329">
        <v>0</v>
      </c>
      <c r="Q3329" t="s">
        <v>37</v>
      </c>
      <c r="R3329" t="s">
        <v>71</v>
      </c>
      <c r="S3329" t="s">
        <v>157</v>
      </c>
      <c r="T3329" t="s">
        <v>158</v>
      </c>
    </row>
    <row r="3330" spans="1:20" x14ac:dyDescent="0.25">
      <c r="A3330" t="s">
        <v>8106</v>
      </c>
      <c r="B3330" t="str">
        <f>"9095"</f>
        <v>9095</v>
      </c>
      <c r="C3330" t="str">
        <f>"290589095"</f>
        <v>290589095</v>
      </c>
      <c r="D3330" t="s">
        <v>8107</v>
      </c>
      <c r="E3330" t="s">
        <v>1981</v>
      </c>
      <c r="F3330" t="s">
        <v>317</v>
      </c>
      <c r="G3330" s="1">
        <v>21665</v>
      </c>
      <c r="H3330" s="1">
        <v>39683</v>
      </c>
      <c r="I3330" t="str">
        <f t="shared" si="72"/>
        <v>51</v>
      </c>
      <c r="J3330" t="s">
        <v>471</v>
      </c>
      <c r="K3330" t="s">
        <v>25</v>
      </c>
      <c r="L3330" t="s">
        <v>26</v>
      </c>
      <c r="M3330" t="s">
        <v>27</v>
      </c>
      <c r="N3330" s="1">
        <v>18629</v>
      </c>
      <c r="O3330">
        <v>0</v>
      </c>
      <c r="P3330">
        <v>0</v>
      </c>
      <c r="Q3330" t="s">
        <v>37</v>
      </c>
      <c r="R3330" t="s">
        <v>29</v>
      </c>
      <c r="S3330" t="s">
        <v>138</v>
      </c>
      <c r="T3330" t="s">
        <v>139</v>
      </c>
    </row>
    <row r="3331" spans="1:20" x14ac:dyDescent="0.25">
      <c r="A3331" t="s">
        <v>8108</v>
      </c>
      <c r="B3331" t="str">
        <f>"9619"</f>
        <v>9619</v>
      </c>
      <c r="C3331" t="str">
        <f>"277729619"</f>
        <v>277729619</v>
      </c>
      <c r="D3331" t="s">
        <v>8109</v>
      </c>
      <c r="E3331" t="s">
        <v>56</v>
      </c>
      <c r="F3331" t="s">
        <v>219</v>
      </c>
      <c r="G3331" s="1">
        <v>28087</v>
      </c>
      <c r="H3331" s="1">
        <v>39683</v>
      </c>
      <c r="I3331" t="str">
        <f>"33"</f>
        <v>33</v>
      </c>
      <c r="J3331" t="s">
        <v>45</v>
      </c>
      <c r="K3331" t="s">
        <v>25</v>
      </c>
      <c r="L3331" t="s">
        <v>26</v>
      </c>
      <c r="M3331" t="s">
        <v>27</v>
      </c>
      <c r="N3331" s="1">
        <v>18629</v>
      </c>
      <c r="O3331">
        <v>0</v>
      </c>
      <c r="P3331">
        <v>0</v>
      </c>
      <c r="Q3331" t="s">
        <v>28</v>
      </c>
      <c r="R3331" t="s">
        <v>71</v>
      </c>
      <c r="S3331" t="s">
        <v>157</v>
      </c>
      <c r="T3331" t="s">
        <v>158</v>
      </c>
    </row>
    <row r="3332" spans="1:20" x14ac:dyDescent="0.25">
      <c r="A3332" t="s">
        <v>8110</v>
      </c>
      <c r="B3332" t="str">
        <f>"1966"</f>
        <v>1966</v>
      </c>
      <c r="C3332" t="str">
        <f>"271081966"</f>
        <v>271081966</v>
      </c>
      <c r="D3332" t="s">
        <v>8111</v>
      </c>
      <c r="E3332" t="s">
        <v>8112</v>
      </c>
      <c r="G3332" s="1">
        <v>28956</v>
      </c>
      <c r="H3332" s="1">
        <v>39682</v>
      </c>
      <c r="I3332" t="str">
        <f>"51"</f>
        <v>51</v>
      </c>
      <c r="J3332" t="s">
        <v>471</v>
      </c>
      <c r="K3332" t="s">
        <v>25</v>
      </c>
      <c r="L3332" t="s">
        <v>26</v>
      </c>
      <c r="M3332" t="s">
        <v>27</v>
      </c>
      <c r="N3332" s="1">
        <v>18629</v>
      </c>
      <c r="O3332">
        <v>0</v>
      </c>
      <c r="P3332">
        <v>0</v>
      </c>
      <c r="Q3332" t="s">
        <v>37</v>
      </c>
      <c r="R3332" t="s">
        <v>29</v>
      </c>
      <c r="S3332" t="s">
        <v>83</v>
      </c>
      <c r="T3332" t="s">
        <v>84</v>
      </c>
    </row>
    <row r="3333" spans="1:20" x14ac:dyDescent="0.25">
      <c r="A3333" t="s">
        <v>8113</v>
      </c>
      <c r="B3333" t="str">
        <f>"2373"</f>
        <v>2373</v>
      </c>
      <c r="C3333" t="str">
        <f>"346462373"</f>
        <v>346462373</v>
      </c>
      <c r="D3333" t="s">
        <v>8114</v>
      </c>
      <c r="E3333" t="s">
        <v>4502</v>
      </c>
      <c r="G3333" s="1">
        <v>19266</v>
      </c>
      <c r="H3333" s="1">
        <v>39682</v>
      </c>
      <c r="I3333" t="str">
        <f>"51"</f>
        <v>51</v>
      </c>
      <c r="J3333" t="s">
        <v>471</v>
      </c>
      <c r="K3333" t="s">
        <v>25</v>
      </c>
      <c r="L3333" t="s">
        <v>26</v>
      </c>
      <c r="M3333" t="s">
        <v>27</v>
      </c>
      <c r="N3333" s="1">
        <v>18629</v>
      </c>
      <c r="O3333">
        <v>0</v>
      </c>
      <c r="P3333">
        <v>0</v>
      </c>
      <c r="Q3333" t="s">
        <v>37</v>
      </c>
      <c r="R3333" t="s">
        <v>29</v>
      </c>
      <c r="S3333" t="s">
        <v>1494</v>
      </c>
      <c r="T3333" t="s">
        <v>1495</v>
      </c>
    </row>
    <row r="3334" spans="1:20" x14ac:dyDescent="0.25">
      <c r="A3334" t="s">
        <v>8115</v>
      </c>
      <c r="B3334" t="str">
        <f>"6022"</f>
        <v>6022</v>
      </c>
      <c r="C3334" t="str">
        <f>"292526022"</f>
        <v>292526022</v>
      </c>
      <c r="D3334" t="s">
        <v>8116</v>
      </c>
      <c r="E3334" t="s">
        <v>1589</v>
      </c>
      <c r="F3334" t="s">
        <v>44</v>
      </c>
      <c r="G3334" s="1">
        <v>18828</v>
      </c>
      <c r="H3334" s="1">
        <v>39682</v>
      </c>
      <c r="I3334" t="str">
        <f>"51"</f>
        <v>51</v>
      </c>
      <c r="J3334" t="s">
        <v>471</v>
      </c>
      <c r="K3334" t="s">
        <v>25</v>
      </c>
      <c r="L3334" t="s">
        <v>26</v>
      </c>
      <c r="M3334" t="s">
        <v>27</v>
      </c>
      <c r="N3334" s="1">
        <v>18629</v>
      </c>
      <c r="O3334">
        <v>0</v>
      </c>
      <c r="P3334">
        <v>0</v>
      </c>
      <c r="Q3334" t="s">
        <v>37</v>
      </c>
      <c r="R3334" t="s">
        <v>71</v>
      </c>
      <c r="S3334" t="s">
        <v>2634</v>
      </c>
      <c r="T3334" t="s">
        <v>2635</v>
      </c>
    </row>
    <row r="3335" spans="1:20" x14ac:dyDescent="0.25">
      <c r="A3335" t="s">
        <v>8117</v>
      </c>
      <c r="B3335" t="str">
        <f>"1419"</f>
        <v>1419</v>
      </c>
      <c r="C3335" t="str">
        <f>"275321419"</f>
        <v>275321419</v>
      </c>
      <c r="D3335" t="s">
        <v>1417</v>
      </c>
      <c r="E3335" t="s">
        <v>35</v>
      </c>
      <c r="F3335" t="s">
        <v>97</v>
      </c>
      <c r="G3335" s="1">
        <v>14457</v>
      </c>
      <c r="H3335" s="1">
        <v>39682</v>
      </c>
      <c r="I3335" t="str">
        <f>"51"</f>
        <v>51</v>
      </c>
      <c r="J3335" t="s">
        <v>471</v>
      </c>
      <c r="K3335" t="s">
        <v>25</v>
      </c>
      <c r="L3335" t="s">
        <v>26</v>
      </c>
      <c r="M3335" t="s">
        <v>27</v>
      </c>
      <c r="N3335" s="1">
        <v>18629</v>
      </c>
      <c r="O3335">
        <v>0</v>
      </c>
      <c r="P3335">
        <v>0</v>
      </c>
      <c r="Q3335" t="s">
        <v>28</v>
      </c>
      <c r="R3335" t="s">
        <v>71</v>
      </c>
      <c r="S3335" t="s">
        <v>4177</v>
      </c>
      <c r="T3335" t="s">
        <v>4178</v>
      </c>
    </row>
    <row r="3336" spans="1:20" x14ac:dyDescent="0.25">
      <c r="A3336" t="s">
        <v>8118</v>
      </c>
      <c r="B3336" t="str">
        <f>"1708"</f>
        <v>1708</v>
      </c>
      <c r="C3336" t="str">
        <f>"291721708"</f>
        <v>291721708</v>
      </c>
      <c r="D3336" t="s">
        <v>8119</v>
      </c>
      <c r="E3336" t="s">
        <v>8120</v>
      </c>
      <c r="F3336" t="s">
        <v>239</v>
      </c>
      <c r="G3336" s="1">
        <v>24420</v>
      </c>
      <c r="H3336" s="1">
        <v>39678</v>
      </c>
      <c r="I3336" t="str">
        <f>"41"</f>
        <v>41</v>
      </c>
      <c r="J3336" t="s">
        <v>24</v>
      </c>
      <c r="K3336" t="s">
        <v>25</v>
      </c>
      <c r="L3336" t="s">
        <v>26</v>
      </c>
      <c r="M3336" t="s">
        <v>27</v>
      </c>
      <c r="N3336" s="1">
        <v>18629</v>
      </c>
      <c r="O3336">
        <v>0</v>
      </c>
      <c r="P3336">
        <v>0</v>
      </c>
      <c r="Q3336" t="s">
        <v>28</v>
      </c>
      <c r="R3336" t="s">
        <v>71</v>
      </c>
      <c r="S3336" t="s">
        <v>402</v>
      </c>
      <c r="T3336" t="s">
        <v>403</v>
      </c>
    </row>
    <row r="3337" spans="1:20" x14ac:dyDescent="0.25">
      <c r="A3337" t="s">
        <v>8121</v>
      </c>
      <c r="B3337" t="str">
        <f>"8531"</f>
        <v>8531</v>
      </c>
      <c r="C3337" t="str">
        <f>"418418531"</f>
        <v>418418531</v>
      </c>
      <c r="D3337" t="s">
        <v>8122</v>
      </c>
      <c r="E3337" t="s">
        <v>1026</v>
      </c>
      <c r="F3337" t="s">
        <v>329</v>
      </c>
      <c r="G3337" s="1">
        <v>26151</v>
      </c>
      <c r="H3337" s="1">
        <v>39671</v>
      </c>
      <c r="I3337" t="str">
        <f>"42"</f>
        <v>42</v>
      </c>
      <c r="J3337" t="s">
        <v>367</v>
      </c>
      <c r="K3337" t="s">
        <v>25</v>
      </c>
      <c r="L3337" t="s">
        <v>26</v>
      </c>
      <c r="M3337" t="s">
        <v>27</v>
      </c>
      <c r="N3337" s="1">
        <v>18629</v>
      </c>
      <c r="O3337">
        <v>0</v>
      </c>
      <c r="P3337">
        <v>0</v>
      </c>
      <c r="Q3337" t="s">
        <v>37</v>
      </c>
      <c r="R3337" t="s">
        <v>346</v>
      </c>
      <c r="S3337" t="s">
        <v>495</v>
      </c>
      <c r="T3337" t="s">
        <v>496</v>
      </c>
    </row>
    <row r="3338" spans="1:20" x14ac:dyDescent="0.25">
      <c r="A3338" t="s">
        <v>8123</v>
      </c>
      <c r="B3338" t="str">
        <f>"6390"</f>
        <v>6390</v>
      </c>
      <c r="C3338" t="str">
        <f>"224646390"</f>
        <v>224646390</v>
      </c>
      <c r="D3338" t="s">
        <v>8124</v>
      </c>
      <c r="E3338" t="s">
        <v>504</v>
      </c>
      <c r="F3338" t="s">
        <v>97</v>
      </c>
      <c r="G3338" s="1">
        <v>19139</v>
      </c>
      <c r="H3338" s="1">
        <v>39671</v>
      </c>
      <c r="I3338" t="str">
        <f>"20"</f>
        <v>20</v>
      </c>
      <c r="J3338" t="s">
        <v>123</v>
      </c>
      <c r="K3338" t="s">
        <v>98</v>
      </c>
      <c r="L3338" t="s">
        <v>37</v>
      </c>
      <c r="M3338" t="s">
        <v>257</v>
      </c>
      <c r="N3338" s="1">
        <v>41631</v>
      </c>
      <c r="O3338">
        <v>10753.16</v>
      </c>
      <c r="P3338">
        <v>2688.4</v>
      </c>
      <c r="Q3338" t="s">
        <v>37</v>
      </c>
      <c r="R3338" t="s">
        <v>71</v>
      </c>
      <c r="S3338" t="s">
        <v>3844</v>
      </c>
      <c r="T3338" t="s">
        <v>3845</v>
      </c>
    </row>
    <row r="3339" spans="1:20" x14ac:dyDescent="0.25">
      <c r="A3339" t="s">
        <v>8125</v>
      </c>
      <c r="B3339" t="str">
        <f>"4844"</f>
        <v>4844</v>
      </c>
      <c r="C3339" t="str">
        <f>"278504844"</f>
        <v>278504844</v>
      </c>
      <c r="D3339" t="s">
        <v>8126</v>
      </c>
      <c r="E3339" t="s">
        <v>544</v>
      </c>
      <c r="F3339" t="s">
        <v>93</v>
      </c>
      <c r="G3339" s="1">
        <v>21624</v>
      </c>
      <c r="H3339" s="1">
        <v>39671</v>
      </c>
      <c r="I3339" t="str">
        <f>"51"</f>
        <v>51</v>
      </c>
      <c r="J3339" t="s">
        <v>471</v>
      </c>
      <c r="K3339" t="s">
        <v>25</v>
      </c>
      <c r="L3339" t="s">
        <v>26</v>
      </c>
      <c r="M3339" t="s">
        <v>27</v>
      </c>
      <c r="N3339" s="1">
        <v>18629</v>
      </c>
      <c r="O3339">
        <v>0</v>
      </c>
      <c r="P3339">
        <v>0</v>
      </c>
      <c r="Q3339" t="s">
        <v>37</v>
      </c>
      <c r="R3339" t="s">
        <v>71</v>
      </c>
      <c r="S3339" t="s">
        <v>770</v>
      </c>
      <c r="T3339" t="s">
        <v>771</v>
      </c>
    </row>
    <row r="3340" spans="1:20" x14ac:dyDescent="0.25">
      <c r="A3340" t="s">
        <v>8127</v>
      </c>
      <c r="B3340" t="str">
        <f>"7870"</f>
        <v>7870</v>
      </c>
      <c r="C3340" t="str">
        <f>"286487870"</f>
        <v>286487870</v>
      </c>
      <c r="D3340" t="s">
        <v>658</v>
      </c>
      <c r="E3340" t="s">
        <v>448</v>
      </c>
      <c r="F3340" t="s">
        <v>438</v>
      </c>
      <c r="G3340" s="1">
        <v>22626</v>
      </c>
      <c r="H3340" s="1">
        <v>39671</v>
      </c>
      <c r="I3340" t="str">
        <f>"20"</f>
        <v>20</v>
      </c>
      <c r="J3340" t="s">
        <v>123</v>
      </c>
      <c r="K3340" t="s">
        <v>98</v>
      </c>
      <c r="L3340" t="s">
        <v>37</v>
      </c>
      <c r="M3340" t="s">
        <v>257</v>
      </c>
      <c r="N3340" s="1">
        <v>41631</v>
      </c>
      <c r="O3340">
        <v>10753.16</v>
      </c>
      <c r="P3340">
        <v>2688.4</v>
      </c>
      <c r="Q3340" t="s">
        <v>37</v>
      </c>
      <c r="R3340" t="s">
        <v>51</v>
      </c>
      <c r="S3340" s="2" t="s">
        <v>1568</v>
      </c>
      <c r="T3340" t="s">
        <v>1569</v>
      </c>
    </row>
    <row r="3341" spans="1:20" x14ac:dyDescent="0.25">
      <c r="A3341" t="s">
        <v>8128</v>
      </c>
      <c r="B3341" t="str">
        <f>"6744"</f>
        <v>6744</v>
      </c>
      <c r="C3341" t="str">
        <f>"286606744"</f>
        <v>286606744</v>
      </c>
      <c r="D3341" t="s">
        <v>8129</v>
      </c>
      <c r="E3341" t="s">
        <v>8130</v>
      </c>
      <c r="F3341" t="s">
        <v>1603</v>
      </c>
      <c r="G3341" s="1">
        <v>26181</v>
      </c>
      <c r="H3341" s="1">
        <v>39671</v>
      </c>
      <c r="I3341" t="str">
        <f>"20"</f>
        <v>20</v>
      </c>
      <c r="J3341" t="s">
        <v>123</v>
      </c>
      <c r="K3341" t="s">
        <v>510</v>
      </c>
      <c r="L3341" t="s">
        <v>37</v>
      </c>
      <c r="M3341" t="s">
        <v>99</v>
      </c>
      <c r="N3341" s="1">
        <v>41631</v>
      </c>
      <c r="O3341">
        <v>19521.919999999998</v>
      </c>
      <c r="P3341">
        <v>4880.4799999999996</v>
      </c>
      <c r="Q3341" t="s">
        <v>28</v>
      </c>
      <c r="R3341" t="s">
        <v>51</v>
      </c>
      <c r="S3341" s="2" t="s">
        <v>774</v>
      </c>
      <c r="T3341" t="s">
        <v>775</v>
      </c>
    </row>
    <row r="3342" spans="1:20" x14ac:dyDescent="0.25">
      <c r="A3342" t="s">
        <v>8131</v>
      </c>
      <c r="B3342" t="str">
        <f>"4514"</f>
        <v>4514</v>
      </c>
      <c r="C3342" t="str">
        <f>"273524514"</f>
        <v>273524514</v>
      </c>
      <c r="D3342" t="s">
        <v>8132</v>
      </c>
      <c r="E3342" t="s">
        <v>179</v>
      </c>
      <c r="F3342" t="s">
        <v>941</v>
      </c>
      <c r="G3342" s="1">
        <v>20253</v>
      </c>
      <c r="H3342" s="1">
        <v>39671</v>
      </c>
      <c r="I3342" t="str">
        <f>"51"</f>
        <v>51</v>
      </c>
      <c r="J3342" t="s">
        <v>471</v>
      </c>
      <c r="K3342" t="s">
        <v>25</v>
      </c>
      <c r="L3342" t="s">
        <v>26</v>
      </c>
      <c r="M3342" t="s">
        <v>27</v>
      </c>
      <c r="N3342" s="1">
        <v>18629</v>
      </c>
      <c r="O3342">
        <v>0</v>
      </c>
      <c r="P3342">
        <v>0</v>
      </c>
      <c r="Q3342" t="s">
        <v>28</v>
      </c>
      <c r="R3342" t="s">
        <v>29</v>
      </c>
      <c r="S3342" t="s">
        <v>3543</v>
      </c>
      <c r="T3342" t="s">
        <v>3544</v>
      </c>
    </row>
    <row r="3343" spans="1:20" x14ac:dyDescent="0.25">
      <c r="A3343" t="s">
        <v>8133</v>
      </c>
      <c r="B3343" t="str">
        <f>"8542"</f>
        <v>8542</v>
      </c>
      <c r="C3343" t="str">
        <f>"008588542"</f>
        <v>008588542</v>
      </c>
      <c r="D3343" t="s">
        <v>2904</v>
      </c>
      <c r="E3343" t="s">
        <v>1081</v>
      </c>
      <c r="G3343" s="1">
        <v>25301</v>
      </c>
      <c r="H3343" s="1">
        <v>39671</v>
      </c>
      <c r="I3343" t="str">
        <f>"51"</f>
        <v>51</v>
      </c>
      <c r="J3343" t="s">
        <v>471</v>
      </c>
      <c r="K3343" t="s">
        <v>25</v>
      </c>
      <c r="L3343" t="s">
        <v>26</v>
      </c>
      <c r="M3343" t="s">
        <v>27</v>
      </c>
      <c r="N3343" s="1">
        <v>18629</v>
      </c>
      <c r="O3343">
        <v>0</v>
      </c>
      <c r="P3343">
        <v>0</v>
      </c>
      <c r="Q3343" t="s">
        <v>28</v>
      </c>
      <c r="R3343" t="s">
        <v>51</v>
      </c>
      <c r="S3343" t="s">
        <v>313</v>
      </c>
      <c r="T3343" t="s">
        <v>314</v>
      </c>
    </row>
    <row r="3344" spans="1:20" x14ac:dyDescent="0.25">
      <c r="A3344" t="s">
        <v>8134</v>
      </c>
      <c r="B3344" t="str">
        <f>"1712"</f>
        <v>1712</v>
      </c>
      <c r="C3344" t="str">
        <f>"324661712"</f>
        <v>324661712</v>
      </c>
      <c r="D3344" t="s">
        <v>6504</v>
      </c>
      <c r="E3344" t="s">
        <v>127</v>
      </c>
      <c r="F3344" t="s">
        <v>219</v>
      </c>
      <c r="G3344" s="1">
        <v>26432</v>
      </c>
      <c r="H3344" s="1">
        <v>39671</v>
      </c>
      <c r="I3344" t="str">
        <f>"51"</f>
        <v>51</v>
      </c>
      <c r="J3344" t="s">
        <v>471</v>
      </c>
      <c r="K3344" t="s">
        <v>25</v>
      </c>
      <c r="L3344" t="s">
        <v>26</v>
      </c>
      <c r="M3344" t="s">
        <v>27</v>
      </c>
      <c r="N3344" s="1">
        <v>18629</v>
      </c>
      <c r="O3344">
        <v>0</v>
      </c>
      <c r="P3344">
        <v>0</v>
      </c>
      <c r="Q3344" t="s">
        <v>28</v>
      </c>
      <c r="R3344" t="s">
        <v>71</v>
      </c>
      <c r="S3344" t="s">
        <v>1474</v>
      </c>
      <c r="T3344" t="s">
        <v>1475</v>
      </c>
    </row>
    <row r="3345" spans="1:20" x14ac:dyDescent="0.25">
      <c r="A3345" t="s">
        <v>8135</v>
      </c>
      <c r="B3345" t="str">
        <f>"0795"</f>
        <v>0795</v>
      </c>
      <c r="C3345" t="str">
        <f>"189600795"</f>
        <v>189600795</v>
      </c>
      <c r="D3345" t="s">
        <v>5790</v>
      </c>
      <c r="E3345" t="s">
        <v>2950</v>
      </c>
      <c r="G3345" s="1">
        <v>24763</v>
      </c>
      <c r="H3345" s="1">
        <v>39671</v>
      </c>
      <c r="I3345" t="str">
        <f>"20"</f>
        <v>20</v>
      </c>
      <c r="J3345" t="s">
        <v>123</v>
      </c>
      <c r="K3345" t="s">
        <v>98</v>
      </c>
      <c r="L3345" t="s">
        <v>37</v>
      </c>
      <c r="M3345" t="s">
        <v>99</v>
      </c>
      <c r="N3345" s="1">
        <v>41631</v>
      </c>
      <c r="O3345">
        <v>14801.82</v>
      </c>
      <c r="P3345">
        <v>3700.4</v>
      </c>
      <c r="Q3345" t="s">
        <v>37</v>
      </c>
      <c r="R3345" t="s">
        <v>29</v>
      </c>
      <c r="S3345" t="s">
        <v>1572</v>
      </c>
      <c r="T3345" t="s">
        <v>1573</v>
      </c>
    </row>
    <row r="3346" spans="1:20" x14ac:dyDescent="0.25">
      <c r="A3346" t="s">
        <v>8136</v>
      </c>
      <c r="B3346" t="str">
        <f>"7403"</f>
        <v>7403</v>
      </c>
      <c r="C3346" t="str">
        <f>"448787403"</f>
        <v>448787403</v>
      </c>
      <c r="D3346" t="s">
        <v>8137</v>
      </c>
      <c r="E3346" t="s">
        <v>8138</v>
      </c>
      <c r="F3346" t="s">
        <v>28</v>
      </c>
      <c r="G3346" s="1">
        <v>25135</v>
      </c>
      <c r="H3346" s="1">
        <v>39671</v>
      </c>
      <c r="I3346" t="str">
        <f>"20"</f>
        <v>20</v>
      </c>
      <c r="J3346" t="s">
        <v>123</v>
      </c>
      <c r="K3346" t="s">
        <v>98</v>
      </c>
      <c r="L3346" t="s">
        <v>37</v>
      </c>
      <c r="M3346" t="s">
        <v>117</v>
      </c>
      <c r="N3346" s="1">
        <v>41631</v>
      </c>
      <c r="O3346">
        <v>4951.9799999999996</v>
      </c>
      <c r="P3346">
        <v>1237.94</v>
      </c>
      <c r="Q3346" t="s">
        <v>37</v>
      </c>
      <c r="R3346" t="s">
        <v>71</v>
      </c>
      <c r="S3346" t="s">
        <v>72</v>
      </c>
      <c r="T3346" t="s">
        <v>73</v>
      </c>
    </row>
    <row r="3347" spans="1:20" x14ac:dyDescent="0.25">
      <c r="A3347" t="s">
        <v>8139</v>
      </c>
      <c r="B3347" t="str">
        <f>"0563"</f>
        <v>0563</v>
      </c>
      <c r="C3347" t="str">
        <f>"294740563"</f>
        <v>294740563</v>
      </c>
      <c r="D3347" t="s">
        <v>8140</v>
      </c>
      <c r="E3347" t="s">
        <v>430</v>
      </c>
      <c r="F3347" t="s">
        <v>69</v>
      </c>
      <c r="G3347" s="1">
        <v>23153</v>
      </c>
      <c r="H3347" s="1">
        <v>39671</v>
      </c>
      <c r="I3347" t="str">
        <f>"20"</f>
        <v>20</v>
      </c>
      <c r="J3347" t="s">
        <v>123</v>
      </c>
      <c r="K3347" t="s">
        <v>98</v>
      </c>
      <c r="L3347" t="s">
        <v>37</v>
      </c>
      <c r="M3347" t="s">
        <v>257</v>
      </c>
      <c r="N3347" s="1">
        <v>41631</v>
      </c>
      <c r="O3347">
        <v>10753.16</v>
      </c>
      <c r="P3347">
        <v>2688.4</v>
      </c>
      <c r="Q3347" t="s">
        <v>28</v>
      </c>
      <c r="R3347" t="s">
        <v>51</v>
      </c>
      <c r="S3347" s="2" t="s">
        <v>1568</v>
      </c>
      <c r="T3347" t="s">
        <v>1569</v>
      </c>
    </row>
    <row r="3348" spans="1:20" x14ac:dyDescent="0.25">
      <c r="A3348" t="s">
        <v>8141</v>
      </c>
      <c r="B3348" t="str">
        <f>"3988"</f>
        <v>3988</v>
      </c>
      <c r="C3348" t="str">
        <f>"375503988"</f>
        <v>375503988</v>
      </c>
      <c r="D3348" t="s">
        <v>8142</v>
      </c>
      <c r="E3348" t="s">
        <v>1104</v>
      </c>
      <c r="F3348" t="s">
        <v>264</v>
      </c>
      <c r="G3348" s="1">
        <v>17425</v>
      </c>
      <c r="H3348" s="1">
        <v>39671</v>
      </c>
      <c r="I3348" t="str">
        <f>"20"</f>
        <v>20</v>
      </c>
      <c r="J3348" t="s">
        <v>123</v>
      </c>
      <c r="K3348" t="s">
        <v>98</v>
      </c>
      <c r="L3348" t="s">
        <v>37</v>
      </c>
      <c r="M3348" t="s">
        <v>257</v>
      </c>
      <c r="N3348" s="1">
        <v>41631</v>
      </c>
      <c r="O3348">
        <v>10753.16</v>
      </c>
      <c r="P3348">
        <v>2688.4</v>
      </c>
      <c r="Q3348" t="s">
        <v>28</v>
      </c>
      <c r="R3348" t="s">
        <v>71</v>
      </c>
      <c r="S3348" t="s">
        <v>1681</v>
      </c>
      <c r="T3348" t="s">
        <v>1682</v>
      </c>
    </row>
    <row r="3349" spans="1:20" x14ac:dyDescent="0.25">
      <c r="A3349" t="s">
        <v>8143</v>
      </c>
      <c r="B3349" t="str">
        <f>"4343"</f>
        <v>4343</v>
      </c>
      <c r="C3349" t="str">
        <f>"416764343"</f>
        <v>416764343</v>
      </c>
      <c r="D3349" t="s">
        <v>8144</v>
      </c>
      <c r="E3349" t="s">
        <v>8145</v>
      </c>
      <c r="F3349" t="s">
        <v>69</v>
      </c>
      <c r="G3349" s="1">
        <v>20036</v>
      </c>
      <c r="H3349" s="1">
        <v>39671</v>
      </c>
      <c r="I3349" t="str">
        <f>"42"</f>
        <v>42</v>
      </c>
      <c r="J3349" t="s">
        <v>367</v>
      </c>
      <c r="K3349" t="s">
        <v>25</v>
      </c>
      <c r="L3349" t="s">
        <v>26</v>
      </c>
      <c r="M3349" t="s">
        <v>27</v>
      </c>
      <c r="N3349" s="1">
        <v>18629</v>
      </c>
      <c r="O3349">
        <v>0</v>
      </c>
      <c r="P3349">
        <v>0</v>
      </c>
      <c r="Q3349" t="s">
        <v>28</v>
      </c>
      <c r="R3349" t="s">
        <v>346</v>
      </c>
      <c r="S3349" t="s">
        <v>495</v>
      </c>
      <c r="T3349" t="s">
        <v>496</v>
      </c>
    </row>
    <row r="3350" spans="1:20" x14ac:dyDescent="0.25">
      <c r="A3350" t="s">
        <v>8146</v>
      </c>
      <c r="B3350" t="str">
        <f>"9142"</f>
        <v>9142</v>
      </c>
      <c r="C3350" t="str">
        <f>"276629142"</f>
        <v>276629142</v>
      </c>
      <c r="D3350" t="s">
        <v>8147</v>
      </c>
      <c r="E3350" t="s">
        <v>8148</v>
      </c>
      <c r="F3350" t="s">
        <v>44</v>
      </c>
      <c r="G3350" s="1">
        <v>21527</v>
      </c>
      <c r="H3350" s="1">
        <v>39664</v>
      </c>
      <c r="I3350" t="str">
        <f>"01"</f>
        <v>01</v>
      </c>
      <c r="J3350" t="s">
        <v>116</v>
      </c>
      <c r="K3350" t="s">
        <v>98</v>
      </c>
      <c r="L3350" t="s">
        <v>37</v>
      </c>
      <c r="M3350" t="s">
        <v>257</v>
      </c>
      <c r="N3350" s="1">
        <v>41617</v>
      </c>
      <c r="O3350">
        <v>10753.08</v>
      </c>
      <c r="P3350">
        <v>2688.4</v>
      </c>
      <c r="Q3350" t="s">
        <v>37</v>
      </c>
      <c r="R3350" t="s">
        <v>71</v>
      </c>
      <c r="S3350" t="s">
        <v>522</v>
      </c>
      <c r="T3350" t="s">
        <v>523</v>
      </c>
    </row>
    <row r="3351" spans="1:20" x14ac:dyDescent="0.25">
      <c r="A3351" t="s">
        <v>8149</v>
      </c>
      <c r="B3351" t="str">
        <f>"5780"</f>
        <v>5780</v>
      </c>
      <c r="C3351" t="str">
        <f>"276465780"</f>
        <v>276465780</v>
      </c>
      <c r="D3351" t="s">
        <v>8150</v>
      </c>
      <c r="E3351" t="s">
        <v>2997</v>
      </c>
      <c r="F3351" t="s">
        <v>97</v>
      </c>
      <c r="G3351" s="1">
        <v>17631</v>
      </c>
      <c r="H3351" s="1">
        <v>39661</v>
      </c>
      <c r="I3351" t="str">
        <f>"51"</f>
        <v>51</v>
      </c>
      <c r="J3351" t="s">
        <v>471</v>
      </c>
      <c r="K3351" t="s">
        <v>25</v>
      </c>
      <c r="L3351" t="s">
        <v>26</v>
      </c>
      <c r="M3351" t="s">
        <v>27</v>
      </c>
      <c r="N3351" s="1">
        <v>18629</v>
      </c>
      <c r="O3351">
        <v>0</v>
      </c>
      <c r="P3351">
        <v>0</v>
      </c>
      <c r="Q3351" t="s">
        <v>28</v>
      </c>
      <c r="R3351" t="s">
        <v>51</v>
      </c>
      <c r="S3351" s="2" t="s">
        <v>2202</v>
      </c>
      <c r="T3351" t="s">
        <v>2203</v>
      </c>
    </row>
    <row r="3352" spans="1:20" x14ac:dyDescent="0.25">
      <c r="A3352" t="s">
        <v>8151</v>
      </c>
      <c r="B3352" t="str">
        <f>"6901"</f>
        <v>6901</v>
      </c>
      <c r="C3352" t="str">
        <f>"301446901"</f>
        <v>301446901</v>
      </c>
      <c r="D3352" t="s">
        <v>8152</v>
      </c>
      <c r="E3352" t="s">
        <v>1722</v>
      </c>
      <c r="G3352" s="1">
        <v>18416</v>
      </c>
      <c r="H3352" s="1">
        <v>39657</v>
      </c>
      <c r="I3352" t="str">
        <f>"51"</f>
        <v>51</v>
      </c>
      <c r="J3352" t="s">
        <v>471</v>
      </c>
      <c r="K3352" t="s">
        <v>25</v>
      </c>
      <c r="L3352" t="s">
        <v>26</v>
      </c>
      <c r="M3352" t="s">
        <v>27</v>
      </c>
      <c r="N3352" s="1">
        <v>18629</v>
      </c>
      <c r="O3352">
        <v>0</v>
      </c>
      <c r="P3352">
        <v>0</v>
      </c>
      <c r="Q3352" t="s">
        <v>37</v>
      </c>
      <c r="R3352" t="s">
        <v>29</v>
      </c>
      <c r="S3352" t="s">
        <v>765</v>
      </c>
      <c r="T3352" t="s">
        <v>766</v>
      </c>
    </row>
    <row r="3353" spans="1:20" x14ac:dyDescent="0.25">
      <c r="A3353" t="s">
        <v>8153</v>
      </c>
      <c r="B3353" t="str">
        <f>"7093"</f>
        <v>7093</v>
      </c>
      <c r="C3353" t="str">
        <f>"271607093"</f>
        <v>271607093</v>
      </c>
      <c r="D3353" t="s">
        <v>4035</v>
      </c>
      <c r="E3353" t="s">
        <v>2311</v>
      </c>
      <c r="F3353" t="s">
        <v>97</v>
      </c>
      <c r="G3353" s="1">
        <v>26095</v>
      </c>
      <c r="H3353" s="1">
        <v>39657</v>
      </c>
      <c r="I3353" t="str">
        <f>"20"</f>
        <v>20</v>
      </c>
      <c r="J3353" t="s">
        <v>123</v>
      </c>
      <c r="K3353" t="s">
        <v>98</v>
      </c>
      <c r="L3353" t="s">
        <v>37</v>
      </c>
      <c r="M3353" t="s">
        <v>117</v>
      </c>
      <c r="N3353" s="1">
        <v>41841</v>
      </c>
      <c r="O3353">
        <v>4951.9799999999996</v>
      </c>
      <c r="P3353">
        <v>1237.94</v>
      </c>
      <c r="Q3353" t="s">
        <v>37</v>
      </c>
      <c r="R3353" t="s">
        <v>71</v>
      </c>
      <c r="S3353" t="s">
        <v>2458</v>
      </c>
      <c r="T3353" t="s">
        <v>2459</v>
      </c>
    </row>
    <row r="3354" spans="1:20" x14ac:dyDescent="0.25">
      <c r="A3354" t="s">
        <v>8154</v>
      </c>
      <c r="B3354" t="str">
        <f>"6518"</f>
        <v>6518</v>
      </c>
      <c r="C3354" t="str">
        <f>"294806518"</f>
        <v>294806518</v>
      </c>
      <c r="D3354" t="s">
        <v>4050</v>
      </c>
      <c r="E3354" t="s">
        <v>3646</v>
      </c>
      <c r="F3354" t="s">
        <v>26</v>
      </c>
      <c r="G3354" s="1">
        <v>28401</v>
      </c>
      <c r="H3354" s="1">
        <v>39657</v>
      </c>
      <c r="I3354" t="str">
        <f>"20"</f>
        <v>20</v>
      </c>
      <c r="J3354" t="s">
        <v>123</v>
      </c>
      <c r="K3354" t="s">
        <v>98</v>
      </c>
      <c r="L3354" t="s">
        <v>37</v>
      </c>
      <c r="M3354" t="s">
        <v>99</v>
      </c>
      <c r="N3354" s="1">
        <v>41631</v>
      </c>
      <c r="O3354">
        <v>14801.82</v>
      </c>
      <c r="P3354">
        <v>3700.4</v>
      </c>
      <c r="Q3354" t="s">
        <v>28</v>
      </c>
      <c r="R3354" t="s">
        <v>29</v>
      </c>
      <c r="S3354" t="s">
        <v>1572</v>
      </c>
      <c r="T3354" t="s">
        <v>1573</v>
      </c>
    </row>
    <row r="3355" spans="1:20" x14ac:dyDescent="0.25">
      <c r="A3355" t="s">
        <v>8155</v>
      </c>
      <c r="B3355" t="str">
        <f>"7100"</f>
        <v>7100</v>
      </c>
      <c r="C3355" t="str">
        <f>"284787100"</f>
        <v>284787100</v>
      </c>
      <c r="D3355" t="s">
        <v>6593</v>
      </c>
      <c r="E3355" t="s">
        <v>1363</v>
      </c>
      <c r="F3355" t="s">
        <v>28</v>
      </c>
      <c r="G3355" s="1">
        <v>24060</v>
      </c>
      <c r="H3355" s="1">
        <v>39657</v>
      </c>
      <c r="I3355" t="str">
        <f>"20"</f>
        <v>20</v>
      </c>
      <c r="J3355" t="s">
        <v>123</v>
      </c>
      <c r="K3355" t="s">
        <v>98</v>
      </c>
      <c r="L3355" t="s">
        <v>37</v>
      </c>
      <c r="M3355" t="s">
        <v>99</v>
      </c>
      <c r="N3355" s="1">
        <v>41631</v>
      </c>
      <c r="O3355">
        <v>14801.82</v>
      </c>
      <c r="P3355">
        <v>3700.4</v>
      </c>
      <c r="Q3355" t="s">
        <v>37</v>
      </c>
      <c r="R3355" t="s">
        <v>51</v>
      </c>
      <c r="S3355" s="2" t="s">
        <v>1538</v>
      </c>
      <c r="T3355" t="s">
        <v>1539</v>
      </c>
    </row>
    <row r="3356" spans="1:20" x14ac:dyDescent="0.25">
      <c r="A3356" t="s">
        <v>8156</v>
      </c>
      <c r="B3356" t="str">
        <f>"3563"</f>
        <v>3563</v>
      </c>
      <c r="C3356" t="str">
        <f>"290863563"</f>
        <v>290863563</v>
      </c>
      <c r="D3356" t="s">
        <v>8157</v>
      </c>
      <c r="E3356" t="s">
        <v>1600</v>
      </c>
      <c r="F3356" t="s">
        <v>44</v>
      </c>
      <c r="G3356" s="1">
        <v>29551</v>
      </c>
      <c r="H3356" s="1">
        <v>39657</v>
      </c>
      <c r="I3356" t="str">
        <f>"20"</f>
        <v>20</v>
      </c>
      <c r="J3356" t="s">
        <v>123</v>
      </c>
      <c r="K3356" t="s">
        <v>98</v>
      </c>
      <c r="L3356" t="s">
        <v>37</v>
      </c>
      <c r="M3356" t="s">
        <v>117</v>
      </c>
      <c r="N3356" s="1">
        <v>41631</v>
      </c>
      <c r="O3356">
        <v>4951.9799999999996</v>
      </c>
      <c r="P3356">
        <v>1237.94</v>
      </c>
      <c r="Q3356" t="s">
        <v>37</v>
      </c>
      <c r="R3356" t="s">
        <v>346</v>
      </c>
      <c r="S3356" t="s">
        <v>1462</v>
      </c>
      <c r="T3356" t="s">
        <v>1463</v>
      </c>
    </row>
    <row r="3357" spans="1:20" x14ac:dyDescent="0.25">
      <c r="A3357" t="s">
        <v>8158</v>
      </c>
      <c r="B3357" t="str">
        <f>"4925"</f>
        <v>4925</v>
      </c>
      <c r="C3357" t="str">
        <f>"278824925"</f>
        <v>278824925</v>
      </c>
      <c r="D3357" t="s">
        <v>1279</v>
      </c>
      <c r="E3357" t="s">
        <v>2159</v>
      </c>
      <c r="F3357" t="s">
        <v>239</v>
      </c>
      <c r="G3357" s="1">
        <v>25548</v>
      </c>
      <c r="H3357" s="1">
        <v>39657</v>
      </c>
      <c r="I3357" t="str">
        <f>"01"</f>
        <v>01</v>
      </c>
      <c r="J3357" t="s">
        <v>116</v>
      </c>
      <c r="K3357" t="s">
        <v>175</v>
      </c>
      <c r="L3357" t="s">
        <v>37</v>
      </c>
      <c r="M3357" t="s">
        <v>257</v>
      </c>
      <c r="N3357" s="1">
        <v>41617</v>
      </c>
      <c r="O3357">
        <v>11847.94</v>
      </c>
      <c r="P3357">
        <v>2961.92</v>
      </c>
      <c r="Q3357" t="s">
        <v>37</v>
      </c>
      <c r="R3357" t="s">
        <v>29</v>
      </c>
      <c r="S3357" t="s">
        <v>3275</v>
      </c>
      <c r="T3357" t="s">
        <v>3276</v>
      </c>
    </row>
    <row r="3358" spans="1:20" x14ac:dyDescent="0.25">
      <c r="A3358" t="s">
        <v>8159</v>
      </c>
      <c r="B3358" t="str">
        <f>"8817"</f>
        <v>8817</v>
      </c>
      <c r="C3358" t="str">
        <f>"283648817"</f>
        <v>283648817</v>
      </c>
      <c r="D3358" t="s">
        <v>724</v>
      </c>
      <c r="E3358" t="s">
        <v>563</v>
      </c>
      <c r="F3358" t="s">
        <v>556</v>
      </c>
      <c r="G3358" s="1">
        <v>20982</v>
      </c>
      <c r="H3358" s="1">
        <v>39657</v>
      </c>
      <c r="I3358" t="str">
        <f>"30"</f>
        <v>30</v>
      </c>
      <c r="J3358" t="s">
        <v>50</v>
      </c>
      <c r="K3358" t="s">
        <v>25</v>
      </c>
      <c r="L3358" t="s">
        <v>26</v>
      </c>
      <c r="M3358" t="s">
        <v>27</v>
      </c>
      <c r="N3358" s="1">
        <v>18629</v>
      </c>
      <c r="O3358">
        <v>0</v>
      </c>
      <c r="P3358">
        <v>0</v>
      </c>
      <c r="Q3358" t="s">
        <v>28</v>
      </c>
      <c r="R3358" t="s">
        <v>51</v>
      </c>
      <c r="S3358" s="2" t="s">
        <v>1244</v>
      </c>
      <c r="T3358" t="s">
        <v>1245</v>
      </c>
    </row>
    <row r="3359" spans="1:20" x14ac:dyDescent="0.25">
      <c r="A3359" t="s">
        <v>8160</v>
      </c>
      <c r="B3359" t="str">
        <f>"6782"</f>
        <v>6782</v>
      </c>
      <c r="C3359" t="str">
        <f>"286546782"</f>
        <v>286546782</v>
      </c>
      <c r="D3359" t="s">
        <v>8161</v>
      </c>
      <c r="E3359" t="s">
        <v>5859</v>
      </c>
      <c r="G3359" s="1">
        <v>20673</v>
      </c>
      <c r="H3359" s="1">
        <v>39657</v>
      </c>
      <c r="I3359" t="str">
        <f>"51"</f>
        <v>51</v>
      </c>
      <c r="J3359" t="s">
        <v>471</v>
      </c>
      <c r="K3359" t="s">
        <v>25</v>
      </c>
      <c r="L3359" t="s">
        <v>26</v>
      </c>
      <c r="M3359" t="s">
        <v>27</v>
      </c>
      <c r="N3359" s="1">
        <v>18629</v>
      </c>
      <c r="O3359">
        <v>0</v>
      </c>
      <c r="P3359">
        <v>0</v>
      </c>
      <c r="Q3359" t="s">
        <v>37</v>
      </c>
      <c r="R3359" t="s">
        <v>51</v>
      </c>
      <c r="S3359" s="2" t="s">
        <v>220</v>
      </c>
      <c r="T3359" t="s">
        <v>221</v>
      </c>
    </row>
    <row r="3360" spans="1:20" x14ac:dyDescent="0.25">
      <c r="A3360" t="s">
        <v>8162</v>
      </c>
      <c r="B3360" t="str">
        <f>"6282"</f>
        <v>6282</v>
      </c>
      <c r="C3360" t="str">
        <f>"183686282"</f>
        <v>183686282</v>
      </c>
      <c r="D3360" t="s">
        <v>7023</v>
      </c>
      <c r="E3360" t="s">
        <v>202</v>
      </c>
      <c r="F3360" t="s">
        <v>438</v>
      </c>
      <c r="G3360" s="1">
        <v>27296</v>
      </c>
      <c r="H3360" s="1">
        <v>39657</v>
      </c>
      <c r="I3360" t="str">
        <f>"20"</f>
        <v>20</v>
      </c>
      <c r="J3360" t="s">
        <v>123</v>
      </c>
      <c r="K3360" t="s">
        <v>98</v>
      </c>
      <c r="L3360" t="s">
        <v>37</v>
      </c>
      <c r="M3360" t="s">
        <v>99</v>
      </c>
      <c r="N3360" s="1">
        <v>41631</v>
      </c>
      <c r="O3360">
        <v>14801.82</v>
      </c>
      <c r="P3360">
        <v>3700.4</v>
      </c>
      <c r="Q3360" t="s">
        <v>37</v>
      </c>
      <c r="R3360" t="s">
        <v>29</v>
      </c>
      <c r="S3360" t="s">
        <v>1707</v>
      </c>
      <c r="T3360" t="s">
        <v>1708</v>
      </c>
    </row>
    <row r="3361" spans="1:20" x14ac:dyDescent="0.25">
      <c r="A3361" t="s">
        <v>8163</v>
      </c>
      <c r="B3361" t="str">
        <f>"5825"</f>
        <v>5825</v>
      </c>
      <c r="C3361" t="str">
        <f>"281825825"</f>
        <v>281825825</v>
      </c>
      <c r="D3361" t="s">
        <v>8164</v>
      </c>
      <c r="E3361" t="s">
        <v>48</v>
      </c>
      <c r="F3361" t="s">
        <v>219</v>
      </c>
      <c r="G3361" s="1">
        <v>28807</v>
      </c>
      <c r="H3361" s="1">
        <v>39657</v>
      </c>
      <c r="I3361" t="str">
        <f>"20"</f>
        <v>20</v>
      </c>
      <c r="J3361" t="s">
        <v>123</v>
      </c>
      <c r="K3361" t="s">
        <v>98</v>
      </c>
      <c r="L3361" t="s">
        <v>37</v>
      </c>
      <c r="M3361" t="s">
        <v>99</v>
      </c>
      <c r="N3361" s="1">
        <v>41631</v>
      </c>
      <c r="O3361">
        <v>14801.82</v>
      </c>
      <c r="P3361">
        <v>3700.4</v>
      </c>
      <c r="Q3361" t="s">
        <v>37</v>
      </c>
      <c r="R3361" t="s">
        <v>71</v>
      </c>
      <c r="S3361" t="s">
        <v>157</v>
      </c>
      <c r="T3361" t="s">
        <v>158</v>
      </c>
    </row>
    <row r="3362" spans="1:20" x14ac:dyDescent="0.25">
      <c r="A3362" t="s">
        <v>8165</v>
      </c>
      <c r="B3362" t="str">
        <f>"3662"</f>
        <v>3662</v>
      </c>
      <c r="C3362" t="str">
        <f>"295723662"</f>
        <v>295723662</v>
      </c>
      <c r="D3362" t="s">
        <v>8166</v>
      </c>
      <c r="E3362" t="s">
        <v>8167</v>
      </c>
      <c r="G3362" s="1">
        <v>27670</v>
      </c>
      <c r="H3362" s="1">
        <v>39656</v>
      </c>
      <c r="I3362" t="str">
        <f>"20"</f>
        <v>20</v>
      </c>
      <c r="J3362" t="s">
        <v>123</v>
      </c>
      <c r="K3362" t="s">
        <v>98</v>
      </c>
      <c r="L3362" t="s">
        <v>37</v>
      </c>
      <c r="M3362" t="s">
        <v>99</v>
      </c>
      <c r="N3362" s="1">
        <v>41631</v>
      </c>
      <c r="O3362">
        <v>14801.82</v>
      </c>
      <c r="P3362">
        <v>3700.4</v>
      </c>
      <c r="Q3362" t="s">
        <v>37</v>
      </c>
      <c r="R3362" t="s">
        <v>71</v>
      </c>
      <c r="S3362" t="s">
        <v>790</v>
      </c>
      <c r="T3362" t="s">
        <v>791</v>
      </c>
    </row>
    <row r="3363" spans="1:20" x14ac:dyDescent="0.25">
      <c r="A3363" t="s">
        <v>8168</v>
      </c>
      <c r="B3363" t="str">
        <f>"9085"</f>
        <v>9085</v>
      </c>
      <c r="C3363" t="str">
        <f>"276449085"</f>
        <v>276449085</v>
      </c>
      <c r="D3363" t="s">
        <v>2930</v>
      </c>
      <c r="E3363" t="s">
        <v>263</v>
      </c>
      <c r="F3363" t="s">
        <v>93</v>
      </c>
      <c r="G3363" s="1">
        <v>17316</v>
      </c>
      <c r="H3363" s="1">
        <v>39653</v>
      </c>
      <c r="I3363" t="str">
        <f>"52"</f>
        <v>52</v>
      </c>
      <c r="J3363" t="s">
        <v>330</v>
      </c>
      <c r="K3363" t="s">
        <v>25</v>
      </c>
      <c r="L3363" t="s">
        <v>26</v>
      </c>
      <c r="M3363" t="s">
        <v>27</v>
      </c>
      <c r="N3363" s="1">
        <v>18629</v>
      </c>
      <c r="O3363">
        <v>0</v>
      </c>
      <c r="P3363">
        <v>0</v>
      </c>
      <c r="Q3363" t="s">
        <v>28</v>
      </c>
      <c r="R3363" t="s">
        <v>258</v>
      </c>
      <c r="S3363" t="s">
        <v>336</v>
      </c>
      <c r="T3363" t="s">
        <v>337</v>
      </c>
    </row>
    <row r="3364" spans="1:20" x14ac:dyDescent="0.25">
      <c r="A3364" t="s">
        <v>8169</v>
      </c>
      <c r="B3364" t="str">
        <f>"4512"</f>
        <v>4512</v>
      </c>
      <c r="C3364" t="str">
        <f>"295544512"</f>
        <v>295544512</v>
      </c>
      <c r="D3364" t="s">
        <v>8170</v>
      </c>
      <c r="E3364" t="s">
        <v>106</v>
      </c>
      <c r="G3364" s="1">
        <v>20102</v>
      </c>
      <c r="H3364" s="1">
        <v>39645</v>
      </c>
      <c r="I3364" t="str">
        <f>"52"</f>
        <v>52</v>
      </c>
      <c r="J3364" t="s">
        <v>330</v>
      </c>
      <c r="K3364" t="s">
        <v>25</v>
      </c>
      <c r="L3364" t="s">
        <v>26</v>
      </c>
      <c r="M3364" t="s">
        <v>27</v>
      </c>
      <c r="N3364" s="1">
        <v>18629</v>
      </c>
      <c r="O3364">
        <v>0</v>
      </c>
      <c r="P3364">
        <v>0</v>
      </c>
      <c r="Q3364" t="s">
        <v>28</v>
      </c>
      <c r="R3364" t="s">
        <v>258</v>
      </c>
      <c r="S3364" t="s">
        <v>336</v>
      </c>
      <c r="T3364" t="s">
        <v>337</v>
      </c>
    </row>
    <row r="3365" spans="1:20" x14ac:dyDescent="0.25">
      <c r="A3365" t="s">
        <v>8171</v>
      </c>
      <c r="B3365" t="str">
        <f>"8838"</f>
        <v>8838</v>
      </c>
      <c r="C3365" t="str">
        <f>"277828838"</f>
        <v>277828838</v>
      </c>
      <c r="D3365" t="s">
        <v>907</v>
      </c>
      <c r="E3365" t="s">
        <v>598</v>
      </c>
      <c r="G3365" s="1">
        <v>27718</v>
      </c>
      <c r="H3365" s="1">
        <v>39643</v>
      </c>
      <c r="I3365" t="str">
        <f>"05"</f>
        <v>05</v>
      </c>
      <c r="J3365" t="s">
        <v>58</v>
      </c>
      <c r="K3365" t="s">
        <v>98</v>
      </c>
      <c r="L3365" t="s">
        <v>37</v>
      </c>
      <c r="M3365" t="s">
        <v>117</v>
      </c>
      <c r="N3365" s="1">
        <v>41617</v>
      </c>
      <c r="O3365">
        <v>4951.96</v>
      </c>
      <c r="P3365">
        <v>1237.8599999999999</v>
      </c>
      <c r="Q3365" t="s">
        <v>37</v>
      </c>
      <c r="R3365" t="s">
        <v>71</v>
      </c>
      <c r="S3365" t="s">
        <v>660</v>
      </c>
      <c r="T3365" t="s">
        <v>661</v>
      </c>
    </row>
    <row r="3366" spans="1:20" x14ac:dyDescent="0.25">
      <c r="A3366" t="s">
        <v>8172</v>
      </c>
      <c r="B3366" t="str">
        <f>"9584"</f>
        <v>9584</v>
      </c>
      <c r="C3366" t="str">
        <f>"280729584"</f>
        <v>280729584</v>
      </c>
      <c r="D3366" t="s">
        <v>8173</v>
      </c>
      <c r="E3366" t="s">
        <v>5442</v>
      </c>
      <c r="F3366" t="s">
        <v>165</v>
      </c>
      <c r="G3366" s="1">
        <v>24430</v>
      </c>
      <c r="H3366" s="1">
        <v>39643</v>
      </c>
      <c r="I3366" t="str">
        <f>"05"</f>
        <v>05</v>
      </c>
      <c r="J3366" t="s">
        <v>58</v>
      </c>
      <c r="K3366" t="s">
        <v>98</v>
      </c>
      <c r="L3366" t="s">
        <v>37</v>
      </c>
      <c r="M3366" t="s">
        <v>99</v>
      </c>
      <c r="N3366" s="1">
        <v>41617</v>
      </c>
      <c r="O3366">
        <v>14801.8</v>
      </c>
      <c r="P3366">
        <v>3700.32</v>
      </c>
      <c r="Q3366" t="s">
        <v>37</v>
      </c>
      <c r="R3366" t="s">
        <v>38</v>
      </c>
      <c r="S3366" t="s">
        <v>566</v>
      </c>
      <c r="T3366" t="s">
        <v>567</v>
      </c>
    </row>
    <row r="3367" spans="1:20" x14ac:dyDescent="0.25">
      <c r="A3367" t="s">
        <v>8174</v>
      </c>
      <c r="B3367" t="str">
        <f>"6657"</f>
        <v>6657</v>
      </c>
      <c r="C3367" t="str">
        <f>"107206657"</f>
        <v>107206657</v>
      </c>
      <c r="D3367" t="s">
        <v>8175</v>
      </c>
      <c r="E3367" t="s">
        <v>8124</v>
      </c>
      <c r="G3367" s="1">
        <v>10463</v>
      </c>
      <c r="H3367" s="1">
        <v>39643</v>
      </c>
      <c r="I3367" t="str">
        <f>"52"</f>
        <v>52</v>
      </c>
      <c r="J3367" t="s">
        <v>330</v>
      </c>
      <c r="K3367" t="s">
        <v>25</v>
      </c>
      <c r="L3367" t="s">
        <v>26</v>
      </c>
      <c r="M3367" t="s">
        <v>27</v>
      </c>
      <c r="N3367" s="1">
        <v>18629</v>
      </c>
      <c r="O3367">
        <v>0</v>
      </c>
      <c r="P3367">
        <v>0</v>
      </c>
      <c r="Q3367" t="s">
        <v>37</v>
      </c>
      <c r="R3367" t="s">
        <v>51</v>
      </c>
      <c r="S3367" s="2" t="s">
        <v>362</v>
      </c>
      <c r="T3367" t="s">
        <v>363</v>
      </c>
    </row>
    <row r="3368" spans="1:20" x14ac:dyDescent="0.25">
      <c r="A3368" t="s">
        <v>8176</v>
      </c>
      <c r="B3368" t="str">
        <f>"1341"</f>
        <v>1341</v>
      </c>
      <c r="C3368" t="str">
        <f>"288561341"</f>
        <v>288561341</v>
      </c>
      <c r="D3368" t="s">
        <v>114</v>
      </c>
      <c r="E3368" t="s">
        <v>1722</v>
      </c>
      <c r="F3368" t="s">
        <v>239</v>
      </c>
      <c r="G3368" s="1">
        <v>19939</v>
      </c>
      <c r="H3368" s="1">
        <v>39643</v>
      </c>
      <c r="I3368" t="str">
        <f>"15"</f>
        <v>15</v>
      </c>
      <c r="J3368" t="s">
        <v>36</v>
      </c>
      <c r="K3368" t="s">
        <v>98</v>
      </c>
      <c r="L3368" t="s">
        <v>37</v>
      </c>
      <c r="M3368" t="s">
        <v>117</v>
      </c>
      <c r="N3368" s="1">
        <v>41617</v>
      </c>
      <c r="O3368">
        <v>4951.96</v>
      </c>
      <c r="P3368">
        <v>1237.8599999999999</v>
      </c>
      <c r="Q3368" t="s">
        <v>37</v>
      </c>
      <c r="R3368" t="s">
        <v>51</v>
      </c>
      <c r="S3368" s="2" t="s">
        <v>1272</v>
      </c>
      <c r="T3368" t="s">
        <v>1273</v>
      </c>
    </row>
    <row r="3369" spans="1:20" x14ac:dyDescent="0.25">
      <c r="A3369" t="s">
        <v>8177</v>
      </c>
      <c r="B3369" t="str">
        <f>"8494"</f>
        <v>8494</v>
      </c>
      <c r="C3369" t="str">
        <f>"564268494"</f>
        <v>564268494</v>
      </c>
      <c r="D3369" t="s">
        <v>8178</v>
      </c>
      <c r="E3369" t="s">
        <v>127</v>
      </c>
      <c r="F3369" t="s">
        <v>239</v>
      </c>
      <c r="G3369" s="1">
        <v>8535</v>
      </c>
      <c r="H3369" s="1">
        <v>39639</v>
      </c>
      <c r="I3369" t="str">
        <f>"52"</f>
        <v>52</v>
      </c>
      <c r="J3369" t="s">
        <v>330</v>
      </c>
      <c r="K3369" t="s">
        <v>25</v>
      </c>
      <c r="L3369" t="s">
        <v>26</v>
      </c>
      <c r="M3369" t="s">
        <v>27</v>
      </c>
      <c r="N3369" s="1">
        <v>18629</v>
      </c>
      <c r="O3369">
        <v>0</v>
      </c>
      <c r="P3369">
        <v>0</v>
      </c>
      <c r="Q3369" t="s">
        <v>28</v>
      </c>
      <c r="R3369" t="s">
        <v>51</v>
      </c>
      <c r="S3369" s="2" t="s">
        <v>362</v>
      </c>
      <c r="T3369" t="s">
        <v>363</v>
      </c>
    </row>
    <row r="3370" spans="1:20" x14ac:dyDescent="0.25">
      <c r="A3370" t="s">
        <v>8179</v>
      </c>
      <c r="B3370" t="str">
        <f>"2869"</f>
        <v>2869</v>
      </c>
      <c r="C3370" t="str">
        <f>"294862869"</f>
        <v>294862869</v>
      </c>
      <c r="D3370" t="s">
        <v>7366</v>
      </c>
      <c r="E3370" t="s">
        <v>1711</v>
      </c>
      <c r="F3370" t="s">
        <v>174</v>
      </c>
      <c r="G3370" s="1">
        <v>30061</v>
      </c>
      <c r="H3370" s="1">
        <v>39630</v>
      </c>
      <c r="I3370" t="str">
        <f>"41"</f>
        <v>41</v>
      </c>
      <c r="J3370" t="s">
        <v>24</v>
      </c>
      <c r="K3370" t="s">
        <v>25</v>
      </c>
      <c r="L3370" t="s">
        <v>26</v>
      </c>
      <c r="M3370" t="s">
        <v>27</v>
      </c>
      <c r="N3370" s="1">
        <v>18629</v>
      </c>
      <c r="O3370">
        <v>0</v>
      </c>
      <c r="P3370">
        <v>0</v>
      </c>
      <c r="Q3370" t="s">
        <v>37</v>
      </c>
      <c r="R3370" t="s">
        <v>29</v>
      </c>
      <c r="S3370" t="s">
        <v>8180</v>
      </c>
      <c r="T3370" t="s">
        <v>8181</v>
      </c>
    </row>
    <row r="3371" spans="1:20" x14ac:dyDescent="0.25">
      <c r="A3371" t="s">
        <v>8182</v>
      </c>
      <c r="B3371" t="str">
        <f>"9704"</f>
        <v>9704</v>
      </c>
      <c r="C3371" t="str">
        <f>"018489704"</f>
        <v>018489704</v>
      </c>
      <c r="D3371" t="s">
        <v>8183</v>
      </c>
      <c r="E3371" t="s">
        <v>2256</v>
      </c>
      <c r="F3371" t="s">
        <v>219</v>
      </c>
      <c r="G3371" s="1">
        <v>21880</v>
      </c>
      <c r="H3371" s="1">
        <v>39630</v>
      </c>
      <c r="I3371" t="str">
        <f>"41"</f>
        <v>41</v>
      </c>
      <c r="J3371" t="s">
        <v>24</v>
      </c>
      <c r="K3371" t="s">
        <v>25</v>
      </c>
      <c r="L3371" t="s">
        <v>26</v>
      </c>
      <c r="M3371" t="s">
        <v>27</v>
      </c>
      <c r="N3371" s="1">
        <v>18629</v>
      </c>
      <c r="O3371">
        <v>0</v>
      </c>
      <c r="P3371">
        <v>0</v>
      </c>
      <c r="Q3371" t="s">
        <v>37</v>
      </c>
      <c r="R3371" t="s">
        <v>29</v>
      </c>
      <c r="S3371" t="s">
        <v>138</v>
      </c>
      <c r="T3371" t="s">
        <v>139</v>
      </c>
    </row>
    <row r="3372" spans="1:20" x14ac:dyDescent="0.25">
      <c r="A3372" t="s">
        <v>8184</v>
      </c>
      <c r="B3372" t="str">
        <f>"5160"</f>
        <v>5160</v>
      </c>
      <c r="C3372" t="str">
        <f>"299885160"</f>
        <v>299885160</v>
      </c>
      <c r="D3372" t="s">
        <v>8185</v>
      </c>
      <c r="E3372" t="s">
        <v>8186</v>
      </c>
      <c r="G3372" s="1">
        <v>15041</v>
      </c>
      <c r="H3372" s="1">
        <v>39630</v>
      </c>
      <c r="I3372" t="str">
        <f>"51"</f>
        <v>51</v>
      </c>
      <c r="J3372" t="s">
        <v>471</v>
      </c>
      <c r="K3372" t="s">
        <v>25</v>
      </c>
      <c r="L3372" t="s">
        <v>26</v>
      </c>
      <c r="M3372" t="s">
        <v>27</v>
      </c>
      <c r="N3372" s="1">
        <v>18629</v>
      </c>
      <c r="O3372">
        <v>0</v>
      </c>
      <c r="P3372">
        <v>0</v>
      </c>
      <c r="Q3372" t="s">
        <v>28</v>
      </c>
      <c r="R3372" t="s">
        <v>71</v>
      </c>
      <c r="S3372" t="s">
        <v>2458</v>
      </c>
      <c r="T3372" t="s">
        <v>2459</v>
      </c>
    </row>
    <row r="3373" spans="1:20" x14ac:dyDescent="0.25">
      <c r="A3373" t="s">
        <v>8187</v>
      </c>
      <c r="B3373" t="str">
        <f>"5508"</f>
        <v>5508</v>
      </c>
      <c r="C3373" t="str">
        <f>"296665508"</f>
        <v>296665508</v>
      </c>
      <c r="D3373" t="s">
        <v>1537</v>
      </c>
      <c r="E3373" t="s">
        <v>263</v>
      </c>
      <c r="F3373" t="s">
        <v>3405</v>
      </c>
      <c r="G3373" s="1">
        <v>23923</v>
      </c>
      <c r="H3373" s="1">
        <v>39630</v>
      </c>
      <c r="I3373" t="str">
        <f>"01"</f>
        <v>01</v>
      </c>
      <c r="J3373" t="s">
        <v>116</v>
      </c>
      <c r="K3373" t="s">
        <v>175</v>
      </c>
      <c r="L3373" t="s">
        <v>37</v>
      </c>
      <c r="M3373" t="s">
        <v>99</v>
      </c>
      <c r="N3373" s="1">
        <v>41617</v>
      </c>
      <c r="O3373">
        <v>16411.72</v>
      </c>
      <c r="P3373">
        <v>4102.8</v>
      </c>
      <c r="Q3373" t="s">
        <v>28</v>
      </c>
      <c r="R3373" t="s">
        <v>29</v>
      </c>
      <c r="S3373" t="s">
        <v>290</v>
      </c>
      <c r="T3373" t="s">
        <v>291</v>
      </c>
    </row>
    <row r="3374" spans="1:20" x14ac:dyDescent="0.25">
      <c r="A3374" t="s">
        <v>8188</v>
      </c>
      <c r="B3374" t="str">
        <f>"4364"</f>
        <v>4364</v>
      </c>
      <c r="C3374" t="str">
        <f>"421904364"</f>
        <v>421904364</v>
      </c>
      <c r="D3374" t="s">
        <v>8189</v>
      </c>
      <c r="E3374" t="s">
        <v>2359</v>
      </c>
      <c r="G3374" s="1">
        <v>21527</v>
      </c>
      <c r="H3374" s="1">
        <v>39630</v>
      </c>
      <c r="I3374" t="str">
        <f>"01"</f>
        <v>01</v>
      </c>
      <c r="J3374" t="s">
        <v>116</v>
      </c>
      <c r="K3374" t="s">
        <v>175</v>
      </c>
      <c r="L3374" t="s">
        <v>37</v>
      </c>
      <c r="M3374" t="s">
        <v>117</v>
      </c>
      <c r="N3374" s="1">
        <v>41617</v>
      </c>
      <c r="O3374">
        <v>5288.66</v>
      </c>
      <c r="P3374">
        <v>1322.1</v>
      </c>
      <c r="Q3374" t="s">
        <v>37</v>
      </c>
      <c r="R3374" t="s">
        <v>51</v>
      </c>
      <c r="S3374" s="2" t="s">
        <v>52</v>
      </c>
      <c r="T3374" t="s">
        <v>53</v>
      </c>
    </row>
    <row r="3375" spans="1:20" x14ac:dyDescent="0.25">
      <c r="A3375" t="s">
        <v>8190</v>
      </c>
      <c r="B3375" t="str">
        <f>"8263"</f>
        <v>8263</v>
      </c>
      <c r="C3375" t="str">
        <f>"516868263"</f>
        <v>516868263</v>
      </c>
      <c r="D3375" t="s">
        <v>3412</v>
      </c>
      <c r="E3375" t="s">
        <v>8191</v>
      </c>
      <c r="F3375" t="s">
        <v>3099</v>
      </c>
      <c r="G3375" s="1">
        <v>25663</v>
      </c>
      <c r="H3375" s="1">
        <v>39629</v>
      </c>
      <c r="I3375" t="str">
        <f>"42"</f>
        <v>42</v>
      </c>
      <c r="J3375" t="s">
        <v>367</v>
      </c>
      <c r="K3375" t="s">
        <v>25</v>
      </c>
      <c r="L3375" t="s">
        <v>26</v>
      </c>
      <c r="M3375" t="s">
        <v>27</v>
      </c>
      <c r="N3375" s="1">
        <v>18629</v>
      </c>
      <c r="O3375">
        <v>0</v>
      </c>
      <c r="P3375">
        <v>0</v>
      </c>
      <c r="Q3375" t="s">
        <v>28</v>
      </c>
      <c r="R3375" t="s">
        <v>51</v>
      </c>
      <c r="S3375" t="s">
        <v>1222</v>
      </c>
      <c r="T3375" t="s">
        <v>1223</v>
      </c>
    </row>
    <row r="3376" spans="1:20" x14ac:dyDescent="0.25">
      <c r="A3376" t="s">
        <v>8192</v>
      </c>
      <c r="B3376" t="str">
        <f>"9975"</f>
        <v>9975</v>
      </c>
      <c r="C3376" t="str">
        <f>"296889975"</f>
        <v>296889975</v>
      </c>
      <c r="D3376" t="s">
        <v>8193</v>
      </c>
      <c r="E3376" t="s">
        <v>609</v>
      </c>
      <c r="F3376" t="s">
        <v>649</v>
      </c>
      <c r="G3376" s="1">
        <v>32228</v>
      </c>
      <c r="H3376" s="1">
        <v>39629</v>
      </c>
      <c r="I3376" t="str">
        <f>"41"</f>
        <v>41</v>
      </c>
      <c r="J3376" t="s">
        <v>24</v>
      </c>
      <c r="K3376" t="s">
        <v>25</v>
      </c>
      <c r="L3376" t="s">
        <v>26</v>
      </c>
      <c r="M3376" t="s">
        <v>27</v>
      </c>
      <c r="N3376" s="1">
        <v>18629</v>
      </c>
      <c r="O3376">
        <v>0</v>
      </c>
      <c r="P3376">
        <v>0</v>
      </c>
      <c r="Q3376" t="s">
        <v>28</v>
      </c>
      <c r="R3376" t="s">
        <v>71</v>
      </c>
      <c r="S3376" t="s">
        <v>8194</v>
      </c>
      <c r="T3376" t="s">
        <v>8195</v>
      </c>
    </row>
    <row r="3377" spans="1:20" x14ac:dyDescent="0.25">
      <c r="A3377" t="s">
        <v>8196</v>
      </c>
      <c r="B3377" t="str">
        <f>"5499"</f>
        <v>5499</v>
      </c>
      <c r="C3377" t="str">
        <f>"296585499"</f>
        <v>296585499</v>
      </c>
      <c r="D3377" t="s">
        <v>4782</v>
      </c>
      <c r="E3377" t="s">
        <v>544</v>
      </c>
      <c r="F3377" t="s">
        <v>329</v>
      </c>
      <c r="G3377" s="1">
        <v>20529</v>
      </c>
      <c r="H3377" s="1">
        <v>39629</v>
      </c>
      <c r="I3377" t="str">
        <f>"42"</f>
        <v>42</v>
      </c>
      <c r="J3377" t="s">
        <v>367</v>
      </c>
      <c r="K3377" t="s">
        <v>25</v>
      </c>
      <c r="L3377" t="s">
        <v>26</v>
      </c>
      <c r="M3377" t="s">
        <v>27</v>
      </c>
      <c r="N3377" s="1">
        <v>18629</v>
      </c>
      <c r="O3377">
        <v>0</v>
      </c>
      <c r="P3377">
        <v>0</v>
      </c>
      <c r="Q3377" t="s">
        <v>37</v>
      </c>
      <c r="R3377" t="s">
        <v>51</v>
      </c>
      <c r="S3377" t="s">
        <v>1222</v>
      </c>
      <c r="T3377" t="s">
        <v>1223</v>
      </c>
    </row>
    <row r="3378" spans="1:20" x14ac:dyDescent="0.25">
      <c r="A3378" t="s">
        <v>8197</v>
      </c>
      <c r="B3378" t="str">
        <f>"9116"</f>
        <v>9116</v>
      </c>
      <c r="C3378" t="str">
        <f>"279569116"</f>
        <v>279569116</v>
      </c>
      <c r="D3378" t="s">
        <v>724</v>
      </c>
      <c r="E3378" t="s">
        <v>275</v>
      </c>
      <c r="F3378" t="s">
        <v>264</v>
      </c>
      <c r="G3378" s="1">
        <v>20610</v>
      </c>
      <c r="H3378" s="1">
        <v>39629</v>
      </c>
      <c r="I3378" t="str">
        <f>"05"</f>
        <v>05</v>
      </c>
      <c r="J3378" t="s">
        <v>58</v>
      </c>
      <c r="K3378" t="s">
        <v>98</v>
      </c>
      <c r="L3378" t="s">
        <v>37</v>
      </c>
      <c r="M3378" t="s">
        <v>257</v>
      </c>
      <c r="N3378" s="1">
        <v>41617</v>
      </c>
      <c r="O3378">
        <v>10753.08</v>
      </c>
      <c r="P3378">
        <v>2688.4</v>
      </c>
      <c r="Q3378" t="s">
        <v>37</v>
      </c>
      <c r="R3378" t="s">
        <v>258</v>
      </c>
      <c r="S3378" t="s">
        <v>259</v>
      </c>
      <c r="T3378" t="s">
        <v>260</v>
      </c>
    </row>
    <row r="3379" spans="1:20" x14ac:dyDescent="0.25">
      <c r="A3379" t="s">
        <v>8198</v>
      </c>
      <c r="B3379" t="str">
        <f>"9490"</f>
        <v>9490</v>
      </c>
      <c r="C3379" t="str">
        <f>"277969490"</f>
        <v>277969490</v>
      </c>
      <c r="D3379" t="s">
        <v>8199</v>
      </c>
      <c r="E3379" t="s">
        <v>3809</v>
      </c>
      <c r="F3379" t="s">
        <v>165</v>
      </c>
      <c r="G3379" s="1">
        <v>33997</v>
      </c>
      <c r="H3379" s="1">
        <v>39622</v>
      </c>
      <c r="I3379" t="str">
        <f>"41"</f>
        <v>41</v>
      </c>
      <c r="J3379" t="s">
        <v>24</v>
      </c>
      <c r="K3379" t="s">
        <v>25</v>
      </c>
      <c r="L3379" t="s">
        <v>26</v>
      </c>
      <c r="M3379" t="s">
        <v>27</v>
      </c>
      <c r="N3379" s="1">
        <v>18629</v>
      </c>
      <c r="O3379">
        <v>0</v>
      </c>
      <c r="P3379">
        <v>0</v>
      </c>
      <c r="Q3379" t="s">
        <v>37</v>
      </c>
      <c r="R3379" t="s">
        <v>29</v>
      </c>
      <c r="S3379" t="s">
        <v>550</v>
      </c>
      <c r="T3379" t="s">
        <v>551</v>
      </c>
    </row>
    <row r="3380" spans="1:20" x14ac:dyDescent="0.25">
      <c r="A3380" t="s">
        <v>8200</v>
      </c>
      <c r="B3380" t="str">
        <f>"8569"</f>
        <v>8569</v>
      </c>
      <c r="C3380" t="str">
        <f>"300708569"</f>
        <v>300708569</v>
      </c>
      <c r="D3380" t="s">
        <v>8201</v>
      </c>
      <c r="E3380" t="s">
        <v>2339</v>
      </c>
      <c r="F3380" t="s">
        <v>28</v>
      </c>
      <c r="G3380" s="1">
        <v>23001</v>
      </c>
      <c r="H3380" s="1">
        <v>39615</v>
      </c>
      <c r="I3380" t="str">
        <f>"30"</f>
        <v>30</v>
      </c>
      <c r="J3380" t="s">
        <v>50</v>
      </c>
      <c r="K3380" t="s">
        <v>25</v>
      </c>
      <c r="L3380" t="s">
        <v>26</v>
      </c>
      <c r="M3380" t="s">
        <v>27</v>
      </c>
      <c r="N3380" s="1">
        <v>18629</v>
      </c>
      <c r="O3380">
        <v>0</v>
      </c>
      <c r="P3380">
        <v>0</v>
      </c>
      <c r="Q3380" t="s">
        <v>37</v>
      </c>
      <c r="R3380" t="s">
        <v>71</v>
      </c>
      <c r="S3380" t="s">
        <v>522</v>
      </c>
      <c r="T3380" t="s">
        <v>523</v>
      </c>
    </row>
    <row r="3381" spans="1:20" x14ac:dyDescent="0.25">
      <c r="A3381" t="s">
        <v>8202</v>
      </c>
      <c r="B3381" t="str">
        <f>"3763"</f>
        <v>3763</v>
      </c>
      <c r="C3381" t="str">
        <f>"273483763"</f>
        <v>273483763</v>
      </c>
      <c r="D3381" t="s">
        <v>8203</v>
      </c>
      <c r="E3381" t="s">
        <v>106</v>
      </c>
      <c r="F3381" t="s">
        <v>345</v>
      </c>
      <c r="G3381" s="1">
        <v>17673</v>
      </c>
      <c r="H3381" s="1">
        <v>39615</v>
      </c>
      <c r="I3381" t="str">
        <f>"01"</f>
        <v>01</v>
      </c>
      <c r="J3381" t="s">
        <v>116</v>
      </c>
      <c r="L3381" t="s">
        <v>37</v>
      </c>
      <c r="M3381" t="s">
        <v>143</v>
      </c>
      <c r="N3381" s="1">
        <v>41617</v>
      </c>
      <c r="O3381">
        <v>185.9</v>
      </c>
      <c r="P3381">
        <v>-185.9</v>
      </c>
      <c r="Q3381" t="s">
        <v>28</v>
      </c>
      <c r="R3381" t="s">
        <v>71</v>
      </c>
      <c r="S3381" t="s">
        <v>8204</v>
      </c>
      <c r="T3381" t="s">
        <v>8205</v>
      </c>
    </row>
    <row r="3382" spans="1:20" x14ac:dyDescent="0.25">
      <c r="A3382" t="s">
        <v>8206</v>
      </c>
      <c r="B3382" t="str">
        <f>"3651"</f>
        <v>3651</v>
      </c>
      <c r="C3382" t="str">
        <f>"234903651"</f>
        <v>234903651</v>
      </c>
      <c r="D3382" t="s">
        <v>8207</v>
      </c>
      <c r="E3382" t="s">
        <v>1981</v>
      </c>
      <c r="F3382" t="s">
        <v>93</v>
      </c>
      <c r="G3382" s="1">
        <v>19980</v>
      </c>
      <c r="H3382" s="1">
        <v>39608</v>
      </c>
      <c r="I3382" t="str">
        <f>"51"</f>
        <v>51</v>
      </c>
      <c r="J3382" t="s">
        <v>471</v>
      </c>
      <c r="K3382" t="s">
        <v>25</v>
      </c>
      <c r="L3382" t="s">
        <v>26</v>
      </c>
      <c r="M3382" t="s">
        <v>27</v>
      </c>
      <c r="N3382" s="1">
        <v>18629</v>
      </c>
      <c r="O3382">
        <v>0</v>
      </c>
      <c r="P3382">
        <v>0</v>
      </c>
      <c r="Q3382" t="s">
        <v>37</v>
      </c>
      <c r="R3382" t="s">
        <v>71</v>
      </c>
      <c r="S3382" t="s">
        <v>1572</v>
      </c>
      <c r="T3382" t="s">
        <v>1573</v>
      </c>
    </row>
    <row r="3383" spans="1:20" x14ac:dyDescent="0.25">
      <c r="A3383" t="s">
        <v>8208</v>
      </c>
      <c r="B3383" t="str">
        <f>"3777"</f>
        <v>3777</v>
      </c>
      <c r="C3383" t="str">
        <f>"277903777"</f>
        <v>277903777</v>
      </c>
      <c r="D3383" t="s">
        <v>8209</v>
      </c>
      <c r="E3383" t="s">
        <v>8210</v>
      </c>
      <c r="G3383" s="1">
        <v>30481</v>
      </c>
      <c r="H3383" s="1">
        <v>39601</v>
      </c>
      <c r="I3383" t="str">
        <f>"31"</f>
        <v>31</v>
      </c>
      <c r="J3383" t="s">
        <v>3321</v>
      </c>
      <c r="K3383" t="s">
        <v>25</v>
      </c>
      <c r="L3383" t="s">
        <v>26</v>
      </c>
      <c r="M3383" t="s">
        <v>27</v>
      </c>
      <c r="N3383" s="1">
        <v>18629</v>
      </c>
      <c r="O3383">
        <v>0</v>
      </c>
      <c r="P3383">
        <v>0</v>
      </c>
      <c r="Q3383" t="s">
        <v>28</v>
      </c>
      <c r="R3383" t="s">
        <v>51</v>
      </c>
      <c r="S3383" s="2" t="s">
        <v>198</v>
      </c>
      <c r="T3383" t="s">
        <v>199</v>
      </c>
    </row>
    <row r="3384" spans="1:20" x14ac:dyDescent="0.25">
      <c r="A3384" t="s">
        <v>8211</v>
      </c>
      <c r="B3384" t="str">
        <f>"2911"</f>
        <v>2911</v>
      </c>
      <c r="C3384" t="str">
        <f>"268482911"</f>
        <v>268482911</v>
      </c>
      <c r="D3384" t="s">
        <v>7163</v>
      </c>
      <c r="E3384" t="s">
        <v>3382</v>
      </c>
      <c r="G3384" s="1">
        <v>18255</v>
      </c>
      <c r="H3384" s="1">
        <v>39601</v>
      </c>
      <c r="I3384" t="str">
        <f>"01"</f>
        <v>01</v>
      </c>
      <c r="J3384" t="s">
        <v>116</v>
      </c>
      <c r="K3384" t="s">
        <v>98</v>
      </c>
      <c r="L3384" t="s">
        <v>37</v>
      </c>
      <c r="M3384" t="s">
        <v>99</v>
      </c>
      <c r="N3384" s="1">
        <v>41617</v>
      </c>
      <c r="O3384">
        <v>14801.8</v>
      </c>
      <c r="P3384">
        <v>3700.32</v>
      </c>
      <c r="Q3384" t="s">
        <v>28</v>
      </c>
      <c r="R3384" t="s">
        <v>110</v>
      </c>
      <c r="S3384" t="s">
        <v>4439</v>
      </c>
      <c r="T3384" t="s">
        <v>4440</v>
      </c>
    </row>
    <row r="3385" spans="1:20" x14ac:dyDescent="0.25">
      <c r="A3385" t="s">
        <v>8212</v>
      </c>
      <c r="B3385" t="str">
        <f>"3881"</f>
        <v>3881</v>
      </c>
      <c r="C3385" t="str">
        <f>"271723881"</f>
        <v>271723881</v>
      </c>
      <c r="D3385" t="s">
        <v>8213</v>
      </c>
      <c r="E3385" t="s">
        <v>8214</v>
      </c>
      <c r="F3385" t="s">
        <v>832</v>
      </c>
      <c r="G3385" s="1">
        <v>27148</v>
      </c>
      <c r="H3385" s="1">
        <v>39601</v>
      </c>
      <c r="I3385" t="str">
        <f>"53"</f>
        <v>53</v>
      </c>
      <c r="J3385" t="s">
        <v>917</v>
      </c>
      <c r="K3385" t="s">
        <v>25</v>
      </c>
      <c r="L3385" t="s">
        <v>26</v>
      </c>
      <c r="M3385" t="s">
        <v>27</v>
      </c>
      <c r="N3385" s="1">
        <v>18629</v>
      </c>
      <c r="O3385">
        <v>0</v>
      </c>
      <c r="P3385">
        <v>0</v>
      </c>
      <c r="Q3385" t="s">
        <v>28</v>
      </c>
      <c r="R3385" t="s">
        <v>312</v>
      </c>
      <c r="S3385" t="s">
        <v>2054</v>
      </c>
      <c r="T3385" t="s">
        <v>2055</v>
      </c>
    </row>
    <row r="3386" spans="1:20" x14ac:dyDescent="0.25">
      <c r="A3386" t="s">
        <v>8215</v>
      </c>
      <c r="B3386" t="str">
        <f>"9797"</f>
        <v>9797</v>
      </c>
      <c r="C3386" t="str">
        <f>"548619797"</f>
        <v>548619797</v>
      </c>
      <c r="D3386" t="s">
        <v>8216</v>
      </c>
      <c r="E3386" t="s">
        <v>1026</v>
      </c>
      <c r="F3386" t="s">
        <v>28</v>
      </c>
      <c r="G3386" s="1">
        <v>28022</v>
      </c>
      <c r="H3386" s="1">
        <v>39601</v>
      </c>
      <c r="I3386" t="str">
        <f>"05"</f>
        <v>05</v>
      </c>
      <c r="J3386" t="s">
        <v>58</v>
      </c>
      <c r="K3386" t="s">
        <v>175</v>
      </c>
      <c r="L3386" t="s">
        <v>37</v>
      </c>
      <c r="M3386" t="s">
        <v>257</v>
      </c>
      <c r="N3386" s="1">
        <v>41617</v>
      </c>
      <c r="O3386">
        <v>11847.94</v>
      </c>
      <c r="P3386">
        <v>2961.92</v>
      </c>
      <c r="Q3386" t="s">
        <v>37</v>
      </c>
      <c r="R3386" t="s">
        <v>51</v>
      </c>
      <c r="S3386" t="s">
        <v>487</v>
      </c>
      <c r="T3386" t="s">
        <v>488</v>
      </c>
    </row>
    <row r="3387" spans="1:20" x14ac:dyDescent="0.25">
      <c r="A3387" t="s">
        <v>8217</v>
      </c>
      <c r="B3387" t="str">
        <f>"1149"</f>
        <v>1149</v>
      </c>
      <c r="C3387" t="str">
        <f>"195441149"</f>
        <v>195441149</v>
      </c>
      <c r="D3387" t="s">
        <v>1907</v>
      </c>
      <c r="E3387" t="s">
        <v>3558</v>
      </c>
      <c r="F3387" t="s">
        <v>556</v>
      </c>
      <c r="G3387" s="1">
        <v>20058</v>
      </c>
      <c r="H3387" s="1">
        <v>39595</v>
      </c>
      <c r="I3387" t="str">
        <f>"51"</f>
        <v>51</v>
      </c>
      <c r="J3387" t="s">
        <v>471</v>
      </c>
      <c r="K3387" t="s">
        <v>25</v>
      </c>
      <c r="L3387" t="s">
        <v>26</v>
      </c>
      <c r="M3387" t="s">
        <v>27</v>
      </c>
      <c r="N3387" s="1">
        <v>18629</v>
      </c>
      <c r="O3387">
        <v>0</v>
      </c>
      <c r="P3387">
        <v>0</v>
      </c>
      <c r="Q3387" t="s">
        <v>28</v>
      </c>
      <c r="R3387" t="s">
        <v>71</v>
      </c>
      <c r="S3387" t="s">
        <v>3191</v>
      </c>
      <c r="T3387" t="s">
        <v>3192</v>
      </c>
    </row>
    <row r="3388" spans="1:20" x14ac:dyDescent="0.25">
      <c r="A3388" t="s">
        <v>8218</v>
      </c>
      <c r="B3388" t="str">
        <f>"5254"</f>
        <v>5254</v>
      </c>
      <c r="C3388" t="str">
        <f>"276805254"</f>
        <v>276805254</v>
      </c>
      <c r="D3388" t="s">
        <v>8219</v>
      </c>
      <c r="E3388" t="s">
        <v>544</v>
      </c>
      <c r="F3388" t="s">
        <v>28</v>
      </c>
      <c r="G3388" s="1">
        <v>25023</v>
      </c>
      <c r="H3388" s="1">
        <v>39595</v>
      </c>
      <c r="I3388" t="str">
        <f>"51"</f>
        <v>51</v>
      </c>
      <c r="J3388" t="s">
        <v>471</v>
      </c>
      <c r="K3388" t="s">
        <v>25</v>
      </c>
      <c r="L3388" t="s">
        <v>26</v>
      </c>
      <c r="M3388" t="s">
        <v>27</v>
      </c>
      <c r="N3388" s="1">
        <v>18629</v>
      </c>
      <c r="O3388">
        <v>0</v>
      </c>
      <c r="P3388">
        <v>0</v>
      </c>
      <c r="Q3388" t="s">
        <v>37</v>
      </c>
      <c r="R3388" t="s">
        <v>51</v>
      </c>
      <c r="S3388" s="2" t="s">
        <v>5804</v>
      </c>
      <c r="T3388" t="s">
        <v>5805</v>
      </c>
    </row>
    <row r="3389" spans="1:20" x14ac:dyDescent="0.25">
      <c r="A3389" t="s">
        <v>8220</v>
      </c>
      <c r="B3389" t="str">
        <f>"4833"</f>
        <v>4833</v>
      </c>
      <c r="C3389" t="str">
        <f>"529174833"</f>
        <v>529174833</v>
      </c>
      <c r="D3389" t="s">
        <v>8221</v>
      </c>
      <c r="E3389" t="s">
        <v>4449</v>
      </c>
      <c r="F3389" t="s">
        <v>256</v>
      </c>
      <c r="G3389" s="1">
        <v>26601</v>
      </c>
      <c r="H3389" s="1">
        <v>39595</v>
      </c>
      <c r="I3389" t="str">
        <f>"33"</f>
        <v>33</v>
      </c>
      <c r="J3389" t="s">
        <v>45</v>
      </c>
      <c r="K3389" t="s">
        <v>25</v>
      </c>
      <c r="L3389" t="s">
        <v>26</v>
      </c>
      <c r="M3389" t="s">
        <v>27</v>
      </c>
      <c r="N3389" s="1">
        <v>18629</v>
      </c>
      <c r="O3389">
        <v>0</v>
      </c>
      <c r="P3389">
        <v>0</v>
      </c>
      <c r="Q3389" t="s">
        <v>37</v>
      </c>
      <c r="R3389" t="s">
        <v>29</v>
      </c>
      <c r="S3389" t="s">
        <v>5175</v>
      </c>
      <c r="T3389" t="s">
        <v>5176</v>
      </c>
    </row>
    <row r="3390" spans="1:20" x14ac:dyDescent="0.25">
      <c r="A3390" t="s">
        <v>8222</v>
      </c>
      <c r="B3390" t="str">
        <f>"0786"</f>
        <v>0786</v>
      </c>
      <c r="C3390" t="str">
        <f>"278820786"</f>
        <v>278820786</v>
      </c>
      <c r="D3390" t="s">
        <v>8223</v>
      </c>
      <c r="E3390" t="s">
        <v>3163</v>
      </c>
      <c r="F3390" t="s">
        <v>358</v>
      </c>
      <c r="G3390" s="1">
        <v>25621</v>
      </c>
      <c r="H3390" s="1">
        <v>39595</v>
      </c>
      <c r="I3390" t="str">
        <f>"51"</f>
        <v>51</v>
      </c>
      <c r="J3390" t="s">
        <v>471</v>
      </c>
      <c r="K3390" t="s">
        <v>25</v>
      </c>
      <c r="L3390" t="s">
        <v>26</v>
      </c>
      <c r="M3390" t="s">
        <v>27</v>
      </c>
      <c r="N3390" s="1">
        <v>18629</v>
      </c>
      <c r="O3390">
        <v>0</v>
      </c>
      <c r="P3390">
        <v>0</v>
      </c>
      <c r="Q3390" t="s">
        <v>37</v>
      </c>
      <c r="R3390" t="s">
        <v>29</v>
      </c>
      <c r="S3390" t="s">
        <v>765</v>
      </c>
      <c r="T3390" t="s">
        <v>766</v>
      </c>
    </row>
    <row r="3391" spans="1:20" x14ac:dyDescent="0.25">
      <c r="A3391" t="s">
        <v>8224</v>
      </c>
      <c r="B3391" t="str">
        <f>"9814"</f>
        <v>9814</v>
      </c>
      <c r="C3391" t="str">
        <f>"294549814"</f>
        <v>294549814</v>
      </c>
      <c r="D3391" t="s">
        <v>8225</v>
      </c>
      <c r="E3391" t="s">
        <v>1639</v>
      </c>
      <c r="F3391" t="s">
        <v>165</v>
      </c>
      <c r="G3391" s="1">
        <v>20018</v>
      </c>
      <c r="H3391" s="1">
        <v>39595</v>
      </c>
      <c r="I3391" t="str">
        <f>"51"</f>
        <v>51</v>
      </c>
      <c r="J3391" t="s">
        <v>471</v>
      </c>
      <c r="K3391" t="s">
        <v>25</v>
      </c>
      <c r="L3391" t="s">
        <v>26</v>
      </c>
      <c r="M3391" t="s">
        <v>27</v>
      </c>
      <c r="N3391" s="1">
        <v>18629</v>
      </c>
      <c r="O3391">
        <v>0</v>
      </c>
      <c r="P3391">
        <v>0</v>
      </c>
      <c r="Q3391" t="s">
        <v>28</v>
      </c>
      <c r="R3391" t="s">
        <v>71</v>
      </c>
      <c r="S3391" t="s">
        <v>610</v>
      </c>
      <c r="T3391" t="s">
        <v>611</v>
      </c>
    </row>
    <row r="3392" spans="1:20" x14ac:dyDescent="0.25">
      <c r="A3392" t="s">
        <v>8226</v>
      </c>
      <c r="B3392" t="str">
        <f>"8380"</f>
        <v>8380</v>
      </c>
      <c r="C3392" t="str">
        <f>"298328380"</f>
        <v>298328380</v>
      </c>
      <c r="D3392" t="s">
        <v>8227</v>
      </c>
      <c r="E3392" t="s">
        <v>1247</v>
      </c>
      <c r="G3392" s="1">
        <v>14890</v>
      </c>
      <c r="H3392" s="1">
        <v>39588</v>
      </c>
      <c r="I3392" t="str">
        <f>"51"</f>
        <v>51</v>
      </c>
      <c r="J3392" t="s">
        <v>471</v>
      </c>
      <c r="K3392" t="s">
        <v>25</v>
      </c>
      <c r="L3392" t="s">
        <v>26</v>
      </c>
      <c r="M3392" t="s">
        <v>27</v>
      </c>
      <c r="N3392" s="1">
        <v>18629</v>
      </c>
      <c r="O3392">
        <v>0</v>
      </c>
      <c r="P3392">
        <v>0</v>
      </c>
      <c r="Q3392" t="s">
        <v>28</v>
      </c>
      <c r="R3392" t="s">
        <v>71</v>
      </c>
      <c r="S3392" t="s">
        <v>2634</v>
      </c>
      <c r="T3392" t="s">
        <v>2635</v>
      </c>
    </row>
    <row r="3393" spans="1:20" x14ac:dyDescent="0.25">
      <c r="A3393" t="s">
        <v>8228</v>
      </c>
      <c r="B3393" t="str">
        <f>"2731"</f>
        <v>2731</v>
      </c>
      <c r="C3393" t="str">
        <f>"288562731"</f>
        <v>288562731</v>
      </c>
      <c r="D3393" t="s">
        <v>8229</v>
      </c>
      <c r="E3393" t="s">
        <v>944</v>
      </c>
      <c r="F3393" t="s">
        <v>629</v>
      </c>
      <c r="G3393" s="1">
        <v>19927</v>
      </c>
      <c r="H3393" s="1">
        <v>39587</v>
      </c>
      <c r="I3393" t="str">
        <f>"08"</f>
        <v>08</v>
      </c>
      <c r="J3393" t="s">
        <v>265</v>
      </c>
      <c r="K3393" t="s">
        <v>98</v>
      </c>
      <c r="L3393" t="s">
        <v>37</v>
      </c>
      <c r="M3393" t="s">
        <v>117</v>
      </c>
      <c r="N3393" s="1">
        <v>41617</v>
      </c>
      <c r="O3393">
        <v>4951.96</v>
      </c>
      <c r="P3393">
        <v>1237.8599999999999</v>
      </c>
      <c r="Q3393" t="s">
        <v>28</v>
      </c>
      <c r="R3393" t="s">
        <v>346</v>
      </c>
      <c r="S3393" t="s">
        <v>495</v>
      </c>
      <c r="T3393" t="s">
        <v>496</v>
      </c>
    </row>
    <row r="3394" spans="1:20" x14ac:dyDescent="0.25">
      <c r="A3394" t="s">
        <v>8230</v>
      </c>
      <c r="B3394" t="str">
        <f>"8419"</f>
        <v>8419</v>
      </c>
      <c r="C3394" t="str">
        <f>"269728419"</f>
        <v>269728419</v>
      </c>
      <c r="D3394" t="s">
        <v>8231</v>
      </c>
      <c r="E3394" t="s">
        <v>8232</v>
      </c>
      <c r="F3394" t="s">
        <v>190</v>
      </c>
      <c r="G3394" s="1">
        <v>25502</v>
      </c>
      <c r="H3394" s="1">
        <v>39587</v>
      </c>
      <c r="I3394" t="str">
        <f>"05"</f>
        <v>05</v>
      </c>
      <c r="J3394" t="s">
        <v>58</v>
      </c>
      <c r="K3394" t="s">
        <v>510</v>
      </c>
      <c r="L3394" t="s">
        <v>37</v>
      </c>
      <c r="M3394" t="s">
        <v>99</v>
      </c>
      <c r="N3394" s="1">
        <v>41617</v>
      </c>
      <c r="O3394">
        <v>19521.84</v>
      </c>
      <c r="P3394">
        <v>4880.46</v>
      </c>
      <c r="Q3394" t="s">
        <v>37</v>
      </c>
      <c r="R3394" t="s">
        <v>51</v>
      </c>
      <c r="S3394" s="2" t="s">
        <v>324</v>
      </c>
      <c r="T3394" t="s">
        <v>325</v>
      </c>
    </row>
    <row r="3395" spans="1:20" x14ac:dyDescent="0.25">
      <c r="A3395" t="s">
        <v>8233</v>
      </c>
      <c r="B3395" t="str">
        <f>"6160"</f>
        <v>6160</v>
      </c>
      <c r="C3395" t="str">
        <f>"299746160"</f>
        <v>299746160</v>
      </c>
      <c r="D3395" t="s">
        <v>1798</v>
      </c>
      <c r="E3395" t="s">
        <v>178</v>
      </c>
      <c r="F3395" t="s">
        <v>179</v>
      </c>
      <c r="G3395" s="1">
        <v>23712</v>
      </c>
      <c r="H3395" s="1">
        <v>39587</v>
      </c>
      <c r="I3395" t="str">
        <f>"08"</f>
        <v>08</v>
      </c>
      <c r="J3395" t="s">
        <v>265</v>
      </c>
      <c r="K3395" t="s">
        <v>98</v>
      </c>
      <c r="L3395" t="s">
        <v>37</v>
      </c>
      <c r="M3395" t="s">
        <v>117</v>
      </c>
      <c r="N3395" s="1">
        <v>41617</v>
      </c>
      <c r="O3395">
        <v>4951.96</v>
      </c>
      <c r="P3395">
        <v>1237.8599999999999</v>
      </c>
      <c r="Q3395" t="s">
        <v>28</v>
      </c>
      <c r="R3395" t="s">
        <v>346</v>
      </c>
      <c r="S3395" t="s">
        <v>495</v>
      </c>
      <c r="T3395" t="s">
        <v>496</v>
      </c>
    </row>
    <row r="3396" spans="1:20" x14ac:dyDescent="0.25">
      <c r="A3396" t="s">
        <v>8234</v>
      </c>
      <c r="B3396" t="str">
        <f>"3271"</f>
        <v>3271</v>
      </c>
      <c r="C3396" t="str">
        <f>"277503271"</f>
        <v>277503271</v>
      </c>
      <c r="D3396" t="s">
        <v>8235</v>
      </c>
      <c r="E3396" t="s">
        <v>959</v>
      </c>
      <c r="F3396" t="s">
        <v>264</v>
      </c>
      <c r="G3396" s="1">
        <v>17948</v>
      </c>
      <c r="H3396" s="1">
        <v>39587</v>
      </c>
      <c r="I3396" t="str">
        <f>"01"</f>
        <v>01</v>
      </c>
      <c r="J3396" t="s">
        <v>116</v>
      </c>
      <c r="L3396" t="s">
        <v>37</v>
      </c>
      <c r="M3396" t="s">
        <v>143</v>
      </c>
      <c r="N3396" s="1">
        <v>41617</v>
      </c>
      <c r="O3396">
        <v>185.9</v>
      </c>
      <c r="P3396">
        <v>-185.9</v>
      </c>
      <c r="Q3396" t="s">
        <v>28</v>
      </c>
      <c r="R3396" t="s">
        <v>110</v>
      </c>
      <c r="S3396" t="s">
        <v>2257</v>
      </c>
      <c r="T3396" t="s">
        <v>2258</v>
      </c>
    </row>
    <row r="3397" spans="1:20" x14ac:dyDescent="0.25">
      <c r="A3397" t="s">
        <v>8236</v>
      </c>
      <c r="B3397" t="str">
        <f>"8722"</f>
        <v>8722</v>
      </c>
      <c r="C3397" t="str">
        <f>"230378722"</f>
        <v>230378722</v>
      </c>
      <c r="D3397" t="s">
        <v>8237</v>
      </c>
      <c r="E3397" t="s">
        <v>1380</v>
      </c>
      <c r="F3397" t="s">
        <v>165</v>
      </c>
      <c r="G3397" s="1">
        <v>25848</v>
      </c>
      <c r="H3397" s="1">
        <v>39587</v>
      </c>
      <c r="I3397" t="str">
        <f>"03"</f>
        <v>03</v>
      </c>
      <c r="J3397" t="s">
        <v>70</v>
      </c>
      <c r="K3397" t="s">
        <v>98</v>
      </c>
      <c r="L3397" t="s">
        <v>37</v>
      </c>
      <c r="M3397" t="s">
        <v>99</v>
      </c>
      <c r="N3397" s="1">
        <v>41617</v>
      </c>
      <c r="O3397">
        <v>14801.8</v>
      </c>
      <c r="P3397">
        <v>3700.32</v>
      </c>
      <c r="Q3397" t="s">
        <v>28</v>
      </c>
      <c r="R3397" t="s">
        <v>71</v>
      </c>
      <c r="S3397" t="s">
        <v>3419</v>
      </c>
      <c r="T3397" t="s">
        <v>3420</v>
      </c>
    </row>
    <row r="3398" spans="1:20" x14ac:dyDescent="0.25">
      <c r="A3398" t="s">
        <v>8238</v>
      </c>
      <c r="B3398" t="str">
        <f>"0730"</f>
        <v>0730</v>
      </c>
      <c r="C3398" t="str">
        <f>"420960730"</f>
        <v>420960730</v>
      </c>
      <c r="D3398" t="s">
        <v>1383</v>
      </c>
      <c r="E3398" t="s">
        <v>2455</v>
      </c>
      <c r="F3398" t="s">
        <v>97</v>
      </c>
      <c r="G3398" s="1">
        <v>22614</v>
      </c>
      <c r="H3398" s="1">
        <v>39573</v>
      </c>
      <c r="I3398" t="str">
        <f>"05"</f>
        <v>05</v>
      </c>
      <c r="J3398" t="s">
        <v>58</v>
      </c>
      <c r="L3398" t="s">
        <v>37</v>
      </c>
      <c r="M3398" t="s">
        <v>143</v>
      </c>
      <c r="N3398" s="1">
        <v>41617</v>
      </c>
      <c r="O3398">
        <v>185.9</v>
      </c>
      <c r="P3398">
        <v>-185.9</v>
      </c>
      <c r="Q3398" t="s">
        <v>37</v>
      </c>
      <c r="R3398" t="s">
        <v>51</v>
      </c>
      <c r="S3398" s="2" t="s">
        <v>52</v>
      </c>
      <c r="T3398" t="s">
        <v>53</v>
      </c>
    </row>
    <row r="3399" spans="1:20" x14ac:dyDescent="0.25">
      <c r="A3399" t="s">
        <v>8239</v>
      </c>
      <c r="B3399" t="str">
        <f>"0594"</f>
        <v>0594</v>
      </c>
      <c r="C3399" t="str">
        <f>"298900594"</f>
        <v>298900594</v>
      </c>
      <c r="D3399" t="s">
        <v>4377</v>
      </c>
      <c r="E3399" t="s">
        <v>1453</v>
      </c>
      <c r="G3399" s="1">
        <v>27536</v>
      </c>
      <c r="H3399" s="1">
        <v>39573</v>
      </c>
      <c r="I3399" t="str">
        <f>"03"</f>
        <v>03</v>
      </c>
      <c r="J3399" t="s">
        <v>70</v>
      </c>
      <c r="L3399" t="s">
        <v>37</v>
      </c>
      <c r="M3399" t="s">
        <v>143</v>
      </c>
      <c r="N3399" s="1">
        <v>41617</v>
      </c>
      <c r="O3399">
        <v>185.9</v>
      </c>
      <c r="P3399">
        <v>-185.9</v>
      </c>
      <c r="Q3399" t="s">
        <v>28</v>
      </c>
      <c r="R3399" t="s">
        <v>110</v>
      </c>
      <c r="S3399" t="s">
        <v>2090</v>
      </c>
      <c r="T3399" t="s">
        <v>2091</v>
      </c>
    </row>
    <row r="3400" spans="1:20" x14ac:dyDescent="0.25">
      <c r="A3400" t="s">
        <v>8240</v>
      </c>
      <c r="B3400" t="str">
        <f>"6256"</f>
        <v>6256</v>
      </c>
      <c r="C3400" t="str">
        <f>"285506256"</f>
        <v>285506256</v>
      </c>
      <c r="D3400" t="s">
        <v>609</v>
      </c>
      <c r="E3400" t="s">
        <v>1813</v>
      </c>
      <c r="F3400" t="s">
        <v>93</v>
      </c>
      <c r="G3400" s="1">
        <v>20735</v>
      </c>
      <c r="H3400" s="1">
        <v>39573</v>
      </c>
      <c r="I3400" t="str">
        <f>"05"</f>
        <v>05</v>
      </c>
      <c r="J3400" t="s">
        <v>58</v>
      </c>
      <c r="K3400" t="s">
        <v>98</v>
      </c>
      <c r="L3400" t="s">
        <v>37</v>
      </c>
      <c r="M3400" t="s">
        <v>117</v>
      </c>
      <c r="N3400" s="1">
        <v>41617</v>
      </c>
      <c r="O3400">
        <v>4951.96</v>
      </c>
      <c r="P3400">
        <v>1237.8599999999999</v>
      </c>
      <c r="Q3400" t="s">
        <v>37</v>
      </c>
      <c r="R3400" t="s">
        <v>258</v>
      </c>
      <c r="S3400" t="s">
        <v>259</v>
      </c>
      <c r="T3400" t="s">
        <v>260</v>
      </c>
    </row>
    <row r="3401" spans="1:20" x14ac:dyDescent="0.25">
      <c r="A3401" t="s">
        <v>8241</v>
      </c>
      <c r="B3401" t="str">
        <f>"6099"</f>
        <v>6099</v>
      </c>
      <c r="C3401" t="str">
        <f>"286526099"</f>
        <v>286526099</v>
      </c>
      <c r="D3401" t="s">
        <v>8242</v>
      </c>
      <c r="E3401" t="s">
        <v>526</v>
      </c>
      <c r="F3401" t="s">
        <v>2110</v>
      </c>
      <c r="G3401" s="1">
        <v>21119</v>
      </c>
      <c r="H3401" s="1">
        <v>39568</v>
      </c>
      <c r="I3401" t="str">
        <f>"50"</f>
        <v>50</v>
      </c>
      <c r="J3401" t="s">
        <v>208</v>
      </c>
      <c r="K3401" t="s">
        <v>25</v>
      </c>
      <c r="L3401" t="s">
        <v>26</v>
      </c>
      <c r="M3401" t="s">
        <v>27</v>
      </c>
      <c r="N3401" s="1">
        <v>18629</v>
      </c>
      <c r="O3401">
        <v>0</v>
      </c>
      <c r="P3401">
        <v>0</v>
      </c>
      <c r="Q3401" t="s">
        <v>37</v>
      </c>
      <c r="R3401" t="s">
        <v>51</v>
      </c>
      <c r="S3401" t="s">
        <v>240</v>
      </c>
      <c r="T3401" t="s">
        <v>241</v>
      </c>
    </row>
    <row r="3402" spans="1:20" x14ac:dyDescent="0.25">
      <c r="A3402" t="s">
        <v>8243</v>
      </c>
      <c r="B3402" t="str">
        <f>"3827"</f>
        <v>3827</v>
      </c>
      <c r="C3402" t="str">
        <f>"289883827"</f>
        <v>289883827</v>
      </c>
      <c r="D3402" t="s">
        <v>8244</v>
      </c>
      <c r="E3402" t="s">
        <v>8245</v>
      </c>
      <c r="F3402" t="s">
        <v>2390</v>
      </c>
      <c r="G3402" s="1">
        <v>29481</v>
      </c>
      <c r="H3402" s="1">
        <v>39559</v>
      </c>
      <c r="I3402" t="str">
        <f>"51"</f>
        <v>51</v>
      </c>
      <c r="J3402" t="s">
        <v>471</v>
      </c>
      <c r="K3402" t="s">
        <v>25</v>
      </c>
      <c r="L3402" t="s">
        <v>26</v>
      </c>
      <c r="M3402" t="s">
        <v>27</v>
      </c>
      <c r="N3402" s="1">
        <v>18629</v>
      </c>
      <c r="O3402">
        <v>0</v>
      </c>
      <c r="P3402">
        <v>0</v>
      </c>
      <c r="Q3402" t="s">
        <v>37</v>
      </c>
      <c r="R3402" t="s">
        <v>29</v>
      </c>
      <c r="S3402" t="s">
        <v>138</v>
      </c>
      <c r="T3402" t="s">
        <v>139</v>
      </c>
    </row>
    <row r="3403" spans="1:20" x14ac:dyDescent="0.25">
      <c r="A3403" t="s">
        <v>8246</v>
      </c>
      <c r="B3403" t="str">
        <f>"1530"</f>
        <v>1530</v>
      </c>
      <c r="C3403" t="str">
        <f>"290681530"</f>
        <v>290681530</v>
      </c>
      <c r="D3403" t="s">
        <v>8247</v>
      </c>
      <c r="E3403" t="s">
        <v>822</v>
      </c>
      <c r="G3403" s="1">
        <v>23356</v>
      </c>
      <c r="H3403" s="1">
        <v>39559</v>
      </c>
      <c r="I3403" t="str">
        <f>"03"</f>
        <v>03</v>
      </c>
      <c r="J3403" t="s">
        <v>70</v>
      </c>
      <c r="K3403" t="s">
        <v>98</v>
      </c>
      <c r="L3403" t="s">
        <v>37</v>
      </c>
      <c r="M3403" t="s">
        <v>117</v>
      </c>
      <c r="N3403" s="1">
        <v>41617</v>
      </c>
      <c r="O3403">
        <v>4951.96</v>
      </c>
      <c r="P3403">
        <v>1237.8599999999999</v>
      </c>
      <c r="Q3403" t="s">
        <v>37</v>
      </c>
      <c r="R3403" t="s">
        <v>110</v>
      </c>
      <c r="S3403" t="s">
        <v>1346</v>
      </c>
      <c r="T3403" t="s">
        <v>1347</v>
      </c>
    </row>
    <row r="3404" spans="1:20" x14ac:dyDescent="0.25">
      <c r="A3404" t="s">
        <v>8248</v>
      </c>
      <c r="B3404" t="str">
        <f>"1809"</f>
        <v>1809</v>
      </c>
      <c r="C3404" t="str">
        <f>"298701809"</f>
        <v>298701809</v>
      </c>
      <c r="D3404" t="s">
        <v>8249</v>
      </c>
      <c r="E3404" t="s">
        <v>1450</v>
      </c>
      <c r="G3404" s="1">
        <v>26739</v>
      </c>
      <c r="H3404" s="1">
        <v>39559</v>
      </c>
      <c r="I3404" t="str">
        <f>"08"</f>
        <v>08</v>
      </c>
      <c r="J3404" t="s">
        <v>265</v>
      </c>
      <c r="K3404" t="s">
        <v>175</v>
      </c>
      <c r="L3404" t="s">
        <v>37</v>
      </c>
      <c r="M3404" t="s">
        <v>257</v>
      </c>
      <c r="N3404" s="1">
        <v>41617</v>
      </c>
      <c r="O3404">
        <v>11847.94</v>
      </c>
      <c r="P3404">
        <v>2961.92</v>
      </c>
      <c r="Q3404" t="s">
        <v>37</v>
      </c>
      <c r="R3404" t="s">
        <v>71</v>
      </c>
      <c r="S3404" t="s">
        <v>1438</v>
      </c>
      <c r="T3404" t="s">
        <v>1439</v>
      </c>
    </row>
    <row r="3405" spans="1:20" x14ac:dyDescent="0.25">
      <c r="A3405" t="s">
        <v>8250</v>
      </c>
      <c r="B3405" t="str">
        <f>"4396"</f>
        <v>4396</v>
      </c>
      <c r="C3405" t="str">
        <f>"285684396"</f>
        <v>285684396</v>
      </c>
      <c r="D3405" t="s">
        <v>8251</v>
      </c>
      <c r="E3405" t="s">
        <v>8252</v>
      </c>
      <c r="G3405" s="1">
        <v>21904</v>
      </c>
      <c r="H3405" s="1">
        <v>39559</v>
      </c>
      <c r="I3405" t="str">
        <f>"41"</f>
        <v>41</v>
      </c>
      <c r="J3405" t="s">
        <v>24</v>
      </c>
      <c r="K3405" t="s">
        <v>25</v>
      </c>
      <c r="L3405" t="s">
        <v>26</v>
      </c>
      <c r="M3405" t="s">
        <v>27</v>
      </c>
      <c r="N3405" s="1">
        <v>18629</v>
      </c>
      <c r="O3405">
        <v>0</v>
      </c>
      <c r="P3405">
        <v>0</v>
      </c>
      <c r="Q3405" t="s">
        <v>37</v>
      </c>
      <c r="R3405" t="s">
        <v>51</v>
      </c>
      <c r="S3405" t="s">
        <v>138</v>
      </c>
      <c r="T3405" t="s">
        <v>139</v>
      </c>
    </row>
    <row r="3406" spans="1:20" x14ac:dyDescent="0.25">
      <c r="A3406" t="s">
        <v>8253</v>
      </c>
      <c r="B3406" t="str">
        <f>"0178"</f>
        <v>0178</v>
      </c>
      <c r="C3406" t="str">
        <f>"268640178"</f>
        <v>268640178</v>
      </c>
      <c r="D3406" t="s">
        <v>8254</v>
      </c>
      <c r="E3406" t="s">
        <v>197</v>
      </c>
      <c r="F3406" t="s">
        <v>28</v>
      </c>
      <c r="G3406" s="1">
        <v>20938</v>
      </c>
      <c r="H3406" s="1">
        <v>39548</v>
      </c>
      <c r="I3406" t="str">
        <f>"52"</f>
        <v>52</v>
      </c>
      <c r="J3406" t="s">
        <v>330</v>
      </c>
      <c r="K3406" t="s">
        <v>25</v>
      </c>
      <c r="L3406" t="s">
        <v>26</v>
      </c>
      <c r="M3406" t="s">
        <v>27</v>
      </c>
      <c r="N3406" s="1">
        <v>18629</v>
      </c>
      <c r="O3406">
        <v>0</v>
      </c>
      <c r="P3406">
        <v>0</v>
      </c>
      <c r="Q3406" t="s">
        <v>28</v>
      </c>
      <c r="R3406" t="s">
        <v>51</v>
      </c>
      <c r="S3406" t="s">
        <v>336</v>
      </c>
      <c r="T3406" t="s">
        <v>337</v>
      </c>
    </row>
    <row r="3407" spans="1:20" x14ac:dyDescent="0.25">
      <c r="A3407" t="s">
        <v>8255</v>
      </c>
      <c r="B3407" t="str">
        <f>"2299"</f>
        <v>2299</v>
      </c>
      <c r="C3407" t="str">
        <f>"301602299"</f>
        <v>301602299</v>
      </c>
      <c r="D3407" t="s">
        <v>7952</v>
      </c>
      <c r="E3407" t="s">
        <v>1952</v>
      </c>
      <c r="F3407" t="s">
        <v>358</v>
      </c>
      <c r="G3407" s="1">
        <v>22195</v>
      </c>
      <c r="H3407" s="1">
        <v>39545</v>
      </c>
      <c r="I3407" t="str">
        <f>"01"</f>
        <v>01</v>
      </c>
      <c r="J3407" t="s">
        <v>116</v>
      </c>
      <c r="K3407" t="s">
        <v>98</v>
      </c>
      <c r="L3407" t="s">
        <v>37</v>
      </c>
      <c r="M3407" t="s">
        <v>117</v>
      </c>
      <c r="N3407" s="1">
        <v>41617</v>
      </c>
      <c r="O3407">
        <v>4951.96</v>
      </c>
      <c r="P3407">
        <v>1237.8599999999999</v>
      </c>
      <c r="Q3407" t="s">
        <v>37</v>
      </c>
      <c r="R3407" t="s">
        <v>110</v>
      </c>
      <c r="S3407" t="s">
        <v>1346</v>
      </c>
      <c r="T3407" t="s">
        <v>1347</v>
      </c>
    </row>
    <row r="3408" spans="1:20" x14ac:dyDescent="0.25">
      <c r="A3408" t="s">
        <v>8256</v>
      </c>
      <c r="B3408" t="str">
        <f>"0798"</f>
        <v>0798</v>
      </c>
      <c r="C3408" t="str">
        <f>"299860798"</f>
        <v>299860798</v>
      </c>
      <c r="D3408" t="s">
        <v>553</v>
      </c>
      <c r="E3408" t="s">
        <v>137</v>
      </c>
      <c r="F3408" t="s">
        <v>264</v>
      </c>
      <c r="G3408" s="1">
        <v>27394</v>
      </c>
      <c r="H3408" s="1">
        <v>39545</v>
      </c>
      <c r="I3408" t="str">
        <f>"05"</f>
        <v>05</v>
      </c>
      <c r="J3408" t="s">
        <v>58</v>
      </c>
      <c r="K3408" t="s">
        <v>175</v>
      </c>
      <c r="L3408" t="s">
        <v>37</v>
      </c>
      <c r="M3408" t="s">
        <v>99</v>
      </c>
      <c r="N3408" s="1">
        <v>41617</v>
      </c>
      <c r="O3408">
        <v>16411.72</v>
      </c>
      <c r="P3408">
        <v>4102.8</v>
      </c>
      <c r="Q3408" t="s">
        <v>37</v>
      </c>
      <c r="R3408" t="s">
        <v>51</v>
      </c>
      <c r="S3408" t="s">
        <v>487</v>
      </c>
      <c r="T3408" t="s">
        <v>488</v>
      </c>
    </row>
    <row r="3409" spans="1:20" x14ac:dyDescent="0.25">
      <c r="A3409" t="s">
        <v>8257</v>
      </c>
      <c r="B3409" t="str">
        <f>"0333"</f>
        <v>0333</v>
      </c>
      <c r="C3409" t="str">
        <f>"279760333"</f>
        <v>279760333</v>
      </c>
      <c r="D3409" t="s">
        <v>8258</v>
      </c>
      <c r="E3409" t="s">
        <v>194</v>
      </c>
      <c r="F3409" t="s">
        <v>97</v>
      </c>
      <c r="G3409" s="1">
        <v>25416</v>
      </c>
      <c r="H3409" s="1">
        <v>39545</v>
      </c>
      <c r="I3409" t="str">
        <f>"01"</f>
        <v>01</v>
      </c>
      <c r="J3409" t="s">
        <v>116</v>
      </c>
      <c r="K3409" t="s">
        <v>98</v>
      </c>
      <c r="L3409" t="s">
        <v>37</v>
      </c>
      <c r="M3409" t="s">
        <v>99</v>
      </c>
      <c r="N3409" s="1">
        <v>41617</v>
      </c>
      <c r="O3409">
        <v>14801.8</v>
      </c>
      <c r="P3409">
        <v>3700.32</v>
      </c>
      <c r="Q3409" t="s">
        <v>37</v>
      </c>
      <c r="R3409" t="s">
        <v>38</v>
      </c>
      <c r="S3409" t="s">
        <v>5868</v>
      </c>
      <c r="T3409" t="s">
        <v>5869</v>
      </c>
    </row>
    <row r="3410" spans="1:20" x14ac:dyDescent="0.25">
      <c r="A3410" t="s">
        <v>8259</v>
      </c>
      <c r="B3410" t="str">
        <f>"2792"</f>
        <v>2792</v>
      </c>
      <c r="C3410" t="str">
        <f>"272462792"</f>
        <v>272462792</v>
      </c>
      <c r="D3410" t="s">
        <v>8260</v>
      </c>
      <c r="E3410" t="s">
        <v>35</v>
      </c>
      <c r="F3410" t="s">
        <v>93</v>
      </c>
      <c r="G3410" s="1">
        <v>20915</v>
      </c>
      <c r="H3410" s="1">
        <v>39545</v>
      </c>
      <c r="I3410" t="str">
        <f>"52"</f>
        <v>52</v>
      </c>
      <c r="J3410" t="s">
        <v>330</v>
      </c>
      <c r="K3410" t="s">
        <v>25</v>
      </c>
      <c r="L3410" t="s">
        <v>26</v>
      </c>
      <c r="M3410" t="s">
        <v>27</v>
      </c>
      <c r="N3410" s="1">
        <v>18629</v>
      </c>
      <c r="O3410">
        <v>0</v>
      </c>
      <c r="P3410">
        <v>0</v>
      </c>
      <c r="Q3410" t="s">
        <v>28</v>
      </c>
      <c r="R3410" t="s">
        <v>258</v>
      </c>
      <c r="S3410" t="s">
        <v>336</v>
      </c>
      <c r="T3410" t="s">
        <v>337</v>
      </c>
    </row>
    <row r="3411" spans="1:20" x14ac:dyDescent="0.25">
      <c r="A3411" t="s">
        <v>8261</v>
      </c>
      <c r="B3411" t="str">
        <f>"0628"</f>
        <v>0628</v>
      </c>
      <c r="C3411" t="str">
        <f>"276780628"</f>
        <v>276780628</v>
      </c>
      <c r="D3411" t="s">
        <v>8262</v>
      </c>
      <c r="E3411" t="s">
        <v>8263</v>
      </c>
      <c r="F3411" t="s">
        <v>8264</v>
      </c>
      <c r="G3411" s="1">
        <v>26682</v>
      </c>
      <c r="H3411" s="1">
        <v>39531</v>
      </c>
      <c r="I3411" t="str">
        <f>"51"</f>
        <v>51</v>
      </c>
      <c r="J3411" t="s">
        <v>471</v>
      </c>
      <c r="K3411" t="s">
        <v>25</v>
      </c>
      <c r="L3411" t="s">
        <v>26</v>
      </c>
      <c r="M3411" t="s">
        <v>27</v>
      </c>
      <c r="N3411" s="1">
        <v>18629</v>
      </c>
      <c r="O3411">
        <v>0</v>
      </c>
      <c r="P3411">
        <v>0</v>
      </c>
      <c r="Q3411" t="s">
        <v>37</v>
      </c>
      <c r="R3411" t="s">
        <v>29</v>
      </c>
      <c r="S3411" t="s">
        <v>138</v>
      </c>
      <c r="T3411" t="s">
        <v>139</v>
      </c>
    </row>
    <row r="3412" spans="1:20" x14ac:dyDescent="0.25">
      <c r="A3412" t="s">
        <v>8265</v>
      </c>
      <c r="B3412" t="str">
        <f>"7986"</f>
        <v>7986</v>
      </c>
      <c r="C3412" t="str">
        <f>"284367986"</f>
        <v>284367986</v>
      </c>
      <c r="D3412" t="s">
        <v>1798</v>
      </c>
      <c r="E3412" t="s">
        <v>8266</v>
      </c>
      <c r="G3412" s="1">
        <v>15033</v>
      </c>
      <c r="H3412" s="1">
        <v>39531</v>
      </c>
      <c r="I3412" t="str">
        <f>"51"</f>
        <v>51</v>
      </c>
      <c r="J3412" t="s">
        <v>471</v>
      </c>
      <c r="K3412" t="s">
        <v>25</v>
      </c>
      <c r="L3412" t="s">
        <v>26</v>
      </c>
      <c r="M3412" t="s">
        <v>27</v>
      </c>
      <c r="N3412" s="1">
        <v>18629</v>
      </c>
      <c r="O3412">
        <v>0</v>
      </c>
      <c r="P3412">
        <v>0</v>
      </c>
      <c r="Q3412" t="s">
        <v>28</v>
      </c>
      <c r="R3412" t="s">
        <v>51</v>
      </c>
      <c r="S3412" s="2" t="s">
        <v>2524</v>
      </c>
      <c r="T3412" t="s">
        <v>2525</v>
      </c>
    </row>
    <row r="3413" spans="1:20" x14ac:dyDescent="0.25">
      <c r="A3413" t="s">
        <v>8267</v>
      </c>
      <c r="B3413" t="str">
        <f>"2052"</f>
        <v>2052</v>
      </c>
      <c r="C3413" t="str">
        <f>"282682052"</f>
        <v>282682052</v>
      </c>
      <c r="D3413" t="s">
        <v>8268</v>
      </c>
      <c r="E3413" t="s">
        <v>35</v>
      </c>
      <c r="F3413" t="s">
        <v>97</v>
      </c>
      <c r="G3413" s="1">
        <v>22289</v>
      </c>
      <c r="H3413" s="1">
        <v>39531</v>
      </c>
      <c r="I3413" t="str">
        <f>"12"</f>
        <v>12</v>
      </c>
      <c r="J3413" t="s">
        <v>245</v>
      </c>
      <c r="K3413" t="s">
        <v>98</v>
      </c>
      <c r="L3413" t="s">
        <v>37</v>
      </c>
      <c r="M3413" t="s">
        <v>117</v>
      </c>
      <c r="N3413" s="1">
        <v>41617</v>
      </c>
      <c r="O3413">
        <v>4951.96</v>
      </c>
      <c r="P3413">
        <v>1237.8599999999999</v>
      </c>
      <c r="Q3413" t="s">
        <v>28</v>
      </c>
      <c r="R3413" t="s">
        <v>51</v>
      </c>
      <c r="S3413" s="2" t="s">
        <v>774</v>
      </c>
      <c r="T3413" t="s">
        <v>775</v>
      </c>
    </row>
    <row r="3414" spans="1:20" x14ac:dyDescent="0.25">
      <c r="A3414" t="s">
        <v>8269</v>
      </c>
      <c r="B3414" t="str">
        <f>"3069"</f>
        <v>3069</v>
      </c>
      <c r="C3414" t="str">
        <f>"290943069"</f>
        <v>290943069</v>
      </c>
      <c r="D3414" t="s">
        <v>7877</v>
      </c>
      <c r="E3414" t="s">
        <v>3696</v>
      </c>
      <c r="G3414" s="1">
        <v>23709</v>
      </c>
      <c r="H3414" s="1">
        <v>39517</v>
      </c>
      <c r="I3414" t="str">
        <f>"30"</f>
        <v>30</v>
      </c>
      <c r="J3414" t="s">
        <v>50</v>
      </c>
      <c r="K3414" t="s">
        <v>25</v>
      </c>
      <c r="L3414" t="s">
        <v>26</v>
      </c>
      <c r="M3414" t="s">
        <v>27</v>
      </c>
      <c r="N3414" s="1">
        <v>18629</v>
      </c>
      <c r="O3414">
        <v>0</v>
      </c>
      <c r="P3414">
        <v>0</v>
      </c>
      <c r="Q3414" t="s">
        <v>37</v>
      </c>
      <c r="R3414" t="s">
        <v>51</v>
      </c>
      <c r="S3414" s="2" t="s">
        <v>52</v>
      </c>
      <c r="T3414" t="s">
        <v>53</v>
      </c>
    </row>
    <row r="3415" spans="1:20" x14ac:dyDescent="0.25">
      <c r="A3415" t="s">
        <v>8270</v>
      </c>
      <c r="B3415" t="str">
        <f>"6086"</f>
        <v>6086</v>
      </c>
      <c r="C3415" t="str">
        <f>"269726086"</f>
        <v>269726086</v>
      </c>
      <c r="D3415" t="s">
        <v>553</v>
      </c>
      <c r="E3415" t="s">
        <v>4452</v>
      </c>
      <c r="F3415" t="s">
        <v>358</v>
      </c>
      <c r="G3415" s="1">
        <v>25893</v>
      </c>
      <c r="H3415" s="1">
        <v>39517</v>
      </c>
      <c r="I3415" t="str">
        <f>"05"</f>
        <v>05</v>
      </c>
      <c r="J3415" t="s">
        <v>58</v>
      </c>
      <c r="K3415" t="s">
        <v>98</v>
      </c>
      <c r="L3415" t="s">
        <v>37</v>
      </c>
      <c r="M3415" t="s">
        <v>117</v>
      </c>
      <c r="N3415" s="1">
        <v>41617</v>
      </c>
      <c r="O3415">
        <v>4951.96</v>
      </c>
      <c r="P3415">
        <v>1237.8599999999999</v>
      </c>
      <c r="Q3415" t="s">
        <v>37</v>
      </c>
      <c r="R3415" t="s">
        <v>29</v>
      </c>
      <c r="S3415" t="s">
        <v>3275</v>
      </c>
      <c r="T3415" t="s">
        <v>3276</v>
      </c>
    </row>
    <row r="3416" spans="1:20" x14ac:dyDescent="0.25">
      <c r="A3416" t="s">
        <v>8271</v>
      </c>
      <c r="B3416" t="str">
        <f>"4626"</f>
        <v>4626</v>
      </c>
      <c r="C3416" t="str">
        <f>"281764626"</f>
        <v>281764626</v>
      </c>
      <c r="D3416" t="s">
        <v>1156</v>
      </c>
      <c r="E3416" t="s">
        <v>5706</v>
      </c>
      <c r="F3416" t="s">
        <v>44</v>
      </c>
      <c r="G3416" s="1">
        <v>24333</v>
      </c>
      <c r="H3416" s="1">
        <v>39517</v>
      </c>
      <c r="I3416" t="str">
        <f>"20"</f>
        <v>20</v>
      </c>
      <c r="J3416" t="s">
        <v>123</v>
      </c>
      <c r="K3416" t="s">
        <v>98</v>
      </c>
      <c r="L3416" t="s">
        <v>37</v>
      </c>
      <c r="M3416" t="s">
        <v>117</v>
      </c>
      <c r="N3416" s="1">
        <v>41631</v>
      </c>
      <c r="O3416">
        <v>4951.9799999999996</v>
      </c>
      <c r="P3416">
        <v>1237.94</v>
      </c>
      <c r="Q3416" t="s">
        <v>37</v>
      </c>
      <c r="R3416" t="s">
        <v>29</v>
      </c>
      <c r="S3416" t="s">
        <v>185</v>
      </c>
      <c r="T3416" t="s">
        <v>186</v>
      </c>
    </row>
    <row r="3417" spans="1:20" x14ac:dyDescent="0.25">
      <c r="A3417" t="s">
        <v>8272</v>
      </c>
      <c r="B3417" t="str">
        <f>"9753"</f>
        <v>9753</v>
      </c>
      <c r="C3417" t="str">
        <f>"269489753"</f>
        <v>269489753</v>
      </c>
      <c r="D3417" t="s">
        <v>8273</v>
      </c>
      <c r="E3417" t="s">
        <v>2956</v>
      </c>
      <c r="F3417" t="s">
        <v>28</v>
      </c>
      <c r="G3417" s="1">
        <v>21398</v>
      </c>
      <c r="H3417" s="1">
        <v>39517</v>
      </c>
      <c r="I3417" t="str">
        <f>"30"</f>
        <v>30</v>
      </c>
      <c r="J3417" t="s">
        <v>50</v>
      </c>
      <c r="K3417" t="s">
        <v>25</v>
      </c>
      <c r="L3417" t="s">
        <v>26</v>
      </c>
      <c r="M3417" t="s">
        <v>27</v>
      </c>
      <c r="N3417" s="1">
        <v>18629</v>
      </c>
      <c r="O3417">
        <v>0</v>
      </c>
      <c r="P3417">
        <v>0</v>
      </c>
      <c r="Q3417" t="s">
        <v>37</v>
      </c>
      <c r="R3417" t="s">
        <v>51</v>
      </c>
      <c r="S3417" s="2" t="s">
        <v>52</v>
      </c>
      <c r="T3417" t="s">
        <v>53</v>
      </c>
    </row>
    <row r="3418" spans="1:20" x14ac:dyDescent="0.25">
      <c r="A3418" t="s">
        <v>8274</v>
      </c>
      <c r="B3418" t="str">
        <f>"1477"</f>
        <v>1477</v>
      </c>
      <c r="C3418" t="str">
        <f>"269561477"</f>
        <v>269561477</v>
      </c>
      <c r="D3418" t="s">
        <v>8275</v>
      </c>
      <c r="E3418" t="s">
        <v>1074</v>
      </c>
      <c r="F3418" t="s">
        <v>69</v>
      </c>
      <c r="G3418" s="1">
        <v>19589</v>
      </c>
      <c r="H3418" s="1">
        <v>39517</v>
      </c>
      <c r="I3418" t="str">
        <f>"05"</f>
        <v>05</v>
      </c>
      <c r="J3418" t="s">
        <v>58</v>
      </c>
      <c r="L3418" t="s">
        <v>37</v>
      </c>
      <c r="M3418" t="s">
        <v>143</v>
      </c>
      <c r="N3418" s="1">
        <v>41617</v>
      </c>
      <c r="O3418">
        <v>185.9</v>
      </c>
      <c r="P3418">
        <v>-185.9</v>
      </c>
      <c r="Q3418" t="s">
        <v>37</v>
      </c>
      <c r="R3418" t="s">
        <v>346</v>
      </c>
      <c r="S3418" t="s">
        <v>101</v>
      </c>
      <c r="T3418" t="s">
        <v>102</v>
      </c>
    </row>
    <row r="3419" spans="1:20" x14ac:dyDescent="0.25">
      <c r="A3419" t="s">
        <v>8276</v>
      </c>
      <c r="B3419" t="str">
        <f>"7272"</f>
        <v>7272</v>
      </c>
      <c r="C3419" t="str">
        <f>"294647272"</f>
        <v>294647272</v>
      </c>
      <c r="D3419" t="s">
        <v>8277</v>
      </c>
      <c r="E3419" t="s">
        <v>3561</v>
      </c>
      <c r="G3419" s="1">
        <v>23591</v>
      </c>
      <c r="H3419" s="1">
        <v>39517</v>
      </c>
      <c r="I3419" t="str">
        <f>"42"</f>
        <v>42</v>
      </c>
      <c r="J3419" t="s">
        <v>367</v>
      </c>
      <c r="K3419" t="s">
        <v>25</v>
      </c>
      <c r="L3419" t="s">
        <v>26</v>
      </c>
      <c r="M3419" t="s">
        <v>27</v>
      </c>
      <c r="N3419" s="1">
        <v>18629</v>
      </c>
      <c r="O3419">
        <v>0</v>
      </c>
      <c r="P3419">
        <v>0</v>
      </c>
      <c r="Q3419" t="s">
        <v>37</v>
      </c>
      <c r="R3419" t="s">
        <v>71</v>
      </c>
      <c r="S3419" t="s">
        <v>2839</v>
      </c>
      <c r="T3419" t="s">
        <v>2591</v>
      </c>
    </row>
    <row r="3420" spans="1:20" x14ac:dyDescent="0.25">
      <c r="A3420" t="s">
        <v>8278</v>
      </c>
      <c r="B3420" t="str">
        <f>"1651"</f>
        <v>1651</v>
      </c>
      <c r="C3420" t="str">
        <f>"297661651"</f>
        <v>297661651</v>
      </c>
      <c r="D3420" t="s">
        <v>8279</v>
      </c>
      <c r="E3420" t="s">
        <v>969</v>
      </c>
      <c r="G3420" s="1">
        <v>21722</v>
      </c>
      <c r="H3420" s="1">
        <v>39517</v>
      </c>
      <c r="I3420" t="str">
        <f>"30"</f>
        <v>30</v>
      </c>
      <c r="J3420" t="s">
        <v>50</v>
      </c>
      <c r="K3420" t="s">
        <v>25</v>
      </c>
      <c r="L3420" t="s">
        <v>26</v>
      </c>
      <c r="M3420" t="s">
        <v>27</v>
      </c>
      <c r="N3420" s="1">
        <v>18629</v>
      </c>
      <c r="O3420">
        <v>0</v>
      </c>
      <c r="P3420">
        <v>0</v>
      </c>
      <c r="Q3420" t="s">
        <v>37</v>
      </c>
      <c r="R3420" t="s">
        <v>71</v>
      </c>
      <c r="S3420" t="s">
        <v>522</v>
      </c>
      <c r="T3420" t="s">
        <v>523</v>
      </c>
    </row>
    <row r="3421" spans="1:20" x14ac:dyDescent="0.25">
      <c r="A3421" t="s">
        <v>8280</v>
      </c>
      <c r="B3421" t="str">
        <f>"9667"</f>
        <v>9667</v>
      </c>
      <c r="C3421" t="str">
        <f>"283529667"</f>
        <v>283529667</v>
      </c>
      <c r="D3421" t="s">
        <v>8281</v>
      </c>
      <c r="E3421" t="s">
        <v>372</v>
      </c>
      <c r="G3421" s="1">
        <v>19248</v>
      </c>
      <c r="H3421" s="1">
        <v>39517</v>
      </c>
      <c r="I3421" t="str">
        <f>"30"</f>
        <v>30</v>
      </c>
      <c r="J3421" t="s">
        <v>50</v>
      </c>
      <c r="K3421" t="s">
        <v>25</v>
      </c>
      <c r="L3421" t="s">
        <v>26</v>
      </c>
      <c r="M3421" t="s">
        <v>27</v>
      </c>
      <c r="N3421" s="1">
        <v>18629</v>
      </c>
      <c r="O3421">
        <v>0</v>
      </c>
      <c r="P3421">
        <v>0</v>
      </c>
      <c r="Q3421" t="s">
        <v>37</v>
      </c>
      <c r="R3421" t="s">
        <v>71</v>
      </c>
      <c r="S3421" t="s">
        <v>522</v>
      </c>
      <c r="T3421" t="s">
        <v>523</v>
      </c>
    </row>
    <row r="3422" spans="1:20" x14ac:dyDescent="0.25">
      <c r="A3422" t="s">
        <v>8282</v>
      </c>
      <c r="B3422" t="str">
        <f>"9916"</f>
        <v>9916</v>
      </c>
      <c r="C3422" t="str">
        <f>"292609916"</f>
        <v>292609916</v>
      </c>
      <c r="D3422" t="s">
        <v>8283</v>
      </c>
      <c r="E3422" t="s">
        <v>8284</v>
      </c>
      <c r="G3422" s="1">
        <v>22731</v>
      </c>
      <c r="H3422" s="1">
        <v>39517</v>
      </c>
      <c r="I3422" t="str">
        <f>"30"</f>
        <v>30</v>
      </c>
      <c r="J3422" t="s">
        <v>50</v>
      </c>
      <c r="K3422" t="s">
        <v>25</v>
      </c>
      <c r="L3422" t="s">
        <v>26</v>
      </c>
      <c r="M3422" t="s">
        <v>27</v>
      </c>
      <c r="N3422" s="1">
        <v>18629</v>
      </c>
      <c r="O3422">
        <v>0</v>
      </c>
      <c r="P3422">
        <v>0</v>
      </c>
      <c r="Q3422" t="s">
        <v>37</v>
      </c>
      <c r="R3422" t="s">
        <v>29</v>
      </c>
      <c r="S3422" t="s">
        <v>3275</v>
      </c>
      <c r="T3422" t="s">
        <v>3276</v>
      </c>
    </row>
    <row r="3423" spans="1:20" x14ac:dyDescent="0.25">
      <c r="A3423" t="s">
        <v>8285</v>
      </c>
      <c r="B3423" t="str">
        <f>"3533"</f>
        <v>3533</v>
      </c>
      <c r="C3423" t="str">
        <f>"283703533"</f>
        <v>283703533</v>
      </c>
      <c r="D3423" t="s">
        <v>1102</v>
      </c>
      <c r="E3423" t="s">
        <v>1981</v>
      </c>
      <c r="F3423" t="s">
        <v>93</v>
      </c>
      <c r="G3423" s="1">
        <v>23385</v>
      </c>
      <c r="H3423" s="1">
        <v>39517</v>
      </c>
      <c r="I3423" t="str">
        <f>"15"</f>
        <v>15</v>
      </c>
      <c r="J3423" t="s">
        <v>36</v>
      </c>
      <c r="L3423" t="s">
        <v>37</v>
      </c>
      <c r="M3423" t="s">
        <v>143</v>
      </c>
      <c r="N3423" s="1">
        <v>41617</v>
      </c>
      <c r="O3423">
        <v>185.9</v>
      </c>
      <c r="P3423">
        <v>-185.9</v>
      </c>
      <c r="Q3423" t="s">
        <v>37</v>
      </c>
      <c r="R3423" t="s">
        <v>29</v>
      </c>
      <c r="S3423" t="s">
        <v>960</v>
      </c>
      <c r="T3423" t="s">
        <v>314</v>
      </c>
    </row>
    <row r="3424" spans="1:20" x14ac:dyDescent="0.25">
      <c r="A3424" t="s">
        <v>8286</v>
      </c>
      <c r="B3424" t="str">
        <f>"3839"</f>
        <v>3839</v>
      </c>
      <c r="C3424" t="str">
        <f>"283623839"</f>
        <v>283623839</v>
      </c>
      <c r="D3424" t="s">
        <v>8287</v>
      </c>
      <c r="E3424" t="s">
        <v>8288</v>
      </c>
      <c r="F3424" t="s">
        <v>93</v>
      </c>
      <c r="G3424" s="1">
        <v>21099</v>
      </c>
      <c r="H3424" s="1">
        <v>39517</v>
      </c>
      <c r="I3424" t="str">
        <f>"30"</f>
        <v>30</v>
      </c>
      <c r="J3424" t="s">
        <v>50</v>
      </c>
      <c r="K3424" t="s">
        <v>25</v>
      </c>
      <c r="L3424" t="s">
        <v>26</v>
      </c>
      <c r="M3424" t="s">
        <v>27</v>
      </c>
      <c r="N3424" s="1">
        <v>18629</v>
      </c>
      <c r="O3424">
        <v>0</v>
      </c>
      <c r="P3424">
        <v>0</v>
      </c>
      <c r="Q3424" t="s">
        <v>37</v>
      </c>
      <c r="R3424" t="s">
        <v>71</v>
      </c>
      <c r="S3424" t="s">
        <v>522</v>
      </c>
      <c r="T3424" t="s">
        <v>523</v>
      </c>
    </row>
    <row r="3425" spans="1:20" x14ac:dyDescent="0.25">
      <c r="A3425" t="s">
        <v>8289</v>
      </c>
      <c r="B3425" t="str">
        <f>"0578"</f>
        <v>0578</v>
      </c>
      <c r="C3425" t="str">
        <f>"270580578"</f>
        <v>270580578</v>
      </c>
      <c r="D3425" t="s">
        <v>8290</v>
      </c>
      <c r="E3425" t="s">
        <v>756</v>
      </c>
      <c r="F3425" t="s">
        <v>813</v>
      </c>
      <c r="G3425" s="1">
        <v>19913</v>
      </c>
      <c r="H3425" s="1">
        <v>39517</v>
      </c>
      <c r="I3425" t="str">
        <f>"15"</f>
        <v>15</v>
      </c>
      <c r="J3425" t="s">
        <v>36</v>
      </c>
      <c r="K3425" t="s">
        <v>98</v>
      </c>
      <c r="L3425" t="s">
        <v>37</v>
      </c>
      <c r="M3425" t="s">
        <v>117</v>
      </c>
      <c r="N3425" s="1">
        <v>41617</v>
      </c>
      <c r="O3425">
        <v>4951.96</v>
      </c>
      <c r="P3425">
        <v>1237.8599999999999</v>
      </c>
      <c r="Q3425" t="s">
        <v>37</v>
      </c>
      <c r="R3425" t="s">
        <v>258</v>
      </c>
      <c r="S3425" t="s">
        <v>331</v>
      </c>
      <c r="T3425" t="s">
        <v>332</v>
      </c>
    </row>
    <row r="3426" spans="1:20" x14ac:dyDescent="0.25">
      <c r="A3426" t="s">
        <v>8291</v>
      </c>
      <c r="B3426" t="str">
        <f>"7240"</f>
        <v>7240</v>
      </c>
      <c r="C3426" t="str">
        <f>"281747240"</f>
        <v>281747240</v>
      </c>
      <c r="D3426" t="s">
        <v>4803</v>
      </c>
      <c r="E3426" t="s">
        <v>33</v>
      </c>
      <c r="F3426" t="s">
        <v>35</v>
      </c>
      <c r="G3426" s="1">
        <v>26458</v>
      </c>
      <c r="H3426" s="1">
        <v>39517</v>
      </c>
      <c r="I3426" t="str">
        <f>"42"</f>
        <v>42</v>
      </c>
      <c r="J3426" t="s">
        <v>367</v>
      </c>
      <c r="K3426" t="s">
        <v>25</v>
      </c>
      <c r="L3426" t="s">
        <v>26</v>
      </c>
      <c r="M3426" t="s">
        <v>27</v>
      </c>
      <c r="N3426" s="1">
        <v>18629</v>
      </c>
      <c r="O3426">
        <v>0</v>
      </c>
      <c r="P3426">
        <v>0</v>
      </c>
      <c r="Q3426" t="s">
        <v>28</v>
      </c>
      <c r="R3426" t="s">
        <v>71</v>
      </c>
      <c r="S3426" t="s">
        <v>2839</v>
      </c>
      <c r="T3426" t="s">
        <v>2591</v>
      </c>
    </row>
    <row r="3427" spans="1:20" x14ac:dyDescent="0.25">
      <c r="A3427" t="s">
        <v>8292</v>
      </c>
      <c r="B3427" t="str">
        <f>"0625"</f>
        <v>0625</v>
      </c>
      <c r="C3427" t="str">
        <f>"295460625"</f>
        <v>295460625</v>
      </c>
      <c r="D3427" t="s">
        <v>8293</v>
      </c>
      <c r="E3427" t="s">
        <v>1726</v>
      </c>
      <c r="F3427" t="s">
        <v>6413</v>
      </c>
      <c r="G3427" s="1">
        <v>19411</v>
      </c>
      <c r="H3427" s="1">
        <v>39517</v>
      </c>
      <c r="I3427" t="str">
        <f>"30"</f>
        <v>30</v>
      </c>
      <c r="J3427" t="s">
        <v>50</v>
      </c>
      <c r="K3427" t="s">
        <v>25</v>
      </c>
      <c r="L3427" t="s">
        <v>26</v>
      </c>
      <c r="M3427" t="s">
        <v>27</v>
      </c>
      <c r="N3427" s="1">
        <v>18629</v>
      </c>
      <c r="O3427">
        <v>0</v>
      </c>
      <c r="P3427">
        <v>0</v>
      </c>
      <c r="Q3427" t="s">
        <v>37</v>
      </c>
      <c r="R3427" t="s">
        <v>51</v>
      </c>
      <c r="S3427" s="2" t="s">
        <v>52</v>
      </c>
      <c r="T3427" t="s">
        <v>53</v>
      </c>
    </row>
    <row r="3428" spans="1:20" x14ac:dyDescent="0.25">
      <c r="A3428" t="s">
        <v>8294</v>
      </c>
      <c r="B3428" t="str">
        <f>"6743"</f>
        <v>6743</v>
      </c>
      <c r="C3428" t="str">
        <f>"293466743"</f>
        <v>293466743</v>
      </c>
      <c r="D3428" t="s">
        <v>8295</v>
      </c>
      <c r="E3428" t="s">
        <v>179</v>
      </c>
      <c r="G3428" s="1">
        <v>18463</v>
      </c>
      <c r="H3428" s="1">
        <v>39517</v>
      </c>
      <c r="I3428" t="str">
        <f>"51"</f>
        <v>51</v>
      </c>
      <c r="J3428" t="s">
        <v>471</v>
      </c>
      <c r="K3428" t="s">
        <v>25</v>
      </c>
      <c r="L3428" t="s">
        <v>26</v>
      </c>
      <c r="M3428" t="s">
        <v>27</v>
      </c>
      <c r="N3428" s="1">
        <v>18629</v>
      </c>
      <c r="O3428">
        <v>0</v>
      </c>
      <c r="P3428">
        <v>0</v>
      </c>
      <c r="Q3428" t="s">
        <v>28</v>
      </c>
      <c r="R3428" t="s">
        <v>71</v>
      </c>
      <c r="S3428" t="s">
        <v>72</v>
      </c>
      <c r="T3428" t="s">
        <v>73</v>
      </c>
    </row>
    <row r="3429" spans="1:20" x14ac:dyDescent="0.25">
      <c r="A3429" t="s">
        <v>8296</v>
      </c>
      <c r="B3429" t="str">
        <f>"1982"</f>
        <v>1982</v>
      </c>
      <c r="C3429" t="str">
        <f>"276741982"</f>
        <v>276741982</v>
      </c>
      <c r="D3429" t="s">
        <v>8297</v>
      </c>
      <c r="E3429" t="s">
        <v>35</v>
      </c>
      <c r="F3429" t="s">
        <v>28</v>
      </c>
      <c r="G3429" s="1">
        <v>23284</v>
      </c>
      <c r="H3429" s="1">
        <v>39510</v>
      </c>
      <c r="I3429" t="str">
        <f>"52"</f>
        <v>52</v>
      </c>
      <c r="J3429" t="s">
        <v>330</v>
      </c>
      <c r="K3429" t="s">
        <v>25</v>
      </c>
      <c r="L3429" t="s">
        <v>26</v>
      </c>
      <c r="M3429" t="s">
        <v>27</v>
      </c>
      <c r="N3429" s="1">
        <v>18629</v>
      </c>
      <c r="O3429">
        <v>0</v>
      </c>
      <c r="P3429">
        <v>0</v>
      </c>
      <c r="Q3429" t="s">
        <v>28</v>
      </c>
      <c r="R3429" t="s">
        <v>71</v>
      </c>
      <c r="S3429" t="s">
        <v>377</v>
      </c>
      <c r="T3429" t="s">
        <v>378</v>
      </c>
    </row>
    <row r="3430" spans="1:20" x14ac:dyDescent="0.25">
      <c r="A3430" t="s">
        <v>8298</v>
      </c>
      <c r="B3430" t="str">
        <f>"2361"</f>
        <v>2361</v>
      </c>
      <c r="C3430" t="str">
        <f>"299802361"</f>
        <v>299802361</v>
      </c>
      <c r="D3430" t="s">
        <v>6338</v>
      </c>
      <c r="E3430" t="s">
        <v>122</v>
      </c>
      <c r="F3430" t="s">
        <v>179</v>
      </c>
      <c r="G3430" s="1">
        <v>30499</v>
      </c>
      <c r="H3430" s="1">
        <v>39503</v>
      </c>
      <c r="I3430" t="str">
        <f>"30"</f>
        <v>30</v>
      </c>
      <c r="J3430" t="s">
        <v>50</v>
      </c>
      <c r="K3430" t="s">
        <v>25</v>
      </c>
      <c r="L3430" t="s">
        <v>26</v>
      </c>
      <c r="M3430" t="s">
        <v>27</v>
      </c>
      <c r="N3430" s="1">
        <v>18629</v>
      </c>
      <c r="O3430">
        <v>0</v>
      </c>
      <c r="P3430">
        <v>0</v>
      </c>
      <c r="Q3430" t="s">
        <v>28</v>
      </c>
      <c r="R3430" t="s">
        <v>71</v>
      </c>
      <c r="S3430" t="s">
        <v>373</v>
      </c>
      <c r="T3430" t="s">
        <v>374</v>
      </c>
    </row>
    <row r="3431" spans="1:20" x14ac:dyDescent="0.25">
      <c r="A3431" t="s">
        <v>8299</v>
      </c>
      <c r="B3431" t="str">
        <f>"7922"</f>
        <v>7922</v>
      </c>
      <c r="C3431" t="str">
        <f>"275567922"</f>
        <v>275567922</v>
      </c>
      <c r="D3431" t="s">
        <v>2183</v>
      </c>
      <c r="E3431" t="s">
        <v>8300</v>
      </c>
      <c r="G3431" s="1">
        <v>20031</v>
      </c>
      <c r="H3431" s="1">
        <v>39503</v>
      </c>
      <c r="I3431" t="str">
        <f>"05"</f>
        <v>05</v>
      </c>
      <c r="J3431" t="s">
        <v>58</v>
      </c>
      <c r="K3431" t="s">
        <v>98</v>
      </c>
      <c r="L3431" t="s">
        <v>37</v>
      </c>
      <c r="M3431" t="s">
        <v>257</v>
      </c>
      <c r="N3431" s="1">
        <v>41617</v>
      </c>
      <c r="O3431">
        <v>10753.08</v>
      </c>
      <c r="P3431">
        <v>2688.4</v>
      </c>
      <c r="Q3431" t="s">
        <v>37</v>
      </c>
      <c r="R3431" t="s">
        <v>110</v>
      </c>
      <c r="S3431" t="s">
        <v>4457</v>
      </c>
      <c r="T3431" t="s">
        <v>4458</v>
      </c>
    </row>
    <row r="3432" spans="1:20" x14ac:dyDescent="0.25">
      <c r="A3432" t="s">
        <v>8301</v>
      </c>
      <c r="B3432" t="str">
        <f>"5341"</f>
        <v>5341</v>
      </c>
      <c r="C3432" t="str">
        <f>"281605341"</f>
        <v>281605341</v>
      </c>
      <c r="D3432" t="s">
        <v>8302</v>
      </c>
      <c r="E3432" t="s">
        <v>3382</v>
      </c>
      <c r="F3432" t="s">
        <v>174</v>
      </c>
      <c r="G3432" s="1">
        <v>24524</v>
      </c>
      <c r="H3432" s="1">
        <v>39503</v>
      </c>
      <c r="I3432" t="str">
        <f>"42"</f>
        <v>42</v>
      </c>
      <c r="J3432" t="s">
        <v>367</v>
      </c>
      <c r="K3432" t="s">
        <v>25</v>
      </c>
      <c r="L3432" t="s">
        <v>26</v>
      </c>
      <c r="M3432" t="s">
        <v>27</v>
      </c>
      <c r="N3432" s="1">
        <v>18629</v>
      </c>
      <c r="O3432">
        <v>0</v>
      </c>
      <c r="P3432">
        <v>0</v>
      </c>
      <c r="Q3432" t="s">
        <v>28</v>
      </c>
      <c r="R3432" t="s">
        <v>71</v>
      </c>
      <c r="S3432" t="s">
        <v>2839</v>
      </c>
      <c r="T3432" t="s">
        <v>2591</v>
      </c>
    </row>
    <row r="3433" spans="1:20" x14ac:dyDescent="0.25">
      <c r="A3433" t="s">
        <v>8303</v>
      </c>
      <c r="B3433" t="str">
        <f>"0876"</f>
        <v>0876</v>
      </c>
      <c r="C3433" t="str">
        <f>"291800876"</f>
        <v>291800876</v>
      </c>
      <c r="D3433" t="s">
        <v>860</v>
      </c>
      <c r="E3433" t="s">
        <v>3490</v>
      </c>
      <c r="G3433" s="1">
        <v>24714</v>
      </c>
      <c r="H3433" s="1">
        <v>39503</v>
      </c>
      <c r="I3433" t="str">
        <f>"42"</f>
        <v>42</v>
      </c>
      <c r="J3433" t="s">
        <v>367</v>
      </c>
      <c r="K3433" t="s">
        <v>25</v>
      </c>
      <c r="L3433" t="s">
        <v>26</v>
      </c>
      <c r="M3433" t="s">
        <v>27</v>
      </c>
      <c r="N3433" s="1">
        <v>18629</v>
      </c>
      <c r="O3433">
        <v>0</v>
      </c>
      <c r="P3433">
        <v>0</v>
      </c>
      <c r="Q3433" t="s">
        <v>28</v>
      </c>
      <c r="R3433" t="s">
        <v>71</v>
      </c>
      <c r="S3433" t="s">
        <v>2839</v>
      </c>
      <c r="T3433" t="s">
        <v>2591</v>
      </c>
    </row>
    <row r="3434" spans="1:20" x14ac:dyDescent="0.25">
      <c r="A3434" t="s">
        <v>8304</v>
      </c>
      <c r="B3434" t="str">
        <f>"9293"</f>
        <v>9293</v>
      </c>
      <c r="C3434" t="str">
        <f>"273529293"</f>
        <v>273529293</v>
      </c>
      <c r="D3434" t="s">
        <v>8305</v>
      </c>
      <c r="E3434" t="s">
        <v>8306</v>
      </c>
      <c r="F3434" t="s">
        <v>329</v>
      </c>
      <c r="G3434" s="1">
        <v>20378</v>
      </c>
      <c r="H3434" s="1">
        <v>39499</v>
      </c>
      <c r="I3434" t="str">
        <f>"08"</f>
        <v>08</v>
      </c>
      <c r="J3434" t="s">
        <v>265</v>
      </c>
      <c r="K3434" t="s">
        <v>98</v>
      </c>
      <c r="L3434" t="s">
        <v>37</v>
      </c>
      <c r="M3434" t="s">
        <v>117</v>
      </c>
      <c r="N3434" s="1">
        <v>41617</v>
      </c>
      <c r="O3434">
        <v>4951.96</v>
      </c>
      <c r="P3434">
        <v>1237.8599999999999</v>
      </c>
      <c r="Q3434" t="s">
        <v>28</v>
      </c>
      <c r="R3434" t="s">
        <v>29</v>
      </c>
      <c r="S3434" t="s">
        <v>6322</v>
      </c>
      <c r="T3434" t="s">
        <v>6323</v>
      </c>
    </row>
    <row r="3435" spans="1:20" x14ac:dyDescent="0.25">
      <c r="A3435" t="s">
        <v>8307</v>
      </c>
      <c r="B3435" t="str">
        <f>"6797"</f>
        <v>6797</v>
      </c>
      <c r="C3435" t="str">
        <f>"280806797"</f>
        <v>280806797</v>
      </c>
      <c r="D3435" t="s">
        <v>3388</v>
      </c>
      <c r="E3435" t="s">
        <v>5644</v>
      </c>
      <c r="F3435" t="s">
        <v>8308</v>
      </c>
      <c r="G3435" s="1">
        <v>24750</v>
      </c>
      <c r="H3435" s="1">
        <v>39496</v>
      </c>
      <c r="I3435" t="str">
        <f>"01"</f>
        <v>01</v>
      </c>
      <c r="J3435" t="s">
        <v>116</v>
      </c>
      <c r="K3435" t="s">
        <v>98</v>
      </c>
      <c r="L3435" t="s">
        <v>37</v>
      </c>
      <c r="M3435" t="s">
        <v>99</v>
      </c>
      <c r="N3435" s="1">
        <v>41617</v>
      </c>
      <c r="O3435">
        <v>14801.8</v>
      </c>
      <c r="P3435">
        <v>3700.32</v>
      </c>
      <c r="Q3435" t="s">
        <v>28</v>
      </c>
      <c r="R3435" t="s">
        <v>38</v>
      </c>
      <c r="S3435" t="s">
        <v>1791</v>
      </c>
      <c r="T3435" t="s">
        <v>1792</v>
      </c>
    </row>
    <row r="3436" spans="1:20" x14ac:dyDescent="0.25">
      <c r="A3436" t="s">
        <v>8309</v>
      </c>
      <c r="B3436" t="str">
        <f>"9966"</f>
        <v>9966</v>
      </c>
      <c r="C3436" t="str">
        <f>"290609966"</f>
        <v>290609966</v>
      </c>
      <c r="D3436" t="s">
        <v>8310</v>
      </c>
      <c r="E3436" t="s">
        <v>434</v>
      </c>
      <c r="G3436" s="1">
        <v>25262</v>
      </c>
      <c r="H3436" s="1">
        <v>39489</v>
      </c>
      <c r="I3436" t="str">
        <f>"03"</f>
        <v>03</v>
      </c>
      <c r="J3436" t="s">
        <v>70</v>
      </c>
      <c r="L3436" t="s">
        <v>37</v>
      </c>
      <c r="M3436" t="s">
        <v>143</v>
      </c>
      <c r="N3436" s="1">
        <v>41617</v>
      </c>
      <c r="O3436">
        <v>185.9</v>
      </c>
      <c r="P3436">
        <v>-185.9</v>
      </c>
      <c r="Q3436" t="s">
        <v>28</v>
      </c>
      <c r="R3436" t="s">
        <v>110</v>
      </c>
      <c r="S3436" t="s">
        <v>1137</v>
      </c>
      <c r="T3436" t="s">
        <v>1138</v>
      </c>
    </row>
    <row r="3437" spans="1:20" x14ac:dyDescent="0.25">
      <c r="A3437" t="s">
        <v>8311</v>
      </c>
      <c r="B3437" t="str">
        <f>"1262"</f>
        <v>1262</v>
      </c>
      <c r="C3437" t="str">
        <f>"268701262"</f>
        <v>268701262</v>
      </c>
      <c r="D3437" t="s">
        <v>8312</v>
      </c>
      <c r="E3437" t="s">
        <v>184</v>
      </c>
      <c r="F3437" t="s">
        <v>37</v>
      </c>
      <c r="G3437" s="1">
        <v>22612</v>
      </c>
      <c r="H3437" s="1">
        <v>39489</v>
      </c>
      <c r="I3437" t="str">
        <f t="shared" ref="I3437:I3451" si="73">"05"</f>
        <v>05</v>
      </c>
      <c r="J3437" t="s">
        <v>58</v>
      </c>
      <c r="K3437" t="s">
        <v>98</v>
      </c>
      <c r="L3437" t="s">
        <v>37</v>
      </c>
      <c r="M3437" t="s">
        <v>117</v>
      </c>
      <c r="N3437" s="1">
        <v>41617</v>
      </c>
      <c r="O3437">
        <v>4951.96</v>
      </c>
      <c r="P3437">
        <v>1237.8599999999999</v>
      </c>
      <c r="Q3437" t="s">
        <v>37</v>
      </c>
      <c r="R3437" t="s">
        <v>71</v>
      </c>
      <c r="S3437" t="s">
        <v>522</v>
      </c>
      <c r="T3437" t="s">
        <v>523</v>
      </c>
    </row>
    <row r="3438" spans="1:20" x14ac:dyDescent="0.25">
      <c r="A3438" t="s">
        <v>8313</v>
      </c>
      <c r="B3438" t="str">
        <f>"9630"</f>
        <v>9630</v>
      </c>
      <c r="C3438" t="str">
        <f>"529159630"</f>
        <v>529159630</v>
      </c>
      <c r="D3438" t="s">
        <v>508</v>
      </c>
      <c r="E3438" t="s">
        <v>1172</v>
      </c>
      <c r="F3438" t="s">
        <v>93</v>
      </c>
      <c r="G3438" s="1">
        <v>27373</v>
      </c>
      <c r="H3438" s="1">
        <v>39489</v>
      </c>
      <c r="I3438" t="str">
        <f t="shared" si="73"/>
        <v>05</v>
      </c>
      <c r="J3438" t="s">
        <v>58</v>
      </c>
      <c r="K3438" t="s">
        <v>98</v>
      </c>
      <c r="L3438" t="s">
        <v>37</v>
      </c>
      <c r="M3438" t="s">
        <v>117</v>
      </c>
      <c r="N3438" s="1">
        <v>41617</v>
      </c>
      <c r="O3438">
        <v>4951.96</v>
      </c>
      <c r="P3438">
        <v>1237.8599999999999</v>
      </c>
      <c r="Q3438" t="s">
        <v>28</v>
      </c>
      <c r="R3438" t="s">
        <v>312</v>
      </c>
      <c r="S3438" t="s">
        <v>3171</v>
      </c>
      <c r="T3438" t="s">
        <v>3172</v>
      </c>
    </row>
    <row r="3439" spans="1:20" x14ac:dyDescent="0.25">
      <c r="A3439" t="s">
        <v>8314</v>
      </c>
      <c r="B3439" t="str">
        <f>"6999"</f>
        <v>6999</v>
      </c>
      <c r="C3439" t="str">
        <f>"294546999"</f>
        <v>294546999</v>
      </c>
      <c r="D3439" t="s">
        <v>1541</v>
      </c>
      <c r="E3439" t="s">
        <v>2152</v>
      </c>
      <c r="F3439" t="s">
        <v>69</v>
      </c>
      <c r="G3439" s="1">
        <v>19206</v>
      </c>
      <c r="H3439" s="1">
        <v>39489</v>
      </c>
      <c r="I3439" t="str">
        <f t="shared" si="73"/>
        <v>05</v>
      </c>
      <c r="J3439" t="s">
        <v>58</v>
      </c>
      <c r="K3439" t="s">
        <v>98</v>
      </c>
      <c r="L3439" t="s">
        <v>37</v>
      </c>
      <c r="M3439" t="s">
        <v>117</v>
      </c>
      <c r="N3439" s="1">
        <v>41617</v>
      </c>
      <c r="O3439">
        <v>4951.96</v>
      </c>
      <c r="P3439">
        <v>1237.8599999999999</v>
      </c>
      <c r="Q3439" t="s">
        <v>37</v>
      </c>
      <c r="R3439" t="s">
        <v>71</v>
      </c>
      <c r="S3439" t="s">
        <v>522</v>
      </c>
      <c r="T3439" t="s">
        <v>523</v>
      </c>
    </row>
    <row r="3440" spans="1:20" x14ac:dyDescent="0.25">
      <c r="A3440" t="s">
        <v>8315</v>
      </c>
      <c r="B3440" t="str">
        <f>"6552"</f>
        <v>6552</v>
      </c>
      <c r="C3440" t="str">
        <f>"301706552"</f>
        <v>301706552</v>
      </c>
      <c r="D3440" t="s">
        <v>1962</v>
      </c>
      <c r="E3440" t="s">
        <v>8316</v>
      </c>
      <c r="G3440" s="1">
        <v>24518</v>
      </c>
      <c r="H3440" s="1">
        <v>39489</v>
      </c>
      <c r="I3440" t="str">
        <f t="shared" si="73"/>
        <v>05</v>
      </c>
      <c r="J3440" t="s">
        <v>58</v>
      </c>
      <c r="K3440" t="s">
        <v>175</v>
      </c>
      <c r="L3440" t="s">
        <v>37</v>
      </c>
      <c r="M3440" t="s">
        <v>257</v>
      </c>
      <c r="N3440" s="1">
        <v>41617</v>
      </c>
      <c r="O3440">
        <v>11847.94</v>
      </c>
      <c r="P3440">
        <v>2961.92</v>
      </c>
      <c r="Q3440" t="s">
        <v>37</v>
      </c>
      <c r="R3440" t="s">
        <v>29</v>
      </c>
      <c r="S3440" t="s">
        <v>3275</v>
      </c>
      <c r="T3440" t="s">
        <v>3276</v>
      </c>
    </row>
    <row r="3441" spans="1:20" x14ac:dyDescent="0.25">
      <c r="A3441" t="s">
        <v>8317</v>
      </c>
      <c r="B3441" t="str">
        <f>"1174"</f>
        <v>1174</v>
      </c>
      <c r="C3441" t="str">
        <f>"283581174"</f>
        <v>283581174</v>
      </c>
      <c r="D3441" t="s">
        <v>1798</v>
      </c>
      <c r="E3441" t="s">
        <v>900</v>
      </c>
      <c r="G3441" s="1">
        <v>21563</v>
      </c>
      <c r="H3441" s="1">
        <v>39489</v>
      </c>
      <c r="I3441" t="str">
        <f t="shared" si="73"/>
        <v>05</v>
      </c>
      <c r="J3441" t="s">
        <v>58</v>
      </c>
      <c r="K3441" t="s">
        <v>175</v>
      </c>
      <c r="L3441" t="s">
        <v>37</v>
      </c>
      <c r="M3441" t="s">
        <v>117</v>
      </c>
      <c r="N3441" s="1">
        <v>41617</v>
      </c>
      <c r="O3441">
        <v>5288.66</v>
      </c>
      <c r="P3441">
        <v>1322.1</v>
      </c>
      <c r="Q3441" t="s">
        <v>37</v>
      </c>
      <c r="R3441" t="s">
        <v>29</v>
      </c>
      <c r="S3441" t="s">
        <v>3275</v>
      </c>
      <c r="T3441" t="s">
        <v>3276</v>
      </c>
    </row>
    <row r="3442" spans="1:20" x14ac:dyDescent="0.25">
      <c r="A3442" t="s">
        <v>8318</v>
      </c>
      <c r="B3442" t="str">
        <f>"3006"</f>
        <v>3006</v>
      </c>
      <c r="C3442" t="str">
        <f>"297503006"</f>
        <v>297503006</v>
      </c>
      <c r="D3442" t="s">
        <v>582</v>
      </c>
      <c r="E3442" t="s">
        <v>2450</v>
      </c>
      <c r="F3442" t="s">
        <v>28</v>
      </c>
      <c r="G3442" s="1">
        <v>19533</v>
      </c>
      <c r="H3442" s="1">
        <v>39489</v>
      </c>
      <c r="I3442" t="str">
        <f t="shared" si="73"/>
        <v>05</v>
      </c>
      <c r="J3442" t="s">
        <v>58</v>
      </c>
      <c r="K3442" t="s">
        <v>98</v>
      </c>
      <c r="L3442" t="s">
        <v>37</v>
      </c>
      <c r="M3442" t="s">
        <v>257</v>
      </c>
      <c r="N3442" s="1">
        <v>41617</v>
      </c>
      <c r="O3442">
        <v>10753.08</v>
      </c>
      <c r="P3442">
        <v>2688.4</v>
      </c>
      <c r="Q3442" t="s">
        <v>37</v>
      </c>
      <c r="R3442" t="s">
        <v>71</v>
      </c>
      <c r="S3442" t="s">
        <v>522</v>
      </c>
      <c r="T3442" t="s">
        <v>523</v>
      </c>
    </row>
    <row r="3443" spans="1:20" x14ac:dyDescent="0.25">
      <c r="A3443" t="s">
        <v>8319</v>
      </c>
      <c r="B3443" t="str">
        <f>"4559"</f>
        <v>4559</v>
      </c>
      <c r="C3443" t="str">
        <f>"291844559"</f>
        <v>291844559</v>
      </c>
      <c r="D3443" t="s">
        <v>3128</v>
      </c>
      <c r="E3443" t="s">
        <v>463</v>
      </c>
      <c r="F3443" t="s">
        <v>97</v>
      </c>
      <c r="G3443" s="1">
        <v>21691</v>
      </c>
      <c r="H3443" s="1">
        <v>39489</v>
      </c>
      <c r="I3443" t="str">
        <f t="shared" si="73"/>
        <v>05</v>
      </c>
      <c r="J3443" t="s">
        <v>58</v>
      </c>
      <c r="K3443" t="s">
        <v>98</v>
      </c>
      <c r="L3443" t="s">
        <v>37</v>
      </c>
      <c r="M3443" t="s">
        <v>257</v>
      </c>
      <c r="N3443" s="1">
        <v>41617</v>
      </c>
      <c r="O3443">
        <v>10753.08</v>
      </c>
      <c r="P3443">
        <v>2688.4</v>
      </c>
      <c r="Q3443" t="s">
        <v>28</v>
      </c>
      <c r="R3443" t="s">
        <v>29</v>
      </c>
      <c r="S3443" t="s">
        <v>3275</v>
      </c>
      <c r="T3443" t="s">
        <v>3276</v>
      </c>
    </row>
    <row r="3444" spans="1:20" x14ac:dyDescent="0.25">
      <c r="A3444" t="s">
        <v>8320</v>
      </c>
      <c r="B3444" t="str">
        <f>"8736"</f>
        <v>8736</v>
      </c>
      <c r="C3444" t="str">
        <f>"268888736"</f>
        <v>268888736</v>
      </c>
      <c r="D3444" t="s">
        <v>8321</v>
      </c>
      <c r="E3444" t="s">
        <v>8322</v>
      </c>
      <c r="G3444" s="1">
        <v>28986</v>
      </c>
      <c r="H3444" s="1">
        <v>39489</v>
      </c>
      <c r="I3444" t="str">
        <f t="shared" si="73"/>
        <v>05</v>
      </c>
      <c r="J3444" t="s">
        <v>58</v>
      </c>
      <c r="L3444" t="s">
        <v>37</v>
      </c>
      <c r="M3444" t="s">
        <v>143</v>
      </c>
      <c r="N3444" s="1">
        <v>41617</v>
      </c>
      <c r="O3444">
        <v>185.9</v>
      </c>
      <c r="P3444">
        <v>-185.9</v>
      </c>
      <c r="Q3444" t="s">
        <v>37</v>
      </c>
      <c r="R3444" t="s">
        <v>346</v>
      </c>
      <c r="S3444" t="s">
        <v>259</v>
      </c>
      <c r="T3444" t="s">
        <v>260</v>
      </c>
    </row>
    <row r="3445" spans="1:20" x14ac:dyDescent="0.25">
      <c r="A3445" t="s">
        <v>8323</v>
      </c>
      <c r="B3445" t="str">
        <f>"3808"</f>
        <v>3808</v>
      </c>
      <c r="C3445" t="str">
        <f>"290503808"</f>
        <v>290503808</v>
      </c>
      <c r="D3445" t="s">
        <v>8324</v>
      </c>
      <c r="E3445" t="s">
        <v>8325</v>
      </c>
      <c r="F3445" t="s">
        <v>44</v>
      </c>
      <c r="G3445" s="1">
        <v>25835</v>
      </c>
      <c r="H3445" s="1">
        <v>39489</v>
      </c>
      <c r="I3445" t="str">
        <f t="shared" si="73"/>
        <v>05</v>
      </c>
      <c r="J3445" t="s">
        <v>58</v>
      </c>
      <c r="K3445" t="s">
        <v>98</v>
      </c>
      <c r="L3445" t="s">
        <v>37</v>
      </c>
      <c r="M3445" t="s">
        <v>117</v>
      </c>
      <c r="N3445" s="1">
        <v>41617</v>
      </c>
      <c r="O3445">
        <v>4951.96</v>
      </c>
      <c r="P3445">
        <v>1237.8599999999999</v>
      </c>
      <c r="Q3445" t="s">
        <v>37</v>
      </c>
      <c r="R3445" t="s">
        <v>29</v>
      </c>
      <c r="S3445" t="s">
        <v>3275</v>
      </c>
      <c r="T3445" t="s">
        <v>3276</v>
      </c>
    </row>
    <row r="3446" spans="1:20" x14ac:dyDescent="0.25">
      <c r="A3446" t="s">
        <v>8326</v>
      </c>
      <c r="B3446" t="str">
        <f>"2587"</f>
        <v>2587</v>
      </c>
      <c r="C3446" t="str">
        <f>"286502587"</f>
        <v>286502587</v>
      </c>
      <c r="D3446" t="s">
        <v>8077</v>
      </c>
      <c r="E3446" t="s">
        <v>900</v>
      </c>
      <c r="F3446" t="s">
        <v>49</v>
      </c>
      <c r="G3446" s="1">
        <v>18600</v>
      </c>
      <c r="H3446" s="1">
        <v>39489</v>
      </c>
      <c r="I3446" t="str">
        <f t="shared" si="73"/>
        <v>05</v>
      </c>
      <c r="J3446" t="s">
        <v>58</v>
      </c>
      <c r="K3446" t="s">
        <v>98</v>
      </c>
      <c r="L3446" t="s">
        <v>37</v>
      </c>
      <c r="M3446" t="s">
        <v>257</v>
      </c>
      <c r="N3446" s="1">
        <v>41617</v>
      </c>
      <c r="O3446">
        <v>10753.08</v>
      </c>
      <c r="P3446">
        <v>2688.4</v>
      </c>
      <c r="Q3446" t="s">
        <v>37</v>
      </c>
      <c r="R3446" t="s">
        <v>71</v>
      </c>
      <c r="S3446" t="s">
        <v>522</v>
      </c>
      <c r="T3446" t="s">
        <v>523</v>
      </c>
    </row>
    <row r="3447" spans="1:20" x14ac:dyDescent="0.25">
      <c r="A3447" t="s">
        <v>8327</v>
      </c>
      <c r="B3447" t="str">
        <f>"5401"</f>
        <v>5401</v>
      </c>
      <c r="C3447" t="str">
        <f>"275505401"</f>
        <v>275505401</v>
      </c>
      <c r="D3447" t="s">
        <v>4994</v>
      </c>
      <c r="E3447" t="s">
        <v>2450</v>
      </c>
      <c r="G3447" s="1">
        <v>18439</v>
      </c>
      <c r="H3447" s="1">
        <v>39489</v>
      </c>
      <c r="I3447" t="str">
        <f t="shared" si="73"/>
        <v>05</v>
      </c>
      <c r="J3447" t="s">
        <v>58</v>
      </c>
      <c r="K3447" t="s">
        <v>98</v>
      </c>
      <c r="L3447" t="s">
        <v>37</v>
      </c>
      <c r="M3447" t="s">
        <v>257</v>
      </c>
      <c r="N3447" s="1">
        <v>41617</v>
      </c>
      <c r="O3447">
        <v>10753.08</v>
      </c>
      <c r="P3447">
        <v>2688.4</v>
      </c>
      <c r="Q3447" t="s">
        <v>37</v>
      </c>
      <c r="R3447" t="s">
        <v>258</v>
      </c>
      <c r="S3447" t="s">
        <v>259</v>
      </c>
      <c r="T3447" t="s">
        <v>260</v>
      </c>
    </row>
    <row r="3448" spans="1:20" x14ac:dyDescent="0.25">
      <c r="A3448" t="s">
        <v>8328</v>
      </c>
      <c r="B3448" t="str">
        <f>"2534"</f>
        <v>2534</v>
      </c>
      <c r="C3448" t="str">
        <f>"522662534"</f>
        <v>522662534</v>
      </c>
      <c r="D3448" t="s">
        <v>8329</v>
      </c>
      <c r="E3448" t="s">
        <v>7847</v>
      </c>
      <c r="F3448" t="s">
        <v>634</v>
      </c>
      <c r="G3448" s="1">
        <v>21893</v>
      </c>
      <c r="H3448" s="1">
        <v>39489</v>
      </c>
      <c r="I3448" t="str">
        <f t="shared" si="73"/>
        <v>05</v>
      </c>
      <c r="J3448" t="s">
        <v>58</v>
      </c>
      <c r="K3448" t="s">
        <v>98</v>
      </c>
      <c r="L3448" t="s">
        <v>37</v>
      </c>
      <c r="M3448" t="s">
        <v>117</v>
      </c>
      <c r="N3448" s="1">
        <v>41617</v>
      </c>
      <c r="O3448">
        <v>4951.96</v>
      </c>
      <c r="P3448">
        <v>1237.8599999999999</v>
      </c>
      <c r="Q3448" t="s">
        <v>37</v>
      </c>
      <c r="R3448" t="s">
        <v>258</v>
      </c>
      <c r="S3448" t="s">
        <v>259</v>
      </c>
      <c r="T3448" t="s">
        <v>260</v>
      </c>
    </row>
    <row r="3449" spans="1:20" x14ac:dyDescent="0.25">
      <c r="A3449" t="s">
        <v>8330</v>
      </c>
      <c r="B3449" t="str">
        <f>"9951"</f>
        <v>9951</v>
      </c>
      <c r="C3449" t="str">
        <f>"290549951"</f>
        <v>290549951</v>
      </c>
      <c r="D3449" t="s">
        <v>1191</v>
      </c>
      <c r="E3449" t="s">
        <v>769</v>
      </c>
      <c r="F3449" t="s">
        <v>634</v>
      </c>
      <c r="G3449" s="1">
        <v>19839</v>
      </c>
      <c r="H3449" s="1">
        <v>39489</v>
      </c>
      <c r="I3449" t="str">
        <f t="shared" si="73"/>
        <v>05</v>
      </c>
      <c r="J3449" t="s">
        <v>58</v>
      </c>
      <c r="K3449" t="s">
        <v>98</v>
      </c>
      <c r="L3449" t="s">
        <v>37</v>
      </c>
      <c r="M3449" t="s">
        <v>117</v>
      </c>
      <c r="N3449" s="1">
        <v>41617</v>
      </c>
      <c r="O3449">
        <v>4951.96</v>
      </c>
      <c r="P3449">
        <v>1237.8599999999999</v>
      </c>
      <c r="Q3449" t="s">
        <v>37</v>
      </c>
      <c r="R3449" t="s">
        <v>258</v>
      </c>
      <c r="S3449" t="s">
        <v>259</v>
      </c>
      <c r="T3449" t="s">
        <v>260</v>
      </c>
    </row>
    <row r="3450" spans="1:20" x14ac:dyDescent="0.25">
      <c r="A3450" t="s">
        <v>8331</v>
      </c>
      <c r="B3450" t="str">
        <f>"7338"</f>
        <v>7338</v>
      </c>
      <c r="C3450" t="str">
        <f>"296487338"</f>
        <v>296487338</v>
      </c>
      <c r="D3450" t="s">
        <v>122</v>
      </c>
      <c r="E3450" t="s">
        <v>2908</v>
      </c>
      <c r="F3450" t="s">
        <v>219</v>
      </c>
      <c r="G3450" s="1">
        <v>18936</v>
      </c>
      <c r="H3450" s="1">
        <v>39489</v>
      </c>
      <c r="I3450" t="str">
        <f t="shared" si="73"/>
        <v>05</v>
      </c>
      <c r="J3450" t="s">
        <v>58</v>
      </c>
      <c r="K3450" t="s">
        <v>98</v>
      </c>
      <c r="L3450" t="s">
        <v>37</v>
      </c>
      <c r="M3450" t="s">
        <v>117</v>
      </c>
      <c r="N3450" s="1">
        <v>41617</v>
      </c>
      <c r="O3450">
        <v>4951.96</v>
      </c>
      <c r="P3450">
        <v>1237.8599999999999</v>
      </c>
      <c r="Q3450" t="s">
        <v>37</v>
      </c>
      <c r="R3450" t="s">
        <v>29</v>
      </c>
      <c r="S3450" t="s">
        <v>3275</v>
      </c>
      <c r="T3450" t="s">
        <v>3276</v>
      </c>
    </row>
    <row r="3451" spans="1:20" x14ac:dyDescent="0.25">
      <c r="A3451" t="s">
        <v>8332</v>
      </c>
      <c r="B3451" t="str">
        <f>"1892"</f>
        <v>1892</v>
      </c>
      <c r="C3451" t="str">
        <f>"286861892"</f>
        <v>286861892</v>
      </c>
      <c r="D3451" t="s">
        <v>8333</v>
      </c>
      <c r="E3451" t="s">
        <v>8334</v>
      </c>
      <c r="F3451" t="s">
        <v>28</v>
      </c>
      <c r="G3451" s="1">
        <v>29383</v>
      </c>
      <c r="H3451" s="1">
        <v>39489</v>
      </c>
      <c r="I3451" t="str">
        <f t="shared" si="73"/>
        <v>05</v>
      </c>
      <c r="J3451" t="s">
        <v>58</v>
      </c>
      <c r="K3451" t="s">
        <v>510</v>
      </c>
      <c r="L3451" t="s">
        <v>37</v>
      </c>
      <c r="M3451" t="s">
        <v>117</v>
      </c>
      <c r="N3451" s="1">
        <v>41617</v>
      </c>
      <c r="O3451">
        <v>6477.12</v>
      </c>
      <c r="P3451">
        <v>1619.28</v>
      </c>
      <c r="Q3451" t="s">
        <v>28</v>
      </c>
      <c r="R3451" t="s">
        <v>71</v>
      </c>
      <c r="S3451" t="s">
        <v>522</v>
      </c>
      <c r="T3451" t="s">
        <v>523</v>
      </c>
    </row>
    <row r="3452" spans="1:20" x14ac:dyDescent="0.25">
      <c r="A3452" t="s">
        <v>8335</v>
      </c>
      <c r="B3452" t="str">
        <f>"7181"</f>
        <v>7181</v>
      </c>
      <c r="C3452" t="str">
        <f>"292647181"</f>
        <v>292647181</v>
      </c>
      <c r="D3452" t="s">
        <v>2421</v>
      </c>
      <c r="E3452" t="s">
        <v>944</v>
      </c>
      <c r="F3452" t="s">
        <v>93</v>
      </c>
      <c r="G3452" s="1">
        <v>25273</v>
      </c>
      <c r="H3452" s="1">
        <v>39482</v>
      </c>
      <c r="I3452" t="str">
        <f>"01"</f>
        <v>01</v>
      </c>
      <c r="J3452" t="s">
        <v>116</v>
      </c>
      <c r="K3452" t="s">
        <v>98</v>
      </c>
      <c r="L3452" t="s">
        <v>37</v>
      </c>
      <c r="M3452" t="s">
        <v>99</v>
      </c>
      <c r="N3452" s="1">
        <v>41617</v>
      </c>
      <c r="O3452">
        <v>14801.8</v>
      </c>
      <c r="P3452">
        <v>3700.32</v>
      </c>
      <c r="Q3452" t="s">
        <v>28</v>
      </c>
      <c r="R3452" t="s">
        <v>110</v>
      </c>
      <c r="S3452" t="s">
        <v>4077</v>
      </c>
      <c r="T3452" t="s">
        <v>4078</v>
      </c>
    </row>
    <row r="3453" spans="1:20" x14ac:dyDescent="0.25">
      <c r="A3453" t="s">
        <v>8336</v>
      </c>
      <c r="B3453" t="str">
        <f>"7404"</f>
        <v>7404</v>
      </c>
      <c r="C3453" t="str">
        <f>"143387404"</f>
        <v>143387404</v>
      </c>
      <c r="D3453" t="s">
        <v>8337</v>
      </c>
      <c r="E3453" t="s">
        <v>1071</v>
      </c>
      <c r="F3453" t="s">
        <v>28</v>
      </c>
      <c r="G3453" s="1">
        <v>22012</v>
      </c>
      <c r="H3453" s="1">
        <v>39479</v>
      </c>
      <c r="I3453" t="str">
        <f>"51"</f>
        <v>51</v>
      </c>
      <c r="J3453" t="s">
        <v>471</v>
      </c>
      <c r="K3453" t="s">
        <v>25</v>
      </c>
      <c r="L3453" t="s">
        <v>26</v>
      </c>
      <c r="M3453" t="s">
        <v>27</v>
      </c>
      <c r="N3453" s="1">
        <v>18629</v>
      </c>
      <c r="O3453">
        <v>0</v>
      </c>
      <c r="P3453">
        <v>0</v>
      </c>
      <c r="Q3453" t="s">
        <v>37</v>
      </c>
      <c r="R3453" t="s">
        <v>346</v>
      </c>
      <c r="S3453" t="s">
        <v>138</v>
      </c>
      <c r="T3453" t="s">
        <v>139</v>
      </c>
    </row>
    <row r="3454" spans="1:20" x14ac:dyDescent="0.25">
      <c r="A3454" t="s">
        <v>8338</v>
      </c>
      <c r="B3454" t="str">
        <f>"5447"</f>
        <v>5447</v>
      </c>
      <c r="C3454" t="str">
        <f>"061645447"</f>
        <v>061645447</v>
      </c>
      <c r="D3454" t="s">
        <v>8339</v>
      </c>
      <c r="E3454" t="s">
        <v>6565</v>
      </c>
      <c r="G3454" s="1">
        <v>23575</v>
      </c>
      <c r="H3454" s="1">
        <v>39469</v>
      </c>
      <c r="I3454" t="str">
        <f>"03"</f>
        <v>03</v>
      </c>
      <c r="J3454" t="s">
        <v>70</v>
      </c>
      <c r="L3454" t="s">
        <v>37</v>
      </c>
      <c r="M3454" t="s">
        <v>143</v>
      </c>
      <c r="N3454" s="1">
        <v>41617</v>
      </c>
      <c r="O3454">
        <v>185.9</v>
      </c>
      <c r="P3454">
        <v>-185.9</v>
      </c>
      <c r="Q3454" t="s">
        <v>28</v>
      </c>
      <c r="R3454" t="s">
        <v>312</v>
      </c>
      <c r="S3454" t="s">
        <v>8340</v>
      </c>
      <c r="T3454" t="s">
        <v>8341</v>
      </c>
    </row>
    <row r="3455" spans="1:20" x14ac:dyDescent="0.25">
      <c r="A3455" t="s">
        <v>8342</v>
      </c>
      <c r="B3455" t="str">
        <f>"0831"</f>
        <v>0831</v>
      </c>
      <c r="C3455" t="str">
        <f>"245170831"</f>
        <v>245170831</v>
      </c>
      <c r="D3455" t="s">
        <v>5230</v>
      </c>
      <c r="E3455" t="s">
        <v>2290</v>
      </c>
      <c r="F3455" t="s">
        <v>28</v>
      </c>
      <c r="G3455" s="1">
        <v>24747</v>
      </c>
      <c r="H3455" s="1">
        <v>39469</v>
      </c>
      <c r="I3455" t="str">
        <f>"12"</f>
        <v>12</v>
      </c>
      <c r="J3455" t="s">
        <v>245</v>
      </c>
      <c r="K3455" t="s">
        <v>98</v>
      </c>
      <c r="L3455" t="s">
        <v>37</v>
      </c>
      <c r="M3455" t="s">
        <v>99</v>
      </c>
      <c r="N3455" s="1">
        <v>41617</v>
      </c>
      <c r="O3455">
        <v>14801.8</v>
      </c>
      <c r="P3455">
        <v>3700.32</v>
      </c>
      <c r="Q3455" t="s">
        <v>28</v>
      </c>
      <c r="R3455" t="s">
        <v>29</v>
      </c>
      <c r="S3455" t="s">
        <v>691</v>
      </c>
      <c r="T3455" t="s">
        <v>692</v>
      </c>
    </row>
    <row r="3456" spans="1:20" x14ac:dyDescent="0.25">
      <c r="A3456" t="s">
        <v>8343</v>
      </c>
      <c r="B3456" t="str">
        <f>"9398"</f>
        <v>9398</v>
      </c>
      <c r="C3456" t="str">
        <f>"295929398"</f>
        <v>295929398</v>
      </c>
      <c r="D3456" t="s">
        <v>1535</v>
      </c>
      <c r="E3456" t="s">
        <v>156</v>
      </c>
      <c r="F3456" t="s">
        <v>256</v>
      </c>
      <c r="G3456" s="1">
        <v>29998</v>
      </c>
      <c r="H3456" s="1">
        <v>39464</v>
      </c>
      <c r="I3456" t="str">
        <f>"51"</f>
        <v>51</v>
      </c>
      <c r="J3456" t="s">
        <v>471</v>
      </c>
      <c r="K3456" t="s">
        <v>25</v>
      </c>
      <c r="L3456" t="s">
        <v>26</v>
      </c>
      <c r="M3456" t="s">
        <v>27</v>
      </c>
      <c r="N3456" s="1">
        <v>18629</v>
      </c>
      <c r="O3456">
        <v>0</v>
      </c>
      <c r="P3456">
        <v>0</v>
      </c>
      <c r="Q3456" t="s">
        <v>37</v>
      </c>
      <c r="R3456" t="s">
        <v>29</v>
      </c>
      <c r="S3456" t="s">
        <v>138</v>
      </c>
      <c r="T3456" t="s">
        <v>139</v>
      </c>
    </row>
    <row r="3457" spans="1:20" x14ac:dyDescent="0.25">
      <c r="A3457" t="s">
        <v>8344</v>
      </c>
      <c r="B3457" t="str">
        <f>"1964"</f>
        <v>1964</v>
      </c>
      <c r="C3457" t="str">
        <f>"282781964"</f>
        <v>282781964</v>
      </c>
      <c r="D3457" t="s">
        <v>8345</v>
      </c>
      <c r="E3457" t="s">
        <v>335</v>
      </c>
      <c r="F3457" t="s">
        <v>33</v>
      </c>
      <c r="G3457" s="1">
        <v>29642</v>
      </c>
      <c r="H3457" s="1">
        <v>39462</v>
      </c>
      <c r="I3457" t="str">
        <f>"52"</f>
        <v>52</v>
      </c>
      <c r="J3457" t="s">
        <v>330</v>
      </c>
      <c r="K3457" t="s">
        <v>25</v>
      </c>
      <c r="L3457" t="s">
        <v>26</v>
      </c>
      <c r="M3457" t="s">
        <v>27</v>
      </c>
      <c r="N3457" s="1">
        <v>18629</v>
      </c>
      <c r="O3457">
        <v>0</v>
      </c>
      <c r="P3457">
        <v>0</v>
      </c>
      <c r="Q3457" t="s">
        <v>28</v>
      </c>
      <c r="R3457" t="s">
        <v>71</v>
      </c>
      <c r="S3457" t="s">
        <v>1774</v>
      </c>
      <c r="T3457" t="s">
        <v>1775</v>
      </c>
    </row>
    <row r="3458" spans="1:20" x14ac:dyDescent="0.25">
      <c r="A3458" t="s">
        <v>8346</v>
      </c>
      <c r="B3458" t="str">
        <f>"7713"</f>
        <v>7713</v>
      </c>
      <c r="C3458" t="str">
        <f>"291607713"</f>
        <v>291607713</v>
      </c>
      <c r="D3458" t="s">
        <v>8347</v>
      </c>
      <c r="E3458" t="s">
        <v>430</v>
      </c>
      <c r="F3458" t="s">
        <v>414</v>
      </c>
      <c r="G3458" s="1">
        <v>22355</v>
      </c>
      <c r="H3458" s="1">
        <v>39461</v>
      </c>
      <c r="I3458" t="str">
        <f>"52"</f>
        <v>52</v>
      </c>
      <c r="J3458" t="s">
        <v>330</v>
      </c>
      <c r="K3458" t="s">
        <v>25</v>
      </c>
      <c r="L3458" t="s">
        <v>26</v>
      </c>
      <c r="M3458" t="s">
        <v>27</v>
      </c>
      <c r="N3458" s="1">
        <v>18629</v>
      </c>
      <c r="O3458">
        <v>0</v>
      </c>
      <c r="P3458">
        <v>0</v>
      </c>
      <c r="Q3458" t="s">
        <v>28</v>
      </c>
      <c r="R3458" t="s">
        <v>51</v>
      </c>
      <c r="S3458" t="s">
        <v>4000</v>
      </c>
      <c r="T3458" t="s">
        <v>4001</v>
      </c>
    </row>
    <row r="3459" spans="1:20" x14ac:dyDescent="0.25">
      <c r="A3459" t="s">
        <v>8348</v>
      </c>
      <c r="B3459" t="str">
        <f>"6483"</f>
        <v>6483</v>
      </c>
      <c r="C3459" t="str">
        <f>"297686483"</f>
        <v>297686483</v>
      </c>
      <c r="D3459" t="s">
        <v>597</v>
      </c>
      <c r="E3459" t="s">
        <v>304</v>
      </c>
      <c r="F3459" t="s">
        <v>69</v>
      </c>
      <c r="G3459" s="1">
        <v>24357</v>
      </c>
      <c r="H3459" s="1">
        <v>39459</v>
      </c>
      <c r="I3459" t="str">
        <f>"41"</f>
        <v>41</v>
      </c>
      <c r="J3459" t="s">
        <v>24</v>
      </c>
      <c r="K3459" t="s">
        <v>25</v>
      </c>
      <c r="L3459" t="s">
        <v>26</v>
      </c>
      <c r="M3459" t="s">
        <v>27</v>
      </c>
      <c r="N3459" s="1">
        <v>18629</v>
      </c>
      <c r="O3459">
        <v>0</v>
      </c>
      <c r="P3459">
        <v>0</v>
      </c>
      <c r="Q3459" t="s">
        <v>28</v>
      </c>
      <c r="R3459" t="s">
        <v>71</v>
      </c>
      <c r="S3459" t="s">
        <v>83</v>
      </c>
      <c r="T3459" t="s">
        <v>84</v>
      </c>
    </row>
    <row r="3460" spans="1:20" x14ac:dyDescent="0.25">
      <c r="A3460" t="s">
        <v>8349</v>
      </c>
      <c r="B3460" t="str">
        <f>"1184"</f>
        <v>1184</v>
      </c>
      <c r="C3460" t="str">
        <f>"132501184"</f>
        <v>132501184</v>
      </c>
      <c r="D3460" t="s">
        <v>8350</v>
      </c>
      <c r="E3460" t="s">
        <v>8351</v>
      </c>
      <c r="F3460" t="s">
        <v>239</v>
      </c>
      <c r="G3460" s="1">
        <v>21307</v>
      </c>
      <c r="H3460" s="1">
        <v>39459</v>
      </c>
      <c r="I3460" t="str">
        <f t="shared" ref="I3460:I3470" si="74">"51"</f>
        <v>51</v>
      </c>
      <c r="J3460" t="s">
        <v>471</v>
      </c>
      <c r="K3460" t="s">
        <v>25</v>
      </c>
      <c r="L3460" t="s">
        <v>26</v>
      </c>
      <c r="M3460" t="s">
        <v>27</v>
      </c>
      <c r="N3460" s="1">
        <v>18629</v>
      </c>
      <c r="O3460">
        <v>0</v>
      </c>
      <c r="P3460">
        <v>0</v>
      </c>
      <c r="Q3460" t="s">
        <v>37</v>
      </c>
      <c r="R3460" t="s">
        <v>29</v>
      </c>
      <c r="S3460" t="s">
        <v>138</v>
      </c>
      <c r="T3460" t="s">
        <v>139</v>
      </c>
    </row>
    <row r="3461" spans="1:20" x14ac:dyDescent="0.25">
      <c r="A3461" t="s">
        <v>8352</v>
      </c>
      <c r="B3461" t="str">
        <f>"6603"</f>
        <v>6603</v>
      </c>
      <c r="C3461" t="str">
        <f>"291646603"</f>
        <v>291646603</v>
      </c>
      <c r="D3461" t="s">
        <v>553</v>
      </c>
      <c r="E3461" t="s">
        <v>35</v>
      </c>
      <c r="F3461" t="s">
        <v>37</v>
      </c>
      <c r="G3461" s="1">
        <v>26943</v>
      </c>
      <c r="H3461" s="1">
        <v>39459</v>
      </c>
      <c r="I3461" t="str">
        <f t="shared" si="74"/>
        <v>51</v>
      </c>
      <c r="J3461" t="s">
        <v>471</v>
      </c>
      <c r="K3461" t="s">
        <v>25</v>
      </c>
      <c r="L3461" t="s">
        <v>26</v>
      </c>
      <c r="M3461" t="s">
        <v>27</v>
      </c>
      <c r="N3461" s="1">
        <v>18629</v>
      </c>
      <c r="O3461">
        <v>0</v>
      </c>
      <c r="P3461">
        <v>0</v>
      </c>
      <c r="Q3461" t="s">
        <v>28</v>
      </c>
      <c r="R3461" t="s">
        <v>71</v>
      </c>
      <c r="S3461" t="s">
        <v>6172</v>
      </c>
      <c r="T3461" t="s">
        <v>6173</v>
      </c>
    </row>
    <row r="3462" spans="1:20" x14ac:dyDescent="0.25">
      <c r="A3462" t="s">
        <v>8353</v>
      </c>
      <c r="B3462" t="str">
        <f>"6255"</f>
        <v>6255</v>
      </c>
      <c r="C3462" t="str">
        <f>"270586255"</f>
        <v>270586255</v>
      </c>
      <c r="D3462" t="s">
        <v>398</v>
      </c>
      <c r="E3462" t="s">
        <v>1372</v>
      </c>
      <c r="F3462" t="s">
        <v>164</v>
      </c>
      <c r="G3462" s="1">
        <v>22377</v>
      </c>
      <c r="H3462" s="1">
        <v>39459</v>
      </c>
      <c r="I3462" t="str">
        <f t="shared" si="74"/>
        <v>51</v>
      </c>
      <c r="J3462" t="s">
        <v>471</v>
      </c>
      <c r="K3462" t="s">
        <v>25</v>
      </c>
      <c r="L3462" t="s">
        <v>26</v>
      </c>
      <c r="M3462" t="s">
        <v>27</v>
      </c>
      <c r="N3462" s="1">
        <v>18629</v>
      </c>
      <c r="O3462">
        <v>0</v>
      </c>
      <c r="P3462">
        <v>0</v>
      </c>
      <c r="Q3462" t="s">
        <v>37</v>
      </c>
      <c r="R3462" t="s">
        <v>71</v>
      </c>
      <c r="S3462" t="s">
        <v>72</v>
      </c>
      <c r="T3462" t="s">
        <v>73</v>
      </c>
    </row>
    <row r="3463" spans="1:20" x14ac:dyDescent="0.25">
      <c r="A3463" t="s">
        <v>8354</v>
      </c>
      <c r="B3463" t="str">
        <f>"4345"</f>
        <v>4345</v>
      </c>
      <c r="C3463" t="str">
        <f>"300544345"</f>
        <v>300544345</v>
      </c>
      <c r="D3463" t="s">
        <v>8355</v>
      </c>
      <c r="E3463" t="s">
        <v>899</v>
      </c>
      <c r="F3463" t="s">
        <v>44</v>
      </c>
      <c r="G3463" s="1">
        <v>20121</v>
      </c>
      <c r="H3463" s="1">
        <v>39459</v>
      </c>
      <c r="I3463" t="str">
        <f t="shared" si="74"/>
        <v>51</v>
      </c>
      <c r="J3463" t="s">
        <v>471</v>
      </c>
      <c r="K3463" t="s">
        <v>25</v>
      </c>
      <c r="L3463" t="s">
        <v>26</v>
      </c>
      <c r="M3463" t="s">
        <v>27</v>
      </c>
      <c r="N3463" s="1">
        <v>18629</v>
      </c>
      <c r="O3463">
        <v>0</v>
      </c>
      <c r="P3463">
        <v>0</v>
      </c>
      <c r="Q3463" t="s">
        <v>37</v>
      </c>
      <c r="R3463" t="s">
        <v>29</v>
      </c>
      <c r="S3463" t="s">
        <v>251</v>
      </c>
      <c r="T3463" t="s">
        <v>252</v>
      </c>
    </row>
    <row r="3464" spans="1:20" x14ac:dyDescent="0.25">
      <c r="A3464" t="s">
        <v>8356</v>
      </c>
      <c r="B3464" t="str">
        <f>"6994"</f>
        <v>6994</v>
      </c>
      <c r="C3464" t="str">
        <f>"293466994"</f>
        <v>293466994</v>
      </c>
      <c r="D3464" t="s">
        <v>8357</v>
      </c>
      <c r="E3464" t="s">
        <v>933</v>
      </c>
      <c r="F3464" t="s">
        <v>93</v>
      </c>
      <c r="G3464" s="1">
        <v>18439</v>
      </c>
      <c r="H3464" s="1">
        <v>39459</v>
      </c>
      <c r="I3464" t="str">
        <f t="shared" si="74"/>
        <v>51</v>
      </c>
      <c r="J3464" t="s">
        <v>471</v>
      </c>
      <c r="K3464" t="s">
        <v>25</v>
      </c>
      <c r="L3464" t="s">
        <v>26</v>
      </c>
      <c r="M3464" t="s">
        <v>27</v>
      </c>
      <c r="N3464" s="1">
        <v>18629</v>
      </c>
      <c r="O3464">
        <v>0</v>
      </c>
      <c r="P3464">
        <v>0</v>
      </c>
      <c r="Q3464" t="s">
        <v>28</v>
      </c>
      <c r="R3464" t="s">
        <v>71</v>
      </c>
      <c r="S3464" t="s">
        <v>305</v>
      </c>
      <c r="T3464" t="s">
        <v>306</v>
      </c>
    </row>
    <row r="3465" spans="1:20" x14ac:dyDescent="0.25">
      <c r="A3465" t="s">
        <v>8358</v>
      </c>
      <c r="B3465" t="str">
        <f>"9192"</f>
        <v>9192</v>
      </c>
      <c r="C3465" t="str">
        <f>"273869192"</f>
        <v>273869192</v>
      </c>
      <c r="D3465" t="s">
        <v>8359</v>
      </c>
      <c r="E3465" t="s">
        <v>1305</v>
      </c>
      <c r="F3465" t="s">
        <v>28</v>
      </c>
      <c r="G3465" s="1">
        <v>28954</v>
      </c>
      <c r="H3465" s="1">
        <v>39459</v>
      </c>
      <c r="I3465" t="str">
        <f t="shared" si="74"/>
        <v>51</v>
      </c>
      <c r="J3465" t="s">
        <v>471</v>
      </c>
      <c r="K3465" t="s">
        <v>25</v>
      </c>
      <c r="L3465" t="s">
        <v>26</v>
      </c>
      <c r="M3465" t="s">
        <v>27</v>
      </c>
      <c r="N3465" s="1">
        <v>18629</v>
      </c>
      <c r="O3465">
        <v>0</v>
      </c>
      <c r="P3465">
        <v>0</v>
      </c>
      <c r="Q3465" t="s">
        <v>28</v>
      </c>
      <c r="R3465" t="s">
        <v>258</v>
      </c>
      <c r="S3465" t="s">
        <v>472</v>
      </c>
      <c r="T3465" t="s">
        <v>473</v>
      </c>
    </row>
    <row r="3466" spans="1:20" x14ac:dyDescent="0.25">
      <c r="A3466" t="s">
        <v>8360</v>
      </c>
      <c r="B3466" t="str">
        <f>"7874"</f>
        <v>7874</v>
      </c>
      <c r="C3466" t="str">
        <f>"286137874"</f>
        <v>286137874</v>
      </c>
      <c r="D3466" t="s">
        <v>8361</v>
      </c>
      <c r="E3466" t="s">
        <v>8362</v>
      </c>
      <c r="G3466" s="1">
        <v>28426</v>
      </c>
      <c r="H3466" s="1">
        <v>39459</v>
      </c>
      <c r="I3466" t="str">
        <f t="shared" si="74"/>
        <v>51</v>
      </c>
      <c r="J3466" t="s">
        <v>471</v>
      </c>
      <c r="K3466" t="s">
        <v>25</v>
      </c>
      <c r="L3466" t="s">
        <v>26</v>
      </c>
      <c r="M3466" t="s">
        <v>27</v>
      </c>
      <c r="N3466" s="1">
        <v>18629</v>
      </c>
      <c r="O3466">
        <v>0</v>
      </c>
      <c r="P3466">
        <v>0</v>
      </c>
      <c r="Q3466" t="s">
        <v>37</v>
      </c>
      <c r="R3466" t="s">
        <v>71</v>
      </c>
      <c r="S3466" t="s">
        <v>1681</v>
      </c>
      <c r="T3466" t="s">
        <v>1682</v>
      </c>
    </row>
    <row r="3467" spans="1:20" x14ac:dyDescent="0.25">
      <c r="A3467" t="s">
        <v>8363</v>
      </c>
      <c r="B3467" t="str">
        <f>"3179"</f>
        <v>3179</v>
      </c>
      <c r="C3467" t="str">
        <f>"468923179"</f>
        <v>468923179</v>
      </c>
      <c r="D3467" t="s">
        <v>8364</v>
      </c>
      <c r="E3467" t="s">
        <v>128</v>
      </c>
      <c r="F3467" t="s">
        <v>93</v>
      </c>
      <c r="G3467" s="1">
        <v>19790</v>
      </c>
      <c r="H3467" s="1">
        <v>39459</v>
      </c>
      <c r="I3467" t="str">
        <f t="shared" si="74"/>
        <v>51</v>
      </c>
      <c r="J3467" t="s">
        <v>471</v>
      </c>
      <c r="K3467" t="s">
        <v>25</v>
      </c>
      <c r="L3467" t="s">
        <v>26</v>
      </c>
      <c r="M3467" t="s">
        <v>27</v>
      </c>
      <c r="N3467" s="1">
        <v>18629</v>
      </c>
      <c r="O3467">
        <v>0</v>
      </c>
      <c r="P3467">
        <v>0</v>
      </c>
      <c r="Q3467" t="s">
        <v>37</v>
      </c>
      <c r="R3467" t="s">
        <v>29</v>
      </c>
      <c r="S3467" t="s">
        <v>6647</v>
      </c>
      <c r="T3467" t="s">
        <v>6648</v>
      </c>
    </row>
    <row r="3468" spans="1:20" x14ac:dyDescent="0.25">
      <c r="A3468" t="s">
        <v>8365</v>
      </c>
      <c r="B3468" t="str">
        <f>"4269"</f>
        <v>4269</v>
      </c>
      <c r="C3468" t="str">
        <f>"286624269"</f>
        <v>286624269</v>
      </c>
      <c r="D3468" t="s">
        <v>8366</v>
      </c>
      <c r="E3468" t="s">
        <v>137</v>
      </c>
      <c r="F3468" t="s">
        <v>28</v>
      </c>
      <c r="G3468" s="1">
        <v>26625</v>
      </c>
      <c r="H3468" s="1">
        <v>39459</v>
      </c>
      <c r="I3468" t="str">
        <f t="shared" si="74"/>
        <v>51</v>
      </c>
      <c r="J3468" t="s">
        <v>471</v>
      </c>
      <c r="K3468" t="s">
        <v>25</v>
      </c>
      <c r="L3468" t="s">
        <v>26</v>
      </c>
      <c r="M3468" t="s">
        <v>27</v>
      </c>
      <c r="N3468" s="1">
        <v>18629</v>
      </c>
      <c r="O3468">
        <v>0</v>
      </c>
      <c r="P3468">
        <v>0</v>
      </c>
      <c r="Q3468" t="s">
        <v>37</v>
      </c>
      <c r="R3468" t="s">
        <v>71</v>
      </c>
      <c r="S3468" s="2" t="s">
        <v>774</v>
      </c>
      <c r="T3468" t="s">
        <v>775</v>
      </c>
    </row>
    <row r="3469" spans="1:20" x14ac:dyDescent="0.25">
      <c r="A3469" t="s">
        <v>8367</v>
      </c>
      <c r="B3469" t="str">
        <f>"7430"</f>
        <v>7430</v>
      </c>
      <c r="C3469" t="str">
        <f>"305527430"</f>
        <v>305527430</v>
      </c>
      <c r="D3469" t="s">
        <v>8368</v>
      </c>
      <c r="E3469" t="s">
        <v>92</v>
      </c>
      <c r="G3469" s="1">
        <v>18785</v>
      </c>
      <c r="H3469" s="1">
        <v>39459</v>
      </c>
      <c r="I3469" t="str">
        <f t="shared" si="74"/>
        <v>51</v>
      </c>
      <c r="J3469" t="s">
        <v>471</v>
      </c>
      <c r="K3469" t="s">
        <v>25</v>
      </c>
      <c r="L3469" t="s">
        <v>26</v>
      </c>
      <c r="M3469" t="s">
        <v>27</v>
      </c>
      <c r="N3469" s="1">
        <v>18629</v>
      </c>
      <c r="O3469">
        <v>0</v>
      </c>
      <c r="P3469">
        <v>0</v>
      </c>
      <c r="Q3469" t="s">
        <v>37</v>
      </c>
      <c r="R3469" t="s">
        <v>51</v>
      </c>
      <c r="S3469" s="2" t="s">
        <v>4118</v>
      </c>
      <c r="T3469" t="s">
        <v>4119</v>
      </c>
    </row>
    <row r="3470" spans="1:20" x14ac:dyDescent="0.25">
      <c r="A3470" t="s">
        <v>8369</v>
      </c>
      <c r="B3470" t="str">
        <f>"1496"</f>
        <v>1496</v>
      </c>
      <c r="C3470" t="str">
        <f>"015821496"</f>
        <v>015821496</v>
      </c>
      <c r="D3470" t="s">
        <v>8370</v>
      </c>
      <c r="E3470" t="s">
        <v>8371</v>
      </c>
      <c r="F3470" t="s">
        <v>8006</v>
      </c>
      <c r="G3470" s="1">
        <v>26938</v>
      </c>
      <c r="H3470" s="1">
        <v>39459</v>
      </c>
      <c r="I3470" t="str">
        <f t="shared" si="74"/>
        <v>51</v>
      </c>
      <c r="J3470" t="s">
        <v>471</v>
      </c>
      <c r="K3470" t="s">
        <v>25</v>
      </c>
      <c r="L3470" t="s">
        <v>26</v>
      </c>
      <c r="M3470" t="s">
        <v>27</v>
      </c>
      <c r="N3470" s="1">
        <v>18629</v>
      </c>
      <c r="O3470">
        <v>0</v>
      </c>
      <c r="P3470">
        <v>0</v>
      </c>
      <c r="Q3470" t="s">
        <v>37</v>
      </c>
      <c r="R3470" t="s">
        <v>29</v>
      </c>
      <c r="S3470" t="s">
        <v>1427</v>
      </c>
      <c r="T3470" t="s">
        <v>1428</v>
      </c>
    </row>
    <row r="3471" spans="1:20" x14ac:dyDescent="0.25">
      <c r="A3471" t="s">
        <v>8372</v>
      </c>
      <c r="B3471" t="str">
        <f>"3193"</f>
        <v>3193</v>
      </c>
      <c r="C3471" t="str">
        <f>"278863193"</f>
        <v>278863193</v>
      </c>
      <c r="D3471" t="s">
        <v>8373</v>
      </c>
      <c r="E3471" t="s">
        <v>8374</v>
      </c>
      <c r="G3471" s="1">
        <v>27289</v>
      </c>
      <c r="H3471" s="1">
        <v>39459</v>
      </c>
      <c r="I3471" t="str">
        <f>"50"</f>
        <v>50</v>
      </c>
      <c r="J3471" t="s">
        <v>208</v>
      </c>
      <c r="K3471" t="s">
        <v>25</v>
      </c>
      <c r="L3471" t="s">
        <v>26</v>
      </c>
      <c r="M3471" t="s">
        <v>27</v>
      </c>
      <c r="N3471" s="1">
        <v>18629</v>
      </c>
      <c r="O3471">
        <v>0</v>
      </c>
      <c r="P3471">
        <v>0</v>
      </c>
      <c r="Q3471" t="s">
        <v>28</v>
      </c>
      <c r="R3471" t="s">
        <v>258</v>
      </c>
      <c r="S3471" t="s">
        <v>472</v>
      </c>
      <c r="T3471" t="s">
        <v>473</v>
      </c>
    </row>
    <row r="3472" spans="1:20" x14ac:dyDescent="0.25">
      <c r="A3472" t="s">
        <v>8375</v>
      </c>
      <c r="B3472" t="str">
        <f>"5308"</f>
        <v>5308</v>
      </c>
      <c r="C3472" t="str">
        <f>"269445308"</f>
        <v>269445308</v>
      </c>
      <c r="D3472" t="s">
        <v>8376</v>
      </c>
      <c r="E3472" t="s">
        <v>6944</v>
      </c>
      <c r="F3472" t="s">
        <v>3934</v>
      </c>
      <c r="G3472" s="1">
        <v>17201</v>
      </c>
      <c r="H3472" s="1">
        <v>39459</v>
      </c>
      <c r="I3472" t="str">
        <f t="shared" ref="I3472:I3478" si="75">"51"</f>
        <v>51</v>
      </c>
      <c r="J3472" t="s">
        <v>471</v>
      </c>
      <c r="K3472" t="s">
        <v>25</v>
      </c>
      <c r="L3472" t="s">
        <v>26</v>
      </c>
      <c r="M3472" t="s">
        <v>27</v>
      </c>
      <c r="N3472" s="1">
        <v>18629</v>
      </c>
      <c r="O3472">
        <v>0</v>
      </c>
      <c r="P3472">
        <v>0</v>
      </c>
      <c r="Q3472" t="s">
        <v>37</v>
      </c>
      <c r="R3472" t="s">
        <v>29</v>
      </c>
      <c r="S3472" t="s">
        <v>2732</v>
      </c>
      <c r="T3472" t="s">
        <v>2733</v>
      </c>
    </row>
    <row r="3473" spans="1:20" x14ac:dyDescent="0.25">
      <c r="A3473" t="s">
        <v>8377</v>
      </c>
      <c r="B3473" t="str">
        <f>"5996"</f>
        <v>5996</v>
      </c>
      <c r="C3473" t="str">
        <f>"293565996"</f>
        <v>293565996</v>
      </c>
      <c r="D3473" t="s">
        <v>3921</v>
      </c>
      <c r="E3473" t="s">
        <v>1071</v>
      </c>
      <c r="F3473" t="s">
        <v>28</v>
      </c>
      <c r="G3473" s="1">
        <v>25680</v>
      </c>
      <c r="H3473" s="1">
        <v>39459</v>
      </c>
      <c r="I3473" t="str">
        <f t="shared" si="75"/>
        <v>51</v>
      </c>
      <c r="J3473" t="s">
        <v>471</v>
      </c>
      <c r="K3473" t="s">
        <v>25</v>
      </c>
      <c r="L3473" t="s">
        <v>26</v>
      </c>
      <c r="M3473" t="s">
        <v>27</v>
      </c>
      <c r="N3473" s="1">
        <v>18629</v>
      </c>
      <c r="O3473">
        <v>0</v>
      </c>
      <c r="P3473">
        <v>0</v>
      </c>
      <c r="Q3473" t="s">
        <v>37</v>
      </c>
      <c r="R3473" t="s">
        <v>71</v>
      </c>
      <c r="S3473" t="s">
        <v>5022</v>
      </c>
      <c r="T3473" t="s">
        <v>5023</v>
      </c>
    </row>
    <row r="3474" spans="1:20" x14ac:dyDescent="0.25">
      <c r="A3474" t="s">
        <v>8378</v>
      </c>
      <c r="B3474" t="str">
        <f>"4802"</f>
        <v>4802</v>
      </c>
      <c r="C3474" t="str">
        <f>"278884802"</f>
        <v>278884802</v>
      </c>
      <c r="D3474" t="s">
        <v>2938</v>
      </c>
      <c r="E3474" t="s">
        <v>351</v>
      </c>
      <c r="F3474" t="s">
        <v>282</v>
      </c>
      <c r="G3474" s="1">
        <v>29286</v>
      </c>
      <c r="H3474" s="1">
        <v>39459</v>
      </c>
      <c r="I3474" t="str">
        <f t="shared" si="75"/>
        <v>51</v>
      </c>
      <c r="J3474" t="s">
        <v>471</v>
      </c>
      <c r="K3474" t="s">
        <v>25</v>
      </c>
      <c r="L3474" t="s">
        <v>26</v>
      </c>
      <c r="M3474" t="s">
        <v>27</v>
      </c>
      <c r="N3474" s="1">
        <v>18629</v>
      </c>
      <c r="O3474">
        <v>0</v>
      </c>
      <c r="P3474">
        <v>0</v>
      </c>
      <c r="Q3474" t="s">
        <v>28</v>
      </c>
      <c r="R3474" t="s">
        <v>71</v>
      </c>
      <c r="S3474" t="s">
        <v>1474</v>
      </c>
      <c r="T3474" t="s">
        <v>1475</v>
      </c>
    </row>
    <row r="3475" spans="1:20" x14ac:dyDescent="0.25">
      <c r="A3475" t="s">
        <v>8379</v>
      </c>
      <c r="B3475" t="str">
        <f>"7955"</f>
        <v>7955</v>
      </c>
      <c r="C3475" t="str">
        <f>"298807955"</f>
        <v>298807955</v>
      </c>
      <c r="D3475" t="s">
        <v>8380</v>
      </c>
      <c r="E3475" t="s">
        <v>4259</v>
      </c>
      <c r="F3475" t="s">
        <v>37</v>
      </c>
      <c r="G3475" s="1">
        <v>24621</v>
      </c>
      <c r="H3475" s="1">
        <v>39459</v>
      </c>
      <c r="I3475" t="str">
        <f t="shared" si="75"/>
        <v>51</v>
      </c>
      <c r="J3475" t="s">
        <v>471</v>
      </c>
      <c r="K3475" t="s">
        <v>25</v>
      </c>
      <c r="L3475" t="s">
        <v>26</v>
      </c>
      <c r="M3475" t="s">
        <v>27</v>
      </c>
      <c r="N3475" s="1">
        <v>18629</v>
      </c>
      <c r="O3475">
        <v>0</v>
      </c>
      <c r="P3475">
        <v>0</v>
      </c>
      <c r="Q3475" t="s">
        <v>28</v>
      </c>
      <c r="R3475" t="s">
        <v>29</v>
      </c>
      <c r="S3475" t="s">
        <v>124</v>
      </c>
      <c r="T3475" t="s">
        <v>125</v>
      </c>
    </row>
    <row r="3476" spans="1:20" x14ac:dyDescent="0.25">
      <c r="A3476" t="s">
        <v>8381</v>
      </c>
      <c r="B3476" t="str">
        <f>"8714"</f>
        <v>8714</v>
      </c>
      <c r="C3476" t="str">
        <f>"269488714"</f>
        <v>269488714</v>
      </c>
      <c r="D3476" t="s">
        <v>8382</v>
      </c>
      <c r="E3476" t="s">
        <v>8383</v>
      </c>
      <c r="G3476" s="1">
        <v>18069</v>
      </c>
      <c r="H3476" s="1">
        <v>39459</v>
      </c>
      <c r="I3476" t="str">
        <f t="shared" si="75"/>
        <v>51</v>
      </c>
      <c r="J3476" t="s">
        <v>471</v>
      </c>
      <c r="K3476" t="s">
        <v>25</v>
      </c>
      <c r="L3476" t="s">
        <v>26</v>
      </c>
      <c r="M3476" t="s">
        <v>27</v>
      </c>
      <c r="N3476" s="1">
        <v>18629</v>
      </c>
      <c r="O3476">
        <v>0</v>
      </c>
      <c r="P3476">
        <v>0</v>
      </c>
      <c r="Q3476" t="s">
        <v>37</v>
      </c>
      <c r="R3476" t="s">
        <v>29</v>
      </c>
      <c r="S3476" t="s">
        <v>6614</v>
      </c>
      <c r="T3476" t="s">
        <v>6615</v>
      </c>
    </row>
    <row r="3477" spans="1:20" x14ac:dyDescent="0.25">
      <c r="A3477" t="s">
        <v>8384</v>
      </c>
      <c r="B3477" t="str">
        <f>"1762"</f>
        <v>1762</v>
      </c>
      <c r="C3477" t="str">
        <f>"277701762"</f>
        <v>277701762</v>
      </c>
      <c r="D3477" t="s">
        <v>881</v>
      </c>
      <c r="E3477" t="s">
        <v>3747</v>
      </c>
      <c r="F3477" t="s">
        <v>44</v>
      </c>
      <c r="G3477" s="1">
        <v>23194</v>
      </c>
      <c r="H3477" s="1">
        <v>39459</v>
      </c>
      <c r="I3477" t="str">
        <f t="shared" si="75"/>
        <v>51</v>
      </c>
      <c r="J3477" t="s">
        <v>471</v>
      </c>
      <c r="K3477" t="s">
        <v>25</v>
      </c>
      <c r="L3477" t="s">
        <v>26</v>
      </c>
      <c r="M3477" t="s">
        <v>27</v>
      </c>
      <c r="N3477" s="1">
        <v>18629</v>
      </c>
      <c r="O3477">
        <v>0</v>
      </c>
      <c r="P3477">
        <v>0</v>
      </c>
      <c r="Q3477" t="s">
        <v>28</v>
      </c>
      <c r="R3477" t="s">
        <v>51</v>
      </c>
      <c r="S3477" s="2" t="s">
        <v>1727</v>
      </c>
      <c r="T3477" t="s">
        <v>1728</v>
      </c>
    </row>
    <row r="3478" spans="1:20" x14ac:dyDescent="0.25">
      <c r="A3478" t="s">
        <v>8385</v>
      </c>
      <c r="B3478" t="str">
        <f>"6034"</f>
        <v>6034</v>
      </c>
      <c r="C3478" t="str">
        <f>"268566034"</f>
        <v>268566034</v>
      </c>
      <c r="D3478" t="s">
        <v>881</v>
      </c>
      <c r="E3478" t="s">
        <v>8386</v>
      </c>
      <c r="G3478" s="1">
        <v>25608</v>
      </c>
      <c r="H3478" s="1">
        <v>39459</v>
      </c>
      <c r="I3478" t="str">
        <f t="shared" si="75"/>
        <v>51</v>
      </c>
      <c r="J3478" t="s">
        <v>471</v>
      </c>
      <c r="K3478" t="s">
        <v>25</v>
      </c>
      <c r="L3478" t="s">
        <v>26</v>
      </c>
      <c r="M3478" t="s">
        <v>27</v>
      </c>
      <c r="N3478" s="1">
        <v>18629</v>
      </c>
      <c r="O3478">
        <v>0</v>
      </c>
      <c r="P3478">
        <v>0</v>
      </c>
      <c r="Q3478" t="s">
        <v>37</v>
      </c>
      <c r="R3478" t="s">
        <v>51</v>
      </c>
      <c r="S3478" s="2" t="s">
        <v>8387</v>
      </c>
      <c r="T3478" t="s">
        <v>8388</v>
      </c>
    </row>
    <row r="3479" spans="1:20" x14ac:dyDescent="0.25">
      <c r="A3479" t="s">
        <v>8389</v>
      </c>
      <c r="B3479" t="str">
        <f>"4706"</f>
        <v>4706</v>
      </c>
      <c r="C3479" t="str">
        <f>"293864706"</f>
        <v>293864706</v>
      </c>
      <c r="D3479" t="s">
        <v>8390</v>
      </c>
      <c r="E3479" t="s">
        <v>8391</v>
      </c>
      <c r="F3479" t="s">
        <v>438</v>
      </c>
      <c r="G3479" s="1">
        <v>31482</v>
      </c>
      <c r="H3479" s="1">
        <v>39449</v>
      </c>
      <c r="I3479" t="str">
        <f>"30"</f>
        <v>30</v>
      </c>
      <c r="J3479" t="s">
        <v>50</v>
      </c>
      <c r="K3479" t="s">
        <v>25</v>
      </c>
      <c r="L3479" t="s">
        <v>26</v>
      </c>
      <c r="M3479" t="s">
        <v>27</v>
      </c>
      <c r="N3479" s="1">
        <v>18629</v>
      </c>
      <c r="O3479">
        <v>0</v>
      </c>
      <c r="P3479">
        <v>0</v>
      </c>
      <c r="Q3479" t="s">
        <v>37</v>
      </c>
      <c r="R3479" t="s">
        <v>29</v>
      </c>
      <c r="S3479" t="s">
        <v>240</v>
      </c>
      <c r="T3479" t="s">
        <v>241</v>
      </c>
    </row>
    <row r="3480" spans="1:20" x14ac:dyDescent="0.25">
      <c r="A3480" t="s">
        <v>8392</v>
      </c>
      <c r="B3480" t="str">
        <f>"2904"</f>
        <v>2904</v>
      </c>
      <c r="C3480" t="str">
        <f>"297622904"</f>
        <v>297622904</v>
      </c>
      <c r="D3480" t="s">
        <v>1798</v>
      </c>
      <c r="E3480" t="s">
        <v>518</v>
      </c>
      <c r="F3480" t="s">
        <v>414</v>
      </c>
      <c r="G3480" s="1">
        <v>26335</v>
      </c>
      <c r="H3480" s="1">
        <v>39447</v>
      </c>
      <c r="I3480" t="str">
        <f>"01"</f>
        <v>01</v>
      </c>
      <c r="J3480" t="s">
        <v>116</v>
      </c>
      <c r="L3480" t="s">
        <v>37</v>
      </c>
      <c r="M3480" t="s">
        <v>143</v>
      </c>
      <c r="N3480" s="1">
        <v>41617</v>
      </c>
      <c r="O3480">
        <v>185.9</v>
      </c>
      <c r="P3480">
        <v>-185.9</v>
      </c>
      <c r="Q3480" t="s">
        <v>37</v>
      </c>
      <c r="R3480" t="s">
        <v>110</v>
      </c>
      <c r="S3480" t="s">
        <v>491</v>
      </c>
      <c r="T3480" t="s">
        <v>492</v>
      </c>
    </row>
    <row r="3481" spans="1:20" x14ac:dyDescent="0.25">
      <c r="A3481" t="s">
        <v>8393</v>
      </c>
      <c r="B3481" t="str">
        <f>"3056"</f>
        <v>3056</v>
      </c>
      <c r="C3481" t="str">
        <f>"290443056"</f>
        <v>290443056</v>
      </c>
      <c r="D3481" t="s">
        <v>8394</v>
      </c>
      <c r="E3481" t="s">
        <v>583</v>
      </c>
      <c r="F3481" t="s">
        <v>6413</v>
      </c>
      <c r="G3481" s="1">
        <v>19224</v>
      </c>
      <c r="H3481" s="1">
        <v>39433</v>
      </c>
      <c r="I3481" t="str">
        <f>"30"</f>
        <v>30</v>
      </c>
      <c r="J3481" t="s">
        <v>50</v>
      </c>
      <c r="K3481" t="s">
        <v>25</v>
      </c>
      <c r="L3481" t="s">
        <v>26</v>
      </c>
      <c r="M3481" t="s">
        <v>27</v>
      </c>
      <c r="N3481" s="1">
        <v>18629</v>
      </c>
      <c r="O3481">
        <v>0</v>
      </c>
      <c r="P3481">
        <v>0</v>
      </c>
      <c r="Q3481" t="s">
        <v>37</v>
      </c>
      <c r="R3481" t="s">
        <v>71</v>
      </c>
      <c r="S3481" t="s">
        <v>923</v>
      </c>
      <c r="T3481" t="s">
        <v>924</v>
      </c>
    </row>
    <row r="3482" spans="1:20" x14ac:dyDescent="0.25">
      <c r="A3482" t="s">
        <v>8395</v>
      </c>
      <c r="B3482" t="str">
        <f>"1058"</f>
        <v>1058</v>
      </c>
      <c r="C3482" t="str">
        <f>"295821058"</f>
        <v>295821058</v>
      </c>
      <c r="D3482" t="s">
        <v>8396</v>
      </c>
      <c r="E3482" t="s">
        <v>35</v>
      </c>
      <c r="F3482" t="s">
        <v>26</v>
      </c>
      <c r="G3482" s="1">
        <v>25016</v>
      </c>
      <c r="H3482" s="1">
        <v>39419</v>
      </c>
      <c r="I3482" t="str">
        <f>"03"</f>
        <v>03</v>
      </c>
      <c r="J3482" t="s">
        <v>70</v>
      </c>
      <c r="K3482" t="s">
        <v>98</v>
      </c>
      <c r="L3482" t="s">
        <v>37</v>
      </c>
      <c r="M3482" t="s">
        <v>257</v>
      </c>
      <c r="N3482" s="1">
        <v>41617</v>
      </c>
      <c r="O3482">
        <v>10753.08</v>
      </c>
      <c r="P3482">
        <v>2688.4</v>
      </c>
      <c r="Q3482" t="s">
        <v>28</v>
      </c>
      <c r="R3482" t="s">
        <v>71</v>
      </c>
      <c r="S3482" t="s">
        <v>1186</v>
      </c>
      <c r="T3482" t="s">
        <v>1187</v>
      </c>
    </row>
    <row r="3483" spans="1:20" x14ac:dyDescent="0.25">
      <c r="A3483" t="s">
        <v>8397</v>
      </c>
      <c r="B3483" t="str">
        <f>"5933"</f>
        <v>5933</v>
      </c>
      <c r="C3483" t="str">
        <f>"414215933"</f>
        <v>414215933</v>
      </c>
      <c r="D3483" t="s">
        <v>8398</v>
      </c>
      <c r="E3483" t="s">
        <v>1071</v>
      </c>
      <c r="F3483" t="s">
        <v>190</v>
      </c>
      <c r="G3483" s="1">
        <v>27575</v>
      </c>
      <c r="H3483" s="1">
        <v>39405</v>
      </c>
      <c r="I3483" t="str">
        <f>"05"</f>
        <v>05</v>
      </c>
      <c r="J3483" t="s">
        <v>58</v>
      </c>
      <c r="K3483" t="s">
        <v>98</v>
      </c>
      <c r="L3483" t="s">
        <v>37</v>
      </c>
      <c r="M3483" t="s">
        <v>99</v>
      </c>
      <c r="N3483" s="1">
        <v>41617</v>
      </c>
      <c r="O3483">
        <v>14801.8</v>
      </c>
      <c r="P3483">
        <v>3700.32</v>
      </c>
      <c r="Q3483" t="s">
        <v>37</v>
      </c>
      <c r="R3483" t="s">
        <v>29</v>
      </c>
      <c r="S3483" t="s">
        <v>8399</v>
      </c>
      <c r="T3483" t="s">
        <v>8400</v>
      </c>
    </row>
    <row r="3484" spans="1:20" x14ac:dyDescent="0.25">
      <c r="A3484" t="s">
        <v>8401</v>
      </c>
      <c r="B3484" t="str">
        <f>"5388"</f>
        <v>5388</v>
      </c>
      <c r="C3484" t="str">
        <f>"274685388"</f>
        <v>274685388</v>
      </c>
      <c r="D3484" t="s">
        <v>8402</v>
      </c>
      <c r="E3484" t="s">
        <v>1639</v>
      </c>
      <c r="F3484" t="s">
        <v>264</v>
      </c>
      <c r="G3484" s="1">
        <v>22563</v>
      </c>
      <c r="H3484" s="1">
        <v>39405</v>
      </c>
      <c r="I3484" t="str">
        <f>"08"</f>
        <v>08</v>
      </c>
      <c r="J3484" t="s">
        <v>265</v>
      </c>
      <c r="K3484" t="s">
        <v>98</v>
      </c>
      <c r="L3484" t="s">
        <v>37</v>
      </c>
      <c r="M3484" t="s">
        <v>117</v>
      </c>
      <c r="N3484" s="1">
        <v>41617</v>
      </c>
      <c r="O3484">
        <v>4951.96</v>
      </c>
      <c r="P3484">
        <v>1237.8599999999999</v>
      </c>
      <c r="Q3484" t="s">
        <v>28</v>
      </c>
      <c r="R3484" t="s">
        <v>71</v>
      </c>
      <c r="S3484" t="s">
        <v>1438</v>
      </c>
      <c r="T3484" t="s">
        <v>1439</v>
      </c>
    </row>
    <row r="3485" spans="1:20" x14ac:dyDescent="0.25">
      <c r="A3485" t="s">
        <v>8403</v>
      </c>
      <c r="B3485" t="str">
        <f>"0741"</f>
        <v>0741</v>
      </c>
      <c r="C3485" t="str">
        <f>"238660741"</f>
        <v>238660741</v>
      </c>
      <c r="D3485" t="s">
        <v>8404</v>
      </c>
      <c r="E3485" t="s">
        <v>8405</v>
      </c>
      <c r="F3485" t="s">
        <v>28</v>
      </c>
      <c r="G3485" s="1">
        <v>16983</v>
      </c>
      <c r="H3485" s="1">
        <v>39405</v>
      </c>
      <c r="I3485" t="str">
        <f>"30"</f>
        <v>30</v>
      </c>
      <c r="J3485" t="s">
        <v>50</v>
      </c>
      <c r="K3485" t="s">
        <v>25</v>
      </c>
      <c r="L3485" t="s">
        <v>26</v>
      </c>
      <c r="M3485" t="s">
        <v>27</v>
      </c>
      <c r="N3485" s="1">
        <v>18629</v>
      </c>
      <c r="O3485">
        <v>0</v>
      </c>
      <c r="P3485">
        <v>0</v>
      </c>
      <c r="Q3485" t="s">
        <v>37</v>
      </c>
      <c r="R3485" t="s">
        <v>29</v>
      </c>
      <c r="S3485" t="s">
        <v>594</v>
      </c>
      <c r="T3485" t="s">
        <v>595</v>
      </c>
    </row>
    <row r="3486" spans="1:20" x14ac:dyDescent="0.25">
      <c r="A3486" t="s">
        <v>8406</v>
      </c>
      <c r="B3486" t="str">
        <f>"7439"</f>
        <v>7439</v>
      </c>
      <c r="C3486" t="str">
        <f>"270587439"</f>
        <v>270587439</v>
      </c>
      <c r="D3486" t="s">
        <v>8407</v>
      </c>
      <c r="E3486" t="s">
        <v>33</v>
      </c>
      <c r="F3486" t="s">
        <v>44</v>
      </c>
      <c r="G3486" s="1">
        <v>20811</v>
      </c>
      <c r="H3486" s="1">
        <v>39377</v>
      </c>
      <c r="I3486" t="str">
        <f>"01"</f>
        <v>01</v>
      </c>
      <c r="J3486" t="s">
        <v>116</v>
      </c>
      <c r="K3486" t="s">
        <v>98</v>
      </c>
      <c r="L3486" t="s">
        <v>37</v>
      </c>
      <c r="M3486" t="s">
        <v>257</v>
      </c>
      <c r="N3486" s="1">
        <v>41617</v>
      </c>
      <c r="O3486">
        <v>10753.08</v>
      </c>
      <c r="P3486">
        <v>2688.4</v>
      </c>
      <c r="Q3486" t="s">
        <v>28</v>
      </c>
      <c r="R3486" t="s">
        <v>29</v>
      </c>
      <c r="S3486" t="s">
        <v>2090</v>
      </c>
      <c r="T3486" t="s">
        <v>2091</v>
      </c>
    </row>
    <row r="3487" spans="1:20" x14ac:dyDescent="0.25">
      <c r="A3487" t="s">
        <v>8408</v>
      </c>
      <c r="B3487" t="str">
        <f>"4898"</f>
        <v>4898</v>
      </c>
      <c r="C3487" t="str">
        <f>"114544898"</f>
        <v>114544898</v>
      </c>
      <c r="D3487" t="s">
        <v>8409</v>
      </c>
      <c r="E3487" t="s">
        <v>8410</v>
      </c>
      <c r="G3487" s="1">
        <v>25676</v>
      </c>
      <c r="H3487" s="1">
        <v>39370</v>
      </c>
      <c r="I3487" t="str">
        <f>"33"</f>
        <v>33</v>
      </c>
      <c r="J3487" t="s">
        <v>45</v>
      </c>
      <c r="K3487" t="s">
        <v>25</v>
      </c>
      <c r="L3487" t="s">
        <v>26</v>
      </c>
      <c r="M3487" t="s">
        <v>27</v>
      </c>
      <c r="N3487" s="1">
        <v>18629</v>
      </c>
      <c r="O3487">
        <v>0</v>
      </c>
      <c r="P3487">
        <v>0</v>
      </c>
      <c r="Q3487" t="s">
        <v>37</v>
      </c>
      <c r="R3487" t="s">
        <v>29</v>
      </c>
      <c r="S3487" t="s">
        <v>594</v>
      </c>
      <c r="T3487" t="s">
        <v>595</v>
      </c>
    </row>
    <row r="3488" spans="1:20" x14ac:dyDescent="0.25">
      <c r="A3488" t="s">
        <v>8411</v>
      </c>
      <c r="B3488" t="str">
        <f>"2050"</f>
        <v>2050</v>
      </c>
      <c r="C3488" t="str">
        <f>"283682050"</f>
        <v>283682050</v>
      </c>
      <c r="D3488" t="s">
        <v>8412</v>
      </c>
      <c r="E3488" t="s">
        <v>137</v>
      </c>
      <c r="F3488" t="s">
        <v>93</v>
      </c>
      <c r="G3488" s="1">
        <v>25026</v>
      </c>
      <c r="H3488" s="1">
        <v>39363</v>
      </c>
      <c r="I3488" t="str">
        <f>"01"</f>
        <v>01</v>
      </c>
      <c r="J3488" t="s">
        <v>116</v>
      </c>
      <c r="K3488" t="s">
        <v>98</v>
      </c>
      <c r="L3488" t="s">
        <v>37</v>
      </c>
      <c r="M3488" t="s">
        <v>117</v>
      </c>
      <c r="N3488" s="1">
        <v>41617</v>
      </c>
      <c r="O3488">
        <v>4951.96</v>
      </c>
      <c r="P3488">
        <v>1237.8599999999999</v>
      </c>
      <c r="Q3488" t="s">
        <v>37</v>
      </c>
      <c r="R3488" t="s">
        <v>110</v>
      </c>
      <c r="S3488" t="s">
        <v>1346</v>
      </c>
      <c r="T3488" t="s">
        <v>1347</v>
      </c>
    </row>
    <row r="3489" spans="1:20" x14ac:dyDescent="0.25">
      <c r="A3489" t="s">
        <v>8413</v>
      </c>
      <c r="B3489" t="str">
        <f>"9414"</f>
        <v>9414</v>
      </c>
      <c r="C3489" t="str">
        <f>"268669414"</f>
        <v>268669414</v>
      </c>
      <c r="D3489" t="s">
        <v>674</v>
      </c>
      <c r="E3489" t="s">
        <v>8414</v>
      </c>
      <c r="G3489" s="1">
        <v>23176</v>
      </c>
      <c r="H3489" s="1">
        <v>39363</v>
      </c>
      <c r="I3489" t="str">
        <f>"08"</f>
        <v>08</v>
      </c>
      <c r="J3489" t="s">
        <v>265</v>
      </c>
      <c r="K3489" t="s">
        <v>98</v>
      </c>
      <c r="L3489" t="s">
        <v>37</v>
      </c>
      <c r="M3489" t="s">
        <v>99</v>
      </c>
      <c r="N3489" s="1">
        <v>41617</v>
      </c>
      <c r="O3489">
        <v>14801.8</v>
      </c>
      <c r="P3489">
        <v>3700.32</v>
      </c>
      <c r="Q3489" t="s">
        <v>28</v>
      </c>
      <c r="R3489" t="s">
        <v>51</v>
      </c>
      <c r="S3489" t="s">
        <v>3994</v>
      </c>
      <c r="T3489" t="s">
        <v>3995</v>
      </c>
    </row>
    <row r="3490" spans="1:20" x14ac:dyDescent="0.25">
      <c r="A3490" t="s">
        <v>8415</v>
      </c>
      <c r="B3490" t="str">
        <f>"5047"</f>
        <v>5047</v>
      </c>
      <c r="C3490" t="str">
        <f>"297565047"</f>
        <v>297565047</v>
      </c>
      <c r="D3490" t="s">
        <v>2702</v>
      </c>
      <c r="E3490" t="s">
        <v>8416</v>
      </c>
      <c r="F3490" t="s">
        <v>174</v>
      </c>
      <c r="G3490" s="1">
        <v>21231</v>
      </c>
      <c r="H3490" s="1">
        <v>39363</v>
      </c>
      <c r="I3490" t="str">
        <f>"03"</f>
        <v>03</v>
      </c>
      <c r="J3490" t="s">
        <v>70</v>
      </c>
      <c r="K3490" t="s">
        <v>98</v>
      </c>
      <c r="L3490" t="s">
        <v>37</v>
      </c>
      <c r="M3490" t="s">
        <v>257</v>
      </c>
      <c r="N3490" s="1">
        <v>41617</v>
      </c>
      <c r="O3490">
        <v>10753.08</v>
      </c>
      <c r="P3490">
        <v>2688.4</v>
      </c>
      <c r="Q3490" t="s">
        <v>37</v>
      </c>
      <c r="R3490" t="s">
        <v>71</v>
      </c>
      <c r="S3490" t="s">
        <v>7809</v>
      </c>
      <c r="T3490" t="s">
        <v>7810</v>
      </c>
    </row>
    <row r="3491" spans="1:20" x14ac:dyDescent="0.25">
      <c r="A3491" t="s">
        <v>8417</v>
      </c>
      <c r="B3491" t="str">
        <f>"0435"</f>
        <v>0435</v>
      </c>
      <c r="C3491" t="str">
        <f>"291540435"</f>
        <v>291540435</v>
      </c>
      <c r="D3491" t="s">
        <v>8418</v>
      </c>
      <c r="E3491" t="s">
        <v>8419</v>
      </c>
      <c r="F3491" t="s">
        <v>97</v>
      </c>
      <c r="G3491" s="1">
        <v>19836</v>
      </c>
      <c r="H3491" s="1">
        <v>39356</v>
      </c>
      <c r="I3491" t="str">
        <f>"33"</f>
        <v>33</v>
      </c>
      <c r="J3491" t="s">
        <v>45</v>
      </c>
      <c r="K3491" t="s">
        <v>25</v>
      </c>
      <c r="L3491" t="s">
        <v>26</v>
      </c>
      <c r="M3491" t="s">
        <v>27</v>
      </c>
      <c r="N3491" s="1">
        <v>18629</v>
      </c>
      <c r="O3491">
        <v>0</v>
      </c>
      <c r="P3491">
        <v>0</v>
      </c>
      <c r="Q3491" t="s">
        <v>28</v>
      </c>
      <c r="R3491" t="s">
        <v>29</v>
      </c>
      <c r="S3491" t="s">
        <v>594</v>
      </c>
      <c r="T3491" t="s">
        <v>595</v>
      </c>
    </row>
    <row r="3492" spans="1:20" x14ac:dyDescent="0.25">
      <c r="A3492" t="s">
        <v>8420</v>
      </c>
      <c r="B3492" t="str">
        <f>"5971"</f>
        <v>5971</v>
      </c>
      <c r="C3492" t="str">
        <f>"388885971"</f>
        <v>388885971</v>
      </c>
      <c r="D3492" t="s">
        <v>8268</v>
      </c>
      <c r="E3492" t="s">
        <v>1695</v>
      </c>
      <c r="F3492" t="s">
        <v>44</v>
      </c>
      <c r="G3492" s="1">
        <v>23421</v>
      </c>
      <c r="H3492" s="1">
        <v>39356</v>
      </c>
      <c r="I3492" t="str">
        <f>"50"</f>
        <v>50</v>
      </c>
      <c r="J3492" t="s">
        <v>208</v>
      </c>
      <c r="K3492" t="s">
        <v>25</v>
      </c>
      <c r="L3492" t="s">
        <v>26</v>
      </c>
      <c r="M3492" t="s">
        <v>27</v>
      </c>
      <c r="N3492" s="1">
        <v>18629</v>
      </c>
      <c r="O3492">
        <v>0</v>
      </c>
      <c r="P3492">
        <v>0</v>
      </c>
      <c r="Q3492" t="s">
        <v>37</v>
      </c>
      <c r="R3492" t="s">
        <v>312</v>
      </c>
      <c r="S3492" t="s">
        <v>960</v>
      </c>
      <c r="T3492" t="s">
        <v>314</v>
      </c>
    </row>
    <row r="3493" spans="1:20" x14ac:dyDescent="0.25">
      <c r="A3493" t="s">
        <v>8421</v>
      </c>
      <c r="B3493" t="str">
        <f>"7026"</f>
        <v>7026</v>
      </c>
      <c r="C3493" t="str">
        <f>"543587026"</f>
        <v>543587026</v>
      </c>
      <c r="D3493" t="s">
        <v>8422</v>
      </c>
      <c r="E3493" t="s">
        <v>466</v>
      </c>
      <c r="G3493" s="1">
        <v>18653</v>
      </c>
      <c r="H3493" s="1">
        <v>39350</v>
      </c>
      <c r="I3493" t="str">
        <f>"33"</f>
        <v>33</v>
      </c>
      <c r="J3493" t="s">
        <v>45</v>
      </c>
      <c r="K3493" t="s">
        <v>25</v>
      </c>
      <c r="L3493" t="s">
        <v>26</v>
      </c>
      <c r="M3493" t="s">
        <v>27</v>
      </c>
      <c r="N3493" s="1">
        <v>18629</v>
      </c>
      <c r="O3493">
        <v>0</v>
      </c>
      <c r="P3493">
        <v>0</v>
      </c>
      <c r="Q3493" t="s">
        <v>28</v>
      </c>
      <c r="R3493" t="s">
        <v>29</v>
      </c>
      <c r="S3493" t="s">
        <v>594</v>
      </c>
      <c r="T3493" t="s">
        <v>595</v>
      </c>
    </row>
    <row r="3494" spans="1:20" x14ac:dyDescent="0.25">
      <c r="A3494" t="s">
        <v>8423</v>
      </c>
      <c r="B3494" t="str">
        <f>"4216"</f>
        <v>4216</v>
      </c>
      <c r="C3494" t="str">
        <f>"273904216"</f>
        <v>273904216</v>
      </c>
      <c r="D3494" t="s">
        <v>609</v>
      </c>
      <c r="E3494" t="s">
        <v>2042</v>
      </c>
      <c r="F3494" t="s">
        <v>28</v>
      </c>
      <c r="G3494" s="1">
        <v>26548</v>
      </c>
      <c r="H3494" s="1">
        <v>39349</v>
      </c>
      <c r="I3494" t="str">
        <f>"33"</f>
        <v>33</v>
      </c>
      <c r="J3494" t="s">
        <v>45</v>
      </c>
      <c r="K3494" t="s">
        <v>25</v>
      </c>
      <c r="L3494" t="s">
        <v>26</v>
      </c>
      <c r="M3494" t="s">
        <v>27</v>
      </c>
      <c r="N3494" s="1">
        <v>18629</v>
      </c>
      <c r="O3494">
        <v>0</v>
      </c>
      <c r="P3494">
        <v>0</v>
      </c>
      <c r="Q3494" t="s">
        <v>37</v>
      </c>
      <c r="R3494" t="s">
        <v>29</v>
      </c>
      <c r="S3494" t="s">
        <v>594</v>
      </c>
      <c r="T3494" t="s">
        <v>595</v>
      </c>
    </row>
    <row r="3495" spans="1:20" x14ac:dyDescent="0.25">
      <c r="A3495" t="s">
        <v>8424</v>
      </c>
      <c r="B3495" t="str">
        <f>"3254"</f>
        <v>3254</v>
      </c>
      <c r="C3495" t="str">
        <f>"292603254"</f>
        <v>292603254</v>
      </c>
      <c r="D3495" t="s">
        <v>1969</v>
      </c>
      <c r="E3495" t="s">
        <v>1214</v>
      </c>
      <c r="G3495" s="1">
        <v>23074</v>
      </c>
      <c r="H3495" s="1">
        <v>39349</v>
      </c>
      <c r="I3495" t="str">
        <f>"01"</f>
        <v>01</v>
      </c>
      <c r="J3495" t="s">
        <v>116</v>
      </c>
      <c r="K3495" t="s">
        <v>98</v>
      </c>
      <c r="L3495" t="s">
        <v>37</v>
      </c>
      <c r="M3495" t="s">
        <v>99</v>
      </c>
      <c r="N3495" s="1">
        <v>41617</v>
      </c>
      <c r="O3495">
        <v>14801.8</v>
      </c>
      <c r="P3495">
        <v>3700.32</v>
      </c>
      <c r="Q3495" t="s">
        <v>28</v>
      </c>
      <c r="R3495" t="s">
        <v>38</v>
      </c>
      <c r="S3495" t="s">
        <v>1173</v>
      </c>
      <c r="T3495" t="s">
        <v>1174</v>
      </c>
    </row>
    <row r="3496" spans="1:20" x14ac:dyDescent="0.25">
      <c r="A3496" t="s">
        <v>8425</v>
      </c>
      <c r="B3496" t="str">
        <f>"3363"</f>
        <v>3363</v>
      </c>
      <c r="C3496" t="str">
        <f>"287403363"</f>
        <v>287403363</v>
      </c>
      <c r="D3496" t="s">
        <v>7360</v>
      </c>
      <c r="E3496" t="s">
        <v>22</v>
      </c>
      <c r="F3496" t="s">
        <v>93</v>
      </c>
      <c r="G3496" s="1">
        <v>16488</v>
      </c>
      <c r="H3496" s="1">
        <v>39349</v>
      </c>
      <c r="I3496" t="str">
        <f>"51"</f>
        <v>51</v>
      </c>
      <c r="J3496" t="s">
        <v>471</v>
      </c>
      <c r="K3496" t="s">
        <v>25</v>
      </c>
      <c r="L3496" t="s">
        <v>26</v>
      </c>
      <c r="M3496" t="s">
        <v>27</v>
      </c>
      <c r="N3496" s="1">
        <v>18629</v>
      </c>
      <c r="O3496">
        <v>0</v>
      </c>
      <c r="P3496">
        <v>0</v>
      </c>
      <c r="Q3496" t="s">
        <v>28</v>
      </c>
      <c r="R3496" t="s">
        <v>71</v>
      </c>
      <c r="S3496" t="s">
        <v>1681</v>
      </c>
      <c r="T3496" t="s">
        <v>1682</v>
      </c>
    </row>
    <row r="3497" spans="1:20" x14ac:dyDescent="0.25">
      <c r="A3497" t="s">
        <v>8426</v>
      </c>
      <c r="B3497" t="str">
        <f>"7301"</f>
        <v>7301</v>
      </c>
      <c r="C3497" t="str">
        <f>"273727301"</f>
        <v>273727301</v>
      </c>
      <c r="D3497" t="s">
        <v>8427</v>
      </c>
      <c r="E3497" t="s">
        <v>197</v>
      </c>
      <c r="F3497" t="s">
        <v>7606</v>
      </c>
      <c r="G3497" s="1">
        <v>23544</v>
      </c>
      <c r="H3497" s="1">
        <v>39349</v>
      </c>
      <c r="I3497" t="str">
        <f>"51"</f>
        <v>51</v>
      </c>
      <c r="J3497" t="s">
        <v>471</v>
      </c>
      <c r="K3497" t="s">
        <v>25</v>
      </c>
      <c r="L3497" t="s">
        <v>26</v>
      </c>
      <c r="M3497" t="s">
        <v>27</v>
      </c>
      <c r="N3497" s="1">
        <v>18629</v>
      </c>
      <c r="O3497">
        <v>0</v>
      </c>
      <c r="P3497">
        <v>0</v>
      </c>
      <c r="Q3497" t="s">
        <v>28</v>
      </c>
      <c r="R3497" t="s">
        <v>71</v>
      </c>
      <c r="S3497" t="s">
        <v>5366</v>
      </c>
      <c r="T3497" t="s">
        <v>5367</v>
      </c>
    </row>
    <row r="3498" spans="1:20" x14ac:dyDescent="0.25">
      <c r="A3498" t="s">
        <v>8428</v>
      </c>
      <c r="B3498" t="str">
        <f>"9182"</f>
        <v>9182</v>
      </c>
      <c r="C3498" t="str">
        <f>"284609182"</f>
        <v>284609182</v>
      </c>
      <c r="D3498" t="s">
        <v>8429</v>
      </c>
      <c r="E3498" t="s">
        <v>8430</v>
      </c>
      <c r="G3498" s="1">
        <v>23290</v>
      </c>
      <c r="H3498" s="1">
        <v>39342</v>
      </c>
      <c r="I3498" t="str">
        <f>"42"</f>
        <v>42</v>
      </c>
      <c r="J3498" t="s">
        <v>367</v>
      </c>
      <c r="K3498" t="s">
        <v>25</v>
      </c>
      <c r="L3498" t="s">
        <v>26</v>
      </c>
      <c r="M3498" t="s">
        <v>27</v>
      </c>
      <c r="N3498" s="1">
        <v>18629</v>
      </c>
      <c r="O3498">
        <v>0</v>
      </c>
      <c r="P3498">
        <v>0</v>
      </c>
      <c r="Q3498" t="s">
        <v>28</v>
      </c>
      <c r="R3498" t="s">
        <v>29</v>
      </c>
      <c r="S3498" t="s">
        <v>982</v>
      </c>
      <c r="T3498" t="s">
        <v>983</v>
      </c>
    </row>
    <row r="3499" spans="1:20" x14ac:dyDescent="0.25">
      <c r="A3499" t="s">
        <v>8431</v>
      </c>
      <c r="B3499" t="str">
        <f>"6509"</f>
        <v>6509</v>
      </c>
      <c r="C3499" t="str">
        <f>"274546509"</f>
        <v>274546509</v>
      </c>
      <c r="D3499" t="s">
        <v>8432</v>
      </c>
      <c r="E3499" t="s">
        <v>430</v>
      </c>
      <c r="F3499" t="s">
        <v>1049</v>
      </c>
      <c r="G3499" s="1">
        <v>25159</v>
      </c>
      <c r="H3499" s="1">
        <v>39337</v>
      </c>
      <c r="I3499" t="str">
        <f>"52"</f>
        <v>52</v>
      </c>
      <c r="J3499" t="s">
        <v>330</v>
      </c>
      <c r="K3499" t="s">
        <v>25</v>
      </c>
      <c r="L3499" t="s">
        <v>26</v>
      </c>
      <c r="M3499" t="s">
        <v>27</v>
      </c>
      <c r="N3499" s="1">
        <v>18629</v>
      </c>
      <c r="O3499">
        <v>0</v>
      </c>
      <c r="P3499">
        <v>0</v>
      </c>
      <c r="Q3499" t="s">
        <v>28</v>
      </c>
      <c r="R3499" t="s">
        <v>29</v>
      </c>
      <c r="S3499" t="s">
        <v>4000</v>
      </c>
      <c r="T3499" t="s">
        <v>4001</v>
      </c>
    </row>
    <row r="3500" spans="1:20" x14ac:dyDescent="0.25">
      <c r="A3500" t="s">
        <v>8433</v>
      </c>
      <c r="B3500" t="str">
        <f>"2811"</f>
        <v>2811</v>
      </c>
      <c r="C3500" t="str">
        <f>"280742811"</f>
        <v>280742811</v>
      </c>
      <c r="D3500" t="s">
        <v>8434</v>
      </c>
      <c r="E3500" t="s">
        <v>263</v>
      </c>
      <c r="G3500" s="1">
        <v>23048</v>
      </c>
      <c r="H3500" s="1">
        <v>39336</v>
      </c>
      <c r="I3500" t="str">
        <f>"52"</f>
        <v>52</v>
      </c>
      <c r="J3500" t="s">
        <v>330</v>
      </c>
      <c r="K3500" t="s">
        <v>25</v>
      </c>
      <c r="L3500" t="s">
        <v>26</v>
      </c>
      <c r="M3500" t="s">
        <v>27</v>
      </c>
      <c r="N3500" s="1">
        <v>18629</v>
      </c>
      <c r="O3500">
        <v>0</v>
      </c>
      <c r="P3500">
        <v>0</v>
      </c>
      <c r="Q3500" t="s">
        <v>28</v>
      </c>
      <c r="R3500" t="s">
        <v>258</v>
      </c>
      <c r="S3500" t="s">
        <v>336</v>
      </c>
      <c r="T3500" t="s">
        <v>337</v>
      </c>
    </row>
    <row r="3501" spans="1:20" x14ac:dyDescent="0.25">
      <c r="A3501" t="s">
        <v>8435</v>
      </c>
      <c r="B3501" t="str">
        <f>"2744"</f>
        <v>2744</v>
      </c>
      <c r="C3501" t="str">
        <f>"270422744"</f>
        <v>270422744</v>
      </c>
      <c r="D3501" t="s">
        <v>8436</v>
      </c>
      <c r="E3501" t="s">
        <v>682</v>
      </c>
      <c r="F3501" t="s">
        <v>414</v>
      </c>
      <c r="G3501" s="1">
        <v>18339</v>
      </c>
      <c r="H3501" s="1">
        <v>39335</v>
      </c>
      <c r="I3501" t="str">
        <f>"12"</f>
        <v>12</v>
      </c>
      <c r="J3501" t="s">
        <v>245</v>
      </c>
      <c r="L3501" t="s">
        <v>37</v>
      </c>
      <c r="M3501" t="s">
        <v>143</v>
      </c>
      <c r="N3501" s="1">
        <v>41617</v>
      </c>
      <c r="O3501">
        <v>185.9</v>
      </c>
      <c r="P3501">
        <v>-185.9</v>
      </c>
      <c r="Q3501" t="s">
        <v>37</v>
      </c>
      <c r="R3501" t="s">
        <v>51</v>
      </c>
      <c r="S3501" s="2" t="s">
        <v>7967</v>
      </c>
      <c r="T3501" t="s">
        <v>7968</v>
      </c>
    </row>
    <row r="3502" spans="1:20" x14ac:dyDescent="0.25">
      <c r="A3502" t="s">
        <v>8437</v>
      </c>
      <c r="B3502" t="str">
        <f>"7426"</f>
        <v>7426</v>
      </c>
      <c r="C3502" t="str">
        <f>"291567426"</f>
        <v>291567426</v>
      </c>
      <c r="D3502" t="s">
        <v>8438</v>
      </c>
      <c r="E3502" t="s">
        <v>8439</v>
      </c>
      <c r="F3502" t="s">
        <v>1247</v>
      </c>
      <c r="G3502" s="1">
        <v>24876</v>
      </c>
      <c r="H3502" s="1">
        <v>39335</v>
      </c>
      <c r="I3502" t="str">
        <f>"42"</f>
        <v>42</v>
      </c>
      <c r="J3502" t="s">
        <v>367</v>
      </c>
      <c r="K3502" t="s">
        <v>25</v>
      </c>
      <c r="L3502" t="s">
        <v>26</v>
      </c>
      <c r="M3502" t="s">
        <v>27</v>
      </c>
      <c r="N3502" s="1">
        <v>18629</v>
      </c>
      <c r="O3502">
        <v>0</v>
      </c>
      <c r="P3502">
        <v>0</v>
      </c>
      <c r="Q3502" t="s">
        <v>28</v>
      </c>
      <c r="R3502" t="s">
        <v>29</v>
      </c>
      <c r="S3502" t="s">
        <v>982</v>
      </c>
      <c r="T3502" t="s">
        <v>983</v>
      </c>
    </row>
    <row r="3503" spans="1:20" x14ac:dyDescent="0.25">
      <c r="A3503" t="s">
        <v>8440</v>
      </c>
      <c r="B3503" t="str">
        <f>"6099"</f>
        <v>6099</v>
      </c>
      <c r="C3503" t="str">
        <f>"269486099"</f>
        <v>269486099</v>
      </c>
      <c r="D3503" t="s">
        <v>8441</v>
      </c>
      <c r="E3503" t="s">
        <v>4595</v>
      </c>
      <c r="F3503" t="s">
        <v>69</v>
      </c>
      <c r="G3503" s="1">
        <v>21131</v>
      </c>
      <c r="H3503" s="1">
        <v>39335</v>
      </c>
      <c r="I3503" t="str">
        <f>"51"</f>
        <v>51</v>
      </c>
      <c r="J3503" t="s">
        <v>471</v>
      </c>
      <c r="K3503" t="s">
        <v>25</v>
      </c>
      <c r="L3503" t="s">
        <v>26</v>
      </c>
      <c r="M3503" t="s">
        <v>27</v>
      </c>
      <c r="N3503" s="1">
        <v>18629</v>
      </c>
      <c r="O3503">
        <v>0</v>
      </c>
      <c r="P3503">
        <v>0</v>
      </c>
      <c r="Q3503" t="s">
        <v>37</v>
      </c>
      <c r="R3503" t="s">
        <v>71</v>
      </c>
      <c r="S3503" t="s">
        <v>955</v>
      </c>
      <c r="T3503" t="s">
        <v>956</v>
      </c>
    </row>
    <row r="3504" spans="1:20" x14ac:dyDescent="0.25">
      <c r="A3504" t="s">
        <v>8442</v>
      </c>
      <c r="B3504" t="str">
        <f>"0276"</f>
        <v>0276</v>
      </c>
      <c r="C3504" t="str">
        <f>"274400276"</f>
        <v>274400276</v>
      </c>
      <c r="D3504" t="s">
        <v>8443</v>
      </c>
      <c r="E3504" t="s">
        <v>794</v>
      </c>
      <c r="F3504" t="s">
        <v>438</v>
      </c>
      <c r="G3504" s="1">
        <v>15051</v>
      </c>
      <c r="H3504" s="1">
        <v>39323</v>
      </c>
      <c r="I3504" t="str">
        <f>"33"</f>
        <v>33</v>
      </c>
      <c r="J3504" t="s">
        <v>45</v>
      </c>
      <c r="K3504" t="s">
        <v>25</v>
      </c>
      <c r="L3504" t="s">
        <v>26</v>
      </c>
      <c r="M3504" t="s">
        <v>27</v>
      </c>
      <c r="N3504" s="1">
        <v>18629</v>
      </c>
      <c r="O3504">
        <v>0</v>
      </c>
      <c r="P3504">
        <v>0</v>
      </c>
      <c r="Q3504" t="s">
        <v>28</v>
      </c>
      <c r="R3504" t="s">
        <v>71</v>
      </c>
      <c r="S3504" t="s">
        <v>955</v>
      </c>
      <c r="T3504" t="s">
        <v>956</v>
      </c>
    </row>
    <row r="3505" spans="1:20" x14ac:dyDescent="0.25">
      <c r="A3505" t="s">
        <v>8444</v>
      </c>
      <c r="B3505" t="str">
        <f>"7442"</f>
        <v>7442</v>
      </c>
      <c r="C3505" t="str">
        <f>"270547442"</f>
        <v>270547442</v>
      </c>
      <c r="D3505" t="s">
        <v>327</v>
      </c>
      <c r="E3505" t="s">
        <v>256</v>
      </c>
      <c r="F3505" t="s">
        <v>69</v>
      </c>
      <c r="G3505" s="1">
        <v>17441</v>
      </c>
      <c r="H3505" s="1">
        <v>39321</v>
      </c>
      <c r="I3505" t="str">
        <f>"51"</f>
        <v>51</v>
      </c>
      <c r="J3505" t="s">
        <v>471</v>
      </c>
      <c r="K3505" t="s">
        <v>25</v>
      </c>
      <c r="L3505" t="s">
        <v>26</v>
      </c>
      <c r="M3505" t="s">
        <v>27</v>
      </c>
      <c r="N3505" s="1">
        <v>18629</v>
      </c>
      <c r="O3505">
        <v>0</v>
      </c>
      <c r="P3505">
        <v>0</v>
      </c>
      <c r="Q3505" t="s">
        <v>37</v>
      </c>
      <c r="R3505" t="s">
        <v>71</v>
      </c>
      <c r="S3505" t="s">
        <v>770</v>
      </c>
      <c r="T3505" t="s">
        <v>771</v>
      </c>
    </row>
    <row r="3506" spans="1:20" x14ac:dyDescent="0.25">
      <c r="A3506" t="s">
        <v>8445</v>
      </c>
      <c r="B3506" t="str">
        <f>"2299"</f>
        <v>2299</v>
      </c>
      <c r="C3506" t="str">
        <f>"112542299"</f>
        <v>112542299</v>
      </c>
      <c r="D3506" t="s">
        <v>1156</v>
      </c>
      <c r="E3506" t="s">
        <v>2617</v>
      </c>
      <c r="F3506" t="s">
        <v>1104</v>
      </c>
      <c r="G3506" s="1">
        <v>22191</v>
      </c>
      <c r="H3506" s="1">
        <v>39321</v>
      </c>
      <c r="I3506" t="str">
        <f>"42"</f>
        <v>42</v>
      </c>
      <c r="J3506" t="s">
        <v>367</v>
      </c>
      <c r="K3506" t="s">
        <v>25</v>
      </c>
      <c r="L3506" t="s">
        <v>26</v>
      </c>
      <c r="M3506" t="s">
        <v>27</v>
      </c>
      <c r="N3506" s="1">
        <v>18629</v>
      </c>
      <c r="O3506">
        <v>0</v>
      </c>
      <c r="P3506">
        <v>0</v>
      </c>
      <c r="Q3506" t="s">
        <v>28</v>
      </c>
      <c r="R3506" t="s">
        <v>29</v>
      </c>
      <c r="S3506" t="s">
        <v>982</v>
      </c>
      <c r="T3506" t="s">
        <v>983</v>
      </c>
    </row>
    <row r="3507" spans="1:20" x14ac:dyDescent="0.25">
      <c r="A3507" t="s">
        <v>8446</v>
      </c>
      <c r="B3507" t="str">
        <f>"6595"</f>
        <v>6595</v>
      </c>
      <c r="C3507" t="str">
        <f>"286586595"</f>
        <v>286586595</v>
      </c>
      <c r="D3507" t="s">
        <v>1725</v>
      </c>
      <c r="E3507" t="s">
        <v>900</v>
      </c>
      <c r="G3507" s="1">
        <v>21619</v>
      </c>
      <c r="H3507" s="1">
        <v>39321</v>
      </c>
      <c r="I3507" t="str">
        <f>"20"</f>
        <v>20</v>
      </c>
      <c r="J3507" t="s">
        <v>123</v>
      </c>
      <c r="K3507" t="s">
        <v>98</v>
      </c>
      <c r="L3507" t="s">
        <v>37</v>
      </c>
      <c r="M3507" t="s">
        <v>117</v>
      </c>
      <c r="N3507" s="1">
        <v>41631</v>
      </c>
      <c r="O3507">
        <v>4951.9799999999996</v>
      </c>
      <c r="P3507">
        <v>1237.94</v>
      </c>
      <c r="Q3507" t="s">
        <v>37</v>
      </c>
      <c r="R3507" t="s">
        <v>71</v>
      </c>
      <c r="S3507" t="s">
        <v>180</v>
      </c>
      <c r="T3507" t="s">
        <v>181</v>
      </c>
    </row>
    <row r="3508" spans="1:20" x14ac:dyDescent="0.25">
      <c r="A3508" t="s">
        <v>8447</v>
      </c>
      <c r="B3508" t="str">
        <f>"7741"</f>
        <v>7741</v>
      </c>
      <c r="C3508" t="str">
        <f>"290587741"</f>
        <v>290587741</v>
      </c>
      <c r="D3508" t="s">
        <v>8448</v>
      </c>
      <c r="E3508" t="s">
        <v>4167</v>
      </c>
      <c r="F3508" t="s">
        <v>438</v>
      </c>
      <c r="G3508" s="1">
        <v>20303</v>
      </c>
      <c r="H3508" s="1">
        <v>39321</v>
      </c>
      <c r="I3508" t="str">
        <f>"42"</f>
        <v>42</v>
      </c>
      <c r="J3508" t="s">
        <v>367</v>
      </c>
      <c r="K3508" t="s">
        <v>25</v>
      </c>
      <c r="L3508" t="s">
        <v>26</v>
      </c>
      <c r="M3508" t="s">
        <v>27</v>
      </c>
      <c r="N3508" s="1">
        <v>18629</v>
      </c>
      <c r="O3508">
        <v>0</v>
      </c>
      <c r="P3508">
        <v>0</v>
      </c>
      <c r="Q3508" t="s">
        <v>28</v>
      </c>
      <c r="R3508" t="s">
        <v>29</v>
      </c>
      <c r="S3508" t="s">
        <v>982</v>
      </c>
      <c r="T3508" t="s">
        <v>983</v>
      </c>
    </row>
    <row r="3509" spans="1:20" x14ac:dyDescent="0.25">
      <c r="A3509" t="s">
        <v>8449</v>
      </c>
      <c r="B3509" t="str">
        <f>"7010"</f>
        <v>7010</v>
      </c>
      <c r="C3509" t="str">
        <f>"291567010"</f>
        <v>291567010</v>
      </c>
      <c r="D3509" t="s">
        <v>8450</v>
      </c>
      <c r="E3509" t="s">
        <v>1453</v>
      </c>
      <c r="F3509" t="s">
        <v>97</v>
      </c>
      <c r="G3509" s="1">
        <v>20540</v>
      </c>
      <c r="H3509" s="1">
        <v>39321</v>
      </c>
      <c r="I3509" t="str">
        <f>"42"</f>
        <v>42</v>
      </c>
      <c r="J3509" t="s">
        <v>367</v>
      </c>
      <c r="K3509" t="s">
        <v>25</v>
      </c>
      <c r="L3509" t="s">
        <v>26</v>
      </c>
      <c r="M3509" t="s">
        <v>27</v>
      </c>
      <c r="N3509" s="1">
        <v>18629</v>
      </c>
      <c r="O3509">
        <v>0</v>
      </c>
      <c r="P3509">
        <v>0</v>
      </c>
      <c r="Q3509" t="s">
        <v>28</v>
      </c>
      <c r="R3509" t="s">
        <v>29</v>
      </c>
      <c r="S3509" t="s">
        <v>982</v>
      </c>
      <c r="T3509" t="s">
        <v>983</v>
      </c>
    </row>
    <row r="3510" spans="1:20" x14ac:dyDescent="0.25">
      <c r="A3510" t="s">
        <v>8451</v>
      </c>
      <c r="B3510" t="str">
        <f>"8646"</f>
        <v>8646</v>
      </c>
      <c r="C3510" t="str">
        <f>"289508646"</f>
        <v>289508646</v>
      </c>
      <c r="D3510" t="s">
        <v>8452</v>
      </c>
      <c r="E3510" t="s">
        <v>609</v>
      </c>
      <c r="F3510" t="s">
        <v>219</v>
      </c>
      <c r="G3510" s="1">
        <v>18504</v>
      </c>
      <c r="H3510" s="1">
        <v>39321</v>
      </c>
      <c r="I3510" t="str">
        <f>"20"</f>
        <v>20</v>
      </c>
      <c r="J3510" t="s">
        <v>123</v>
      </c>
      <c r="K3510" t="s">
        <v>98</v>
      </c>
      <c r="L3510" t="s">
        <v>37</v>
      </c>
      <c r="M3510" t="s">
        <v>257</v>
      </c>
      <c r="N3510" s="1">
        <v>41631</v>
      </c>
      <c r="O3510">
        <v>10753.16</v>
      </c>
      <c r="P3510">
        <v>2688.4</v>
      </c>
      <c r="Q3510" t="s">
        <v>28</v>
      </c>
      <c r="R3510" t="s">
        <v>71</v>
      </c>
      <c r="S3510" t="s">
        <v>3844</v>
      </c>
      <c r="T3510" t="s">
        <v>3845</v>
      </c>
    </row>
    <row r="3511" spans="1:20" x14ac:dyDescent="0.25">
      <c r="A3511" t="s">
        <v>8453</v>
      </c>
      <c r="B3511" t="str">
        <f>"7499"</f>
        <v>7499</v>
      </c>
      <c r="C3511" t="str">
        <f>"274687499"</f>
        <v>274687499</v>
      </c>
      <c r="D3511" t="s">
        <v>2183</v>
      </c>
      <c r="E3511" t="s">
        <v>122</v>
      </c>
      <c r="F3511" t="s">
        <v>26</v>
      </c>
      <c r="G3511" s="1">
        <v>22584</v>
      </c>
      <c r="H3511" s="1">
        <v>39321</v>
      </c>
      <c r="I3511" t="str">
        <f>"51"</f>
        <v>51</v>
      </c>
      <c r="J3511" t="s">
        <v>471</v>
      </c>
      <c r="K3511" t="s">
        <v>25</v>
      </c>
      <c r="L3511" t="s">
        <v>26</v>
      </c>
      <c r="M3511" t="s">
        <v>27</v>
      </c>
      <c r="N3511" s="1">
        <v>18629</v>
      </c>
      <c r="O3511">
        <v>0</v>
      </c>
      <c r="P3511">
        <v>0</v>
      </c>
      <c r="Q3511" t="s">
        <v>28</v>
      </c>
      <c r="R3511" t="s">
        <v>51</v>
      </c>
      <c r="S3511" s="2" t="s">
        <v>1568</v>
      </c>
      <c r="T3511" t="s">
        <v>1569</v>
      </c>
    </row>
    <row r="3512" spans="1:20" x14ac:dyDescent="0.25">
      <c r="A3512" t="s">
        <v>8454</v>
      </c>
      <c r="B3512" t="str">
        <f>"6421"</f>
        <v>6421</v>
      </c>
      <c r="C3512" t="str">
        <f>"278826421"</f>
        <v>278826421</v>
      </c>
      <c r="D3512" t="s">
        <v>8455</v>
      </c>
      <c r="E3512" t="s">
        <v>8456</v>
      </c>
      <c r="F3512" t="s">
        <v>93</v>
      </c>
      <c r="G3512" s="1">
        <v>25734</v>
      </c>
      <c r="H3512" s="1">
        <v>39321</v>
      </c>
      <c r="I3512" t="str">
        <f>"42"</f>
        <v>42</v>
      </c>
      <c r="J3512" t="s">
        <v>367</v>
      </c>
      <c r="K3512" t="s">
        <v>25</v>
      </c>
      <c r="L3512" t="s">
        <v>26</v>
      </c>
      <c r="M3512" t="s">
        <v>27</v>
      </c>
      <c r="N3512" s="1">
        <v>18629</v>
      </c>
      <c r="O3512">
        <v>0</v>
      </c>
      <c r="P3512">
        <v>0</v>
      </c>
      <c r="Q3512" t="s">
        <v>28</v>
      </c>
      <c r="R3512" t="s">
        <v>29</v>
      </c>
      <c r="S3512" t="s">
        <v>982</v>
      </c>
      <c r="T3512" t="s">
        <v>983</v>
      </c>
    </row>
    <row r="3513" spans="1:20" x14ac:dyDescent="0.25">
      <c r="A3513" t="s">
        <v>8457</v>
      </c>
      <c r="B3513" t="str">
        <f>"9385"</f>
        <v>9385</v>
      </c>
      <c r="C3513" t="str">
        <f>"282609385"</f>
        <v>282609385</v>
      </c>
      <c r="D3513" t="s">
        <v>8458</v>
      </c>
      <c r="E3513" t="s">
        <v>197</v>
      </c>
      <c r="F3513" t="s">
        <v>69</v>
      </c>
      <c r="G3513" s="1">
        <v>24381</v>
      </c>
      <c r="H3513" s="1">
        <v>39319</v>
      </c>
      <c r="I3513" t="str">
        <f t="shared" ref="I3513:I3545" si="76">"51"</f>
        <v>51</v>
      </c>
      <c r="J3513" t="s">
        <v>471</v>
      </c>
      <c r="K3513" t="s">
        <v>25</v>
      </c>
      <c r="L3513" t="s">
        <v>26</v>
      </c>
      <c r="M3513" t="s">
        <v>27</v>
      </c>
      <c r="N3513" s="1">
        <v>18629</v>
      </c>
      <c r="O3513">
        <v>0</v>
      </c>
      <c r="P3513">
        <v>0</v>
      </c>
      <c r="Q3513" t="s">
        <v>28</v>
      </c>
      <c r="R3513" t="s">
        <v>71</v>
      </c>
      <c r="S3513" t="s">
        <v>1681</v>
      </c>
      <c r="T3513" t="s">
        <v>1682</v>
      </c>
    </row>
    <row r="3514" spans="1:20" x14ac:dyDescent="0.25">
      <c r="A3514" t="s">
        <v>8459</v>
      </c>
      <c r="B3514" t="str">
        <f>"4170"</f>
        <v>4170</v>
      </c>
      <c r="C3514" t="str">
        <f>"282544170"</f>
        <v>282544170</v>
      </c>
      <c r="D3514" t="s">
        <v>8460</v>
      </c>
      <c r="E3514" t="s">
        <v>756</v>
      </c>
      <c r="F3514" t="s">
        <v>93</v>
      </c>
      <c r="G3514" s="1">
        <v>19024</v>
      </c>
      <c r="H3514" s="1">
        <v>39319</v>
      </c>
      <c r="I3514" t="str">
        <f t="shared" si="76"/>
        <v>51</v>
      </c>
      <c r="J3514" t="s">
        <v>471</v>
      </c>
      <c r="K3514" t="s">
        <v>25</v>
      </c>
      <c r="L3514" t="s">
        <v>26</v>
      </c>
      <c r="M3514" t="s">
        <v>27</v>
      </c>
      <c r="N3514" s="1">
        <v>18629</v>
      </c>
      <c r="O3514">
        <v>0</v>
      </c>
      <c r="P3514">
        <v>0</v>
      </c>
      <c r="Q3514" t="s">
        <v>37</v>
      </c>
      <c r="R3514" t="s">
        <v>71</v>
      </c>
      <c r="S3514" t="s">
        <v>2458</v>
      </c>
      <c r="T3514" t="s">
        <v>2459</v>
      </c>
    </row>
    <row r="3515" spans="1:20" x14ac:dyDescent="0.25">
      <c r="A3515" t="s">
        <v>8461</v>
      </c>
      <c r="B3515" t="str">
        <f>"4008"</f>
        <v>4008</v>
      </c>
      <c r="C3515" t="str">
        <f>"285764008"</f>
        <v>285764008</v>
      </c>
      <c r="D3515" t="s">
        <v>8462</v>
      </c>
      <c r="E3515" t="s">
        <v>48</v>
      </c>
      <c r="G3515" s="1">
        <v>28757</v>
      </c>
      <c r="H3515" s="1">
        <v>39319</v>
      </c>
      <c r="I3515" t="str">
        <f t="shared" si="76"/>
        <v>51</v>
      </c>
      <c r="J3515" t="s">
        <v>471</v>
      </c>
      <c r="K3515" t="s">
        <v>25</v>
      </c>
      <c r="L3515" t="s">
        <v>26</v>
      </c>
      <c r="M3515" t="s">
        <v>27</v>
      </c>
      <c r="N3515" s="1">
        <v>18629</v>
      </c>
      <c r="O3515">
        <v>0</v>
      </c>
      <c r="P3515">
        <v>0</v>
      </c>
      <c r="Q3515" t="s">
        <v>37</v>
      </c>
      <c r="R3515" t="s">
        <v>71</v>
      </c>
      <c r="S3515" t="s">
        <v>857</v>
      </c>
      <c r="T3515" t="s">
        <v>858</v>
      </c>
    </row>
    <row r="3516" spans="1:20" x14ac:dyDescent="0.25">
      <c r="A3516" t="s">
        <v>8463</v>
      </c>
      <c r="B3516" t="str">
        <f>"9974"</f>
        <v>9974</v>
      </c>
      <c r="C3516" t="str">
        <f>"293589974"</f>
        <v>293589974</v>
      </c>
      <c r="D3516" t="s">
        <v>8031</v>
      </c>
      <c r="E3516" t="s">
        <v>35</v>
      </c>
      <c r="F3516" t="s">
        <v>44</v>
      </c>
      <c r="G3516" s="1">
        <v>23465</v>
      </c>
      <c r="H3516" s="1">
        <v>39319</v>
      </c>
      <c r="I3516" t="str">
        <f t="shared" si="76"/>
        <v>51</v>
      </c>
      <c r="J3516" t="s">
        <v>471</v>
      </c>
      <c r="K3516" t="s">
        <v>25</v>
      </c>
      <c r="L3516" t="s">
        <v>26</v>
      </c>
      <c r="M3516" t="s">
        <v>27</v>
      </c>
      <c r="N3516" s="1">
        <v>18629</v>
      </c>
      <c r="O3516">
        <v>0</v>
      </c>
      <c r="P3516">
        <v>0</v>
      </c>
      <c r="Q3516" t="s">
        <v>28</v>
      </c>
      <c r="R3516" t="s">
        <v>71</v>
      </c>
      <c r="S3516" t="s">
        <v>923</v>
      </c>
      <c r="T3516" t="s">
        <v>924</v>
      </c>
    </row>
    <row r="3517" spans="1:20" x14ac:dyDescent="0.25">
      <c r="A3517" t="s">
        <v>8464</v>
      </c>
      <c r="B3517" t="str">
        <f>"2174"</f>
        <v>2174</v>
      </c>
      <c r="C3517" t="str">
        <f>"274422174"</f>
        <v>274422174</v>
      </c>
      <c r="D3517" t="s">
        <v>141</v>
      </c>
      <c r="E3517" t="s">
        <v>8465</v>
      </c>
      <c r="F3517" t="s">
        <v>239</v>
      </c>
      <c r="G3517" s="1">
        <v>17568</v>
      </c>
      <c r="H3517" s="1">
        <v>39319</v>
      </c>
      <c r="I3517" t="str">
        <f t="shared" si="76"/>
        <v>51</v>
      </c>
      <c r="J3517" t="s">
        <v>471</v>
      </c>
      <c r="K3517" t="s">
        <v>25</v>
      </c>
      <c r="L3517" t="s">
        <v>26</v>
      </c>
      <c r="M3517" t="s">
        <v>27</v>
      </c>
      <c r="N3517" s="1">
        <v>18629</v>
      </c>
      <c r="O3517">
        <v>0</v>
      </c>
      <c r="P3517">
        <v>0</v>
      </c>
      <c r="Q3517" t="s">
        <v>37</v>
      </c>
      <c r="R3517" t="s">
        <v>51</v>
      </c>
      <c r="S3517" s="2" t="s">
        <v>4118</v>
      </c>
      <c r="T3517" t="s">
        <v>4119</v>
      </c>
    </row>
    <row r="3518" spans="1:20" x14ac:dyDescent="0.25">
      <c r="A3518" t="s">
        <v>8466</v>
      </c>
      <c r="B3518" t="str">
        <f>"0291"</f>
        <v>0291</v>
      </c>
      <c r="C3518" t="str">
        <f>"069680291"</f>
        <v>069680291</v>
      </c>
      <c r="D3518" t="s">
        <v>4765</v>
      </c>
      <c r="E3518" t="s">
        <v>197</v>
      </c>
      <c r="F3518" t="s">
        <v>28</v>
      </c>
      <c r="G3518" s="1">
        <v>24904</v>
      </c>
      <c r="H3518" s="1">
        <v>39319</v>
      </c>
      <c r="I3518" t="str">
        <f t="shared" si="76"/>
        <v>51</v>
      </c>
      <c r="J3518" t="s">
        <v>471</v>
      </c>
      <c r="K3518" t="s">
        <v>25</v>
      </c>
      <c r="L3518" t="s">
        <v>26</v>
      </c>
      <c r="M3518" t="s">
        <v>27</v>
      </c>
      <c r="N3518" s="1">
        <v>18629</v>
      </c>
      <c r="O3518">
        <v>0</v>
      </c>
      <c r="P3518">
        <v>0</v>
      </c>
      <c r="Q3518" t="s">
        <v>28</v>
      </c>
      <c r="R3518" t="s">
        <v>71</v>
      </c>
      <c r="S3518" t="s">
        <v>180</v>
      </c>
      <c r="T3518" t="s">
        <v>181</v>
      </c>
    </row>
    <row r="3519" spans="1:20" x14ac:dyDescent="0.25">
      <c r="A3519" t="s">
        <v>8467</v>
      </c>
      <c r="B3519" t="str">
        <f>"9603"</f>
        <v>9603</v>
      </c>
      <c r="C3519" t="str">
        <f>"290649603"</f>
        <v>290649603</v>
      </c>
      <c r="D3519" t="s">
        <v>8468</v>
      </c>
      <c r="E3519" t="s">
        <v>2290</v>
      </c>
      <c r="F3519" t="s">
        <v>44</v>
      </c>
      <c r="G3519" s="1">
        <v>21761</v>
      </c>
      <c r="H3519" s="1">
        <v>39319</v>
      </c>
      <c r="I3519" t="str">
        <f t="shared" si="76"/>
        <v>51</v>
      </c>
      <c r="J3519" t="s">
        <v>471</v>
      </c>
      <c r="K3519" t="s">
        <v>25</v>
      </c>
      <c r="L3519" t="s">
        <v>26</v>
      </c>
      <c r="M3519" t="s">
        <v>27</v>
      </c>
      <c r="N3519" s="1">
        <v>18629</v>
      </c>
      <c r="O3519">
        <v>0</v>
      </c>
      <c r="P3519">
        <v>0</v>
      </c>
      <c r="Q3519" t="s">
        <v>37</v>
      </c>
      <c r="R3519" t="s">
        <v>71</v>
      </c>
      <c r="S3519" t="s">
        <v>1585</v>
      </c>
      <c r="T3519" t="s">
        <v>1586</v>
      </c>
    </row>
    <row r="3520" spans="1:20" x14ac:dyDescent="0.25">
      <c r="A3520" t="s">
        <v>8469</v>
      </c>
      <c r="B3520" t="str">
        <f>"8021"</f>
        <v>8021</v>
      </c>
      <c r="C3520" t="str">
        <f>"277088021"</f>
        <v>277088021</v>
      </c>
      <c r="D3520" t="s">
        <v>8470</v>
      </c>
      <c r="E3520" t="s">
        <v>8471</v>
      </c>
      <c r="G3520" s="1">
        <v>21830</v>
      </c>
      <c r="H3520" s="1">
        <v>39319</v>
      </c>
      <c r="I3520" t="str">
        <f t="shared" si="76"/>
        <v>51</v>
      </c>
      <c r="J3520" t="s">
        <v>471</v>
      </c>
      <c r="K3520" t="s">
        <v>25</v>
      </c>
      <c r="L3520" t="s">
        <v>26</v>
      </c>
      <c r="M3520" t="s">
        <v>27</v>
      </c>
      <c r="N3520" s="1">
        <v>18629</v>
      </c>
      <c r="O3520">
        <v>0</v>
      </c>
      <c r="P3520">
        <v>0</v>
      </c>
      <c r="Q3520" t="s">
        <v>37</v>
      </c>
      <c r="R3520" t="s">
        <v>71</v>
      </c>
      <c r="S3520" t="s">
        <v>871</v>
      </c>
      <c r="T3520" t="s">
        <v>872</v>
      </c>
    </row>
    <row r="3521" spans="1:20" x14ac:dyDescent="0.25">
      <c r="A3521" t="s">
        <v>8472</v>
      </c>
      <c r="B3521" t="str">
        <f>"7732"</f>
        <v>7732</v>
      </c>
      <c r="C3521" t="str">
        <f>"283627732"</f>
        <v>283627732</v>
      </c>
      <c r="D3521" t="s">
        <v>8473</v>
      </c>
      <c r="E3521" t="s">
        <v>3747</v>
      </c>
      <c r="F3521" t="s">
        <v>26</v>
      </c>
      <c r="G3521" s="1">
        <v>23930</v>
      </c>
      <c r="H3521" s="1">
        <v>39319</v>
      </c>
      <c r="I3521" t="str">
        <f t="shared" si="76"/>
        <v>51</v>
      </c>
      <c r="J3521" t="s">
        <v>471</v>
      </c>
      <c r="K3521" t="s">
        <v>25</v>
      </c>
      <c r="L3521" t="s">
        <v>26</v>
      </c>
      <c r="M3521" t="s">
        <v>27</v>
      </c>
      <c r="N3521" s="1">
        <v>18629</v>
      </c>
      <c r="O3521">
        <v>0</v>
      </c>
      <c r="P3521">
        <v>0</v>
      </c>
      <c r="Q3521" t="s">
        <v>28</v>
      </c>
      <c r="R3521" t="s">
        <v>71</v>
      </c>
      <c r="S3521" t="s">
        <v>2590</v>
      </c>
      <c r="T3521" t="s">
        <v>2591</v>
      </c>
    </row>
    <row r="3522" spans="1:20" x14ac:dyDescent="0.25">
      <c r="A3522" t="s">
        <v>8474</v>
      </c>
      <c r="B3522" t="str">
        <f>"4322"</f>
        <v>4322</v>
      </c>
      <c r="C3522" t="str">
        <f>"283444322"</f>
        <v>283444322</v>
      </c>
      <c r="D3522" t="s">
        <v>1218</v>
      </c>
      <c r="E3522" t="s">
        <v>649</v>
      </c>
      <c r="F3522" t="s">
        <v>8475</v>
      </c>
      <c r="G3522" s="1">
        <v>14837</v>
      </c>
      <c r="H3522" s="1">
        <v>39319</v>
      </c>
      <c r="I3522" t="str">
        <f t="shared" si="76"/>
        <v>51</v>
      </c>
      <c r="J3522" t="s">
        <v>471</v>
      </c>
      <c r="K3522" t="s">
        <v>25</v>
      </c>
      <c r="L3522" t="s">
        <v>26</v>
      </c>
      <c r="M3522" t="s">
        <v>27</v>
      </c>
      <c r="N3522" s="1">
        <v>18629</v>
      </c>
      <c r="O3522">
        <v>0</v>
      </c>
      <c r="P3522">
        <v>0</v>
      </c>
      <c r="Q3522" t="s">
        <v>28</v>
      </c>
      <c r="R3522" t="s">
        <v>71</v>
      </c>
      <c r="S3522" t="s">
        <v>1610</v>
      </c>
      <c r="T3522" t="s">
        <v>1611</v>
      </c>
    </row>
    <row r="3523" spans="1:20" x14ac:dyDescent="0.25">
      <c r="A3523" t="s">
        <v>8476</v>
      </c>
      <c r="B3523" t="str">
        <f>"5958"</f>
        <v>5958</v>
      </c>
      <c r="C3523" t="str">
        <f>"280545958"</f>
        <v>280545958</v>
      </c>
      <c r="D3523" t="s">
        <v>8477</v>
      </c>
      <c r="E3523" t="s">
        <v>1248</v>
      </c>
      <c r="F3523" t="s">
        <v>239</v>
      </c>
      <c r="G3523" s="1">
        <v>19619</v>
      </c>
      <c r="H3523" s="1">
        <v>39319</v>
      </c>
      <c r="I3523" t="str">
        <f t="shared" si="76"/>
        <v>51</v>
      </c>
      <c r="J3523" t="s">
        <v>471</v>
      </c>
      <c r="K3523" t="s">
        <v>25</v>
      </c>
      <c r="L3523" t="s">
        <v>26</v>
      </c>
      <c r="M3523" t="s">
        <v>27</v>
      </c>
      <c r="N3523" s="1">
        <v>18629</v>
      </c>
      <c r="O3523">
        <v>0</v>
      </c>
      <c r="P3523">
        <v>0</v>
      </c>
      <c r="Q3523" t="s">
        <v>37</v>
      </c>
      <c r="R3523" t="s">
        <v>51</v>
      </c>
      <c r="S3523" s="2" t="s">
        <v>4118</v>
      </c>
      <c r="T3523" t="s">
        <v>4119</v>
      </c>
    </row>
    <row r="3524" spans="1:20" x14ac:dyDescent="0.25">
      <c r="A3524" t="s">
        <v>8478</v>
      </c>
      <c r="B3524" t="str">
        <f>"2591"</f>
        <v>2591</v>
      </c>
      <c r="C3524" t="str">
        <f>"284802591"</f>
        <v>284802591</v>
      </c>
      <c r="D3524" t="s">
        <v>8479</v>
      </c>
      <c r="E3524" t="s">
        <v>304</v>
      </c>
      <c r="F3524" t="s">
        <v>190</v>
      </c>
      <c r="G3524" s="1">
        <v>30319</v>
      </c>
      <c r="H3524" s="1">
        <v>39319</v>
      </c>
      <c r="I3524" t="str">
        <f t="shared" si="76"/>
        <v>51</v>
      </c>
      <c r="J3524" t="s">
        <v>471</v>
      </c>
      <c r="K3524" t="s">
        <v>25</v>
      </c>
      <c r="L3524" t="s">
        <v>26</v>
      </c>
      <c r="M3524" t="s">
        <v>27</v>
      </c>
      <c r="N3524" s="1">
        <v>18629</v>
      </c>
      <c r="O3524">
        <v>0</v>
      </c>
      <c r="P3524">
        <v>0</v>
      </c>
      <c r="Q3524" t="s">
        <v>28</v>
      </c>
      <c r="R3524" t="s">
        <v>71</v>
      </c>
      <c r="S3524" t="s">
        <v>180</v>
      </c>
      <c r="T3524" t="s">
        <v>181</v>
      </c>
    </row>
    <row r="3525" spans="1:20" x14ac:dyDescent="0.25">
      <c r="A3525" t="s">
        <v>8480</v>
      </c>
      <c r="B3525" t="str">
        <f>"9139"</f>
        <v>9139</v>
      </c>
      <c r="C3525" t="str">
        <f>"402159139"</f>
        <v>402159139</v>
      </c>
      <c r="D3525" t="s">
        <v>8481</v>
      </c>
      <c r="E3525" t="s">
        <v>1071</v>
      </c>
      <c r="F3525" t="s">
        <v>264</v>
      </c>
      <c r="G3525" s="1">
        <v>23723</v>
      </c>
      <c r="H3525" s="1">
        <v>39319</v>
      </c>
      <c r="I3525" t="str">
        <f t="shared" si="76"/>
        <v>51</v>
      </c>
      <c r="J3525" t="s">
        <v>471</v>
      </c>
      <c r="K3525" t="s">
        <v>25</v>
      </c>
      <c r="L3525" t="s">
        <v>26</v>
      </c>
      <c r="M3525" t="s">
        <v>27</v>
      </c>
      <c r="N3525" s="1">
        <v>18629</v>
      </c>
      <c r="O3525">
        <v>0</v>
      </c>
      <c r="P3525">
        <v>0</v>
      </c>
      <c r="Q3525" t="s">
        <v>37</v>
      </c>
      <c r="R3525" t="s">
        <v>71</v>
      </c>
      <c r="S3525" t="s">
        <v>2297</v>
      </c>
      <c r="T3525" t="s">
        <v>2298</v>
      </c>
    </row>
    <row r="3526" spans="1:20" x14ac:dyDescent="0.25">
      <c r="A3526" t="s">
        <v>8482</v>
      </c>
      <c r="B3526" t="str">
        <f>"2867"</f>
        <v>2867</v>
      </c>
      <c r="C3526" t="str">
        <f>"289762867"</f>
        <v>289762867</v>
      </c>
      <c r="D3526" t="s">
        <v>3973</v>
      </c>
      <c r="E3526" t="s">
        <v>813</v>
      </c>
      <c r="F3526" t="s">
        <v>219</v>
      </c>
      <c r="G3526" s="1">
        <v>29476</v>
      </c>
      <c r="H3526" s="1">
        <v>39319</v>
      </c>
      <c r="I3526" t="str">
        <f t="shared" si="76"/>
        <v>51</v>
      </c>
      <c r="J3526" t="s">
        <v>471</v>
      </c>
      <c r="K3526" t="s">
        <v>25</v>
      </c>
      <c r="L3526" t="s">
        <v>26</v>
      </c>
      <c r="M3526" t="s">
        <v>27</v>
      </c>
      <c r="N3526" s="1">
        <v>18629</v>
      </c>
      <c r="O3526">
        <v>0</v>
      </c>
      <c r="P3526">
        <v>0</v>
      </c>
      <c r="Q3526" t="s">
        <v>37</v>
      </c>
      <c r="R3526" t="s">
        <v>71</v>
      </c>
      <c r="S3526" t="s">
        <v>2458</v>
      </c>
      <c r="T3526" t="s">
        <v>2459</v>
      </c>
    </row>
    <row r="3527" spans="1:20" x14ac:dyDescent="0.25">
      <c r="A3527" t="s">
        <v>8483</v>
      </c>
      <c r="B3527" t="str">
        <f>"1077"</f>
        <v>1077</v>
      </c>
      <c r="C3527" t="str">
        <f>"081501077"</f>
        <v>081501077</v>
      </c>
      <c r="D3527" t="s">
        <v>8484</v>
      </c>
      <c r="E3527" t="s">
        <v>256</v>
      </c>
      <c r="F3527" t="s">
        <v>414</v>
      </c>
      <c r="G3527" s="1">
        <v>20068</v>
      </c>
      <c r="H3527" s="1">
        <v>39319</v>
      </c>
      <c r="I3527" t="str">
        <f t="shared" si="76"/>
        <v>51</v>
      </c>
      <c r="J3527" t="s">
        <v>471</v>
      </c>
      <c r="K3527" t="s">
        <v>25</v>
      </c>
      <c r="L3527" t="s">
        <v>26</v>
      </c>
      <c r="M3527" t="s">
        <v>27</v>
      </c>
      <c r="N3527" s="1">
        <v>18629</v>
      </c>
      <c r="O3527">
        <v>0</v>
      </c>
      <c r="P3527">
        <v>0</v>
      </c>
      <c r="Q3527" t="s">
        <v>37</v>
      </c>
      <c r="R3527" t="s">
        <v>51</v>
      </c>
      <c r="S3527" s="2" t="s">
        <v>3778</v>
      </c>
      <c r="T3527" t="s">
        <v>3779</v>
      </c>
    </row>
    <row r="3528" spans="1:20" x14ac:dyDescent="0.25">
      <c r="A3528" t="s">
        <v>8485</v>
      </c>
      <c r="B3528" t="str">
        <f>"7133"</f>
        <v>7133</v>
      </c>
      <c r="C3528" t="str">
        <f>"287667133"</f>
        <v>287667133</v>
      </c>
      <c r="D3528" t="s">
        <v>8486</v>
      </c>
      <c r="E3528" t="s">
        <v>1026</v>
      </c>
      <c r="F3528" t="s">
        <v>174</v>
      </c>
      <c r="G3528" s="1">
        <v>21421</v>
      </c>
      <c r="H3528" s="1">
        <v>39319</v>
      </c>
      <c r="I3528" t="str">
        <f t="shared" si="76"/>
        <v>51</v>
      </c>
      <c r="J3528" t="s">
        <v>471</v>
      </c>
      <c r="K3528" t="s">
        <v>25</v>
      </c>
      <c r="L3528" t="s">
        <v>26</v>
      </c>
      <c r="M3528" t="s">
        <v>27</v>
      </c>
      <c r="N3528" s="1">
        <v>18629</v>
      </c>
      <c r="O3528">
        <v>0</v>
      </c>
      <c r="P3528">
        <v>0</v>
      </c>
      <c r="Q3528" t="s">
        <v>37</v>
      </c>
      <c r="R3528" t="s">
        <v>71</v>
      </c>
      <c r="S3528" t="s">
        <v>770</v>
      </c>
      <c r="T3528" t="s">
        <v>771</v>
      </c>
    </row>
    <row r="3529" spans="1:20" x14ac:dyDescent="0.25">
      <c r="A3529" t="s">
        <v>8487</v>
      </c>
      <c r="B3529" t="str">
        <f>"5655"</f>
        <v>5655</v>
      </c>
      <c r="C3529" t="str">
        <f>"286665655"</f>
        <v>286665655</v>
      </c>
      <c r="D3529" t="s">
        <v>8055</v>
      </c>
      <c r="E3529" t="s">
        <v>1666</v>
      </c>
      <c r="F3529" t="s">
        <v>97</v>
      </c>
      <c r="G3529" s="1">
        <v>21172</v>
      </c>
      <c r="H3529" s="1">
        <v>39319</v>
      </c>
      <c r="I3529" t="str">
        <f t="shared" si="76"/>
        <v>51</v>
      </c>
      <c r="J3529" t="s">
        <v>471</v>
      </c>
      <c r="K3529" t="s">
        <v>25</v>
      </c>
      <c r="L3529" t="s">
        <v>26</v>
      </c>
      <c r="M3529" t="s">
        <v>27</v>
      </c>
      <c r="N3529" s="1">
        <v>18629</v>
      </c>
      <c r="O3529">
        <v>0</v>
      </c>
      <c r="P3529">
        <v>0</v>
      </c>
      <c r="Q3529" t="s">
        <v>37</v>
      </c>
      <c r="R3529" t="s">
        <v>71</v>
      </c>
      <c r="S3529" t="s">
        <v>157</v>
      </c>
      <c r="T3529" t="s">
        <v>158</v>
      </c>
    </row>
    <row r="3530" spans="1:20" x14ac:dyDescent="0.25">
      <c r="A3530" t="s">
        <v>8488</v>
      </c>
      <c r="B3530" t="str">
        <f>"5766"</f>
        <v>5766</v>
      </c>
      <c r="C3530" t="str">
        <f>"299645766"</f>
        <v>299645766</v>
      </c>
      <c r="D3530" t="s">
        <v>8489</v>
      </c>
      <c r="E3530" t="s">
        <v>56</v>
      </c>
      <c r="F3530" t="s">
        <v>97</v>
      </c>
      <c r="G3530" s="1">
        <v>23986</v>
      </c>
      <c r="H3530" s="1">
        <v>39319</v>
      </c>
      <c r="I3530" t="str">
        <f t="shared" si="76"/>
        <v>51</v>
      </c>
      <c r="J3530" t="s">
        <v>471</v>
      </c>
      <c r="K3530" t="s">
        <v>25</v>
      </c>
      <c r="L3530" t="s">
        <v>26</v>
      </c>
      <c r="M3530" t="s">
        <v>27</v>
      </c>
      <c r="N3530" s="1">
        <v>18629</v>
      </c>
      <c r="O3530">
        <v>0</v>
      </c>
      <c r="P3530">
        <v>0</v>
      </c>
      <c r="Q3530" t="s">
        <v>28</v>
      </c>
      <c r="R3530" t="s">
        <v>71</v>
      </c>
      <c r="S3530" t="s">
        <v>1681</v>
      </c>
      <c r="T3530" t="s">
        <v>1682</v>
      </c>
    </row>
    <row r="3531" spans="1:20" x14ac:dyDescent="0.25">
      <c r="A3531" t="s">
        <v>8490</v>
      </c>
      <c r="B3531" t="str">
        <f>"1404"</f>
        <v>1404</v>
      </c>
      <c r="C3531" t="str">
        <f>"515661404"</f>
        <v>515661404</v>
      </c>
      <c r="D3531" t="s">
        <v>8491</v>
      </c>
      <c r="E3531" t="s">
        <v>8492</v>
      </c>
      <c r="F3531" t="s">
        <v>264</v>
      </c>
      <c r="G3531" s="1">
        <v>28404</v>
      </c>
      <c r="H3531" s="1">
        <v>39319</v>
      </c>
      <c r="I3531" t="str">
        <f t="shared" si="76"/>
        <v>51</v>
      </c>
      <c r="J3531" t="s">
        <v>471</v>
      </c>
      <c r="K3531" t="s">
        <v>25</v>
      </c>
      <c r="L3531" t="s">
        <v>26</v>
      </c>
      <c r="M3531" t="s">
        <v>27</v>
      </c>
      <c r="N3531" s="1">
        <v>18629</v>
      </c>
      <c r="O3531">
        <v>0</v>
      </c>
      <c r="P3531">
        <v>0</v>
      </c>
      <c r="Q3531" t="s">
        <v>28</v>
      </c>
      <c r="R3531" t="s">
        <v>71</v>
      </c>
      <c r="S3531" t="s">
        <v>3502</v>
      </c>
      <c r="T3531" t="s">
        <v>3503</v>
      </c>
    </row>
    <row r="3532" spans="1:20" x14ac:dyDescent="0.25">
      <c r="A3532" t="s">
        <v>8493</v>
      </c>
      <c r="B3532" t="str">
        <f>"9981"</f>
        <v>9981</v>
      </c>
      <c r="C3532" t="str">
        <f>"273429981"</f>
        <v>273429981</v>
      </c>
      <c r="D3532" t="s">
        <v>8494</v>
      </c>
      <c r="E3532" t="s">
        <v>4373</v>
      </c>
      <c r="F3532" t="s">
        <v>97</v>
      </c>
      <c r="G3532" s="1">
        <v>19615</v>
      </c>
      <c r="H3532" s="1">
        <v>39319</v>
      </c>
      <c r="I3532" t="str">
        <f t="shared" si="76"/>
        <v>51</v>
      </c>
      <c r="J3532" t="s">
        <v>471</v>
      </c>
      <c r="K3532" t="s">
        <v>25</v>
      </c>
      <c r="L3532" t="s">
        <v>26</v>
      </c>
      <c r="M3532" t="s">
        <v>27</v>
      </c>
      <c r="N3532" s="1">
        <v>18629</v>
      </c>
      <c r="O3532">
        <v>0</v>
      </c>
      <c r="P3532">
        <v>0</v>
      </c>
      <c r="Q3532" t="s">
        <v>28</v>
      </c>
      <c r="R3532" t="s">
        <v>71</v>
      </c>
      <c r="S3532" t="s">
        <v>1681</v>
      </c>
      <c r="T3532" t="s">
        <v>1682</v>
      </c>
    </row>
    <row r="3533" spans="1:20" x14ac:dyDescent="0.25">
      <c r="A3533" t="s">
        <v>8495</v>
      </c>
      <c r="B3533" t="str">
        <f>"4435"</f>
        <v>4435</v>
      </c>
      <c r="C3533" t="str">
        <f>"282544435"</f>
        <v>282544435</v>
      </c>
      <c r="D3533" t="s">
        <v>6000</v>
      </c>
      <c r="E3533" t="s">
        <v>8496</v>
      </c>
      <c r="F3533" t="s">
        <v>28</v>
      </c>
      <c r="G3533" s="1">
        <v>20043</v>
      </c>
      <c r="H3533" s="1">
        <v>39319</v>
      </c>
      <c r="I3533" t="str">
        <f t="shared" si="76"/>
        <v>51</v>
      </c>
      <c r="J3533" t="s">
        <v>471</v>
      </c>
      <c r="K3533" t="s">
        <v>25</v>
      </c>
      <c r="L3533" t="s">
        <v>26</v>
      </c>
      <c r="M3533" t="s">
        <v>27</v>
      </c>
      <c r="N3533" s="1">
        <v>18629</v>
      </c>
      <c r="O3533">
        <v>0</v>
      </c>
      <c r="P3533">
        <v>0</v>
      </c>
      <c r="Q3533" t="s">
        <v>37</v>
      </c>
      <c r="R3533" t="s">
        <v>71</v>
      </c>
      <c r="S3533" t="s">
        <v>180</v>
      </c>
      <c r="T3533" t="s">
        <v>181</v>
      </c>
    </row>
    <row r="3534" spans="1:20" x14ac:dyDescent="0.25">
      <c r="A3534" t="s">
        <v>8497</v>
      </c>
      <c r="B3534" t="str">
        <f>"9614"</f>
        <v>9614</v>
      </c>
      <c r="C3534" t="str">
        <f>"301689614"</f>
        <v>301689614</v>
      </c>
      <c r="D3534" t="s">
        <v>445</v>
      </c>
      <c r="E3534" t="s">
        <v>5963</v>
      </c>
      <c r="F3534" t="s">
        <v>264</v>
      </c>
      <c r="G3534" s="1">
        <v>23839</v>
      </c>
      <c r="H3534" s="1">
        <v>39319</v>
      </c>
      <c r="I3534" t="str">
        <f t="shared" si="76"/>
        <v>51</v>
      </c>
      <c r="J3534" t="s">
        <v>471</v>
      </c>
      <c r="K3534" t="s">
        <v>25</v>
      </c>
      <c r="L3534" t="s">
        <v>26</v>
      </c>
      <c r="M3534" t="s">
        <v>27</v>
      </c>
      <c r="N3534" s="1">
        <v>18629</v>
      </c>
      <c r="O3534">
        <v>0</v>
      </c>
      <c r="P3534">
        <v>0</v>
      </c>
      <c r="Q3534" t="s">
        <v>37</v>
      </c>
      <c r="R3534" t="s">
        <v>29</v>
      </c>
      <c r="S3534" t="s">
        <v>3763</v>
      </c>
      <c r="T3534" t="s">
        <v>3764</v>
      </c>
    </row>
    <row r="3535" spans="1:20" x14ac:dyDescent="0.25">
      <c r="A3535" t="s">
        <v>8498</v>
      </c>
      <c r="B3535" t="str">
        <f>"2448"</f>
        <v>2448</v>
      </c>
      <c r="C3535" t="str">
        <f>"268382448"</f>
        <v>268382448</v>
      </c>
      <c r="D3535" t="s">
        <v>8499</v>
      </c>
      <c r="E3535" t="s">
        <v>56</v>
      </c>
      <c r="F3535" t="s">
        <v>190</v>
      </c>
      <c r="G3535" s="1">
        <v>15675</v>
      </c>
      <c r="H3535" s="1">
        <v>39319</v>
      </c>
      <c r="I3535" t="str">
        <f t="shared" si="76"/>
        <v>51</v>
      </c>
      <c r="J3535" t="s">
        <v>471</v>
      </c>
      <c r="K3535" t="s">
        <v>25</v>
      </c>
      <c r="L3535" t="s">
        <v>26</v>
      </c>
      <c r="M3535" t="s">
        <v>27</v>
      </c>
      <c r="N3535" s="1">
        <v>18629</v>
      </c>
      <c r="O3535">
        <v>0</v>
      </c>
      <c r="P3535">
        <v>0</v>
      </c>
      <c r="Q3535" t="s">
        <v>28</v>
      </c>
      <c r="R3535" t="s">
        <v>29</v>
      </c>
      <c r="S3535" t="s">
        <v>1555</v>
      </c>
      <c r="T3535" t="s">
        <v>1556</v>
      </c>
    </row>
    <row r="3536" spans="1:20" x14ac:dyDescent="0.25">
      <c r="A3536" t="s">
        <v>8500</v>
      </c>
      <c r="B3536" t="str">
        <f>"0438"</f>
        <v>0438</v>
      </c>
      <c r="C3536" t="str">
        <f>"104840438"</f>
        <v>104840438</v>
      </c>
      <c r="D3536" t="s">
        <v>8501</v>
      </c>
      <c r="E3536" t="s">
        <v>8502</v>
      </c>
      <c r="F3536" t="s">
        <v>438</v>
      </c>
      <c r="G3536" s="1">
        <v>19876</v>
      </c>
      <c r="H3536" s="1">
        <v>39319</v>
      </c>
      <c r="I3536" t="str">
        <f t="shared" si="76"/>
        <v>51</v>
      </c>
      <c r="J3536" t="s">
        <v>471</v>
      </c>
      <c r="K3536" t="s">
        <v>25</v>
      </c>
      <c r="L3536" t="s">
        <v>26</v>
      </c>
      <c r="M3536" t="s">
        <v>27</v>
      </c>
      <c r="N3536" s="1">
        <v>18629</v>
      </c>
      <c r="O3536">
        <v>0</v>
      </c>
      <c r="P3536">
        <v>0</v>
      </c>
      <c r="Q3536" t="s">
        <v>28</v>
      </c>
      <c r="R3536" t="s">
        <v>71</v>
      </c>
      <c r="S3536" t="s">
        <v>3502</v>
      </c>
      <c r="T3536" t="s">
        <v>3503</v>
      </c>
    </row>
    <row r="3537" spans="1:20" x14ac:dyDescent="0.25">
      <c r="A3537" t="s">
        <v>8503</v>
      </c>
      <c r="B3537" t="str">
        <f>"0697"</f>
        <v>0697</v>
      </c>
      <c r="C3537" t="str">
        <f>"300600697"</f>
        <v>300600697</v>
      </c>
      <c r="D3537" t="s">
        <v>8504</v>
      </c>
      <c r="E3537" t="s">
        <v>3181</v>
      </c>
      <c r="F3537" t="s">
        <v>97</v>
      </c>
      <c r="G3537" s="1">
        <v>24563</v>
      </c>
      <c r="H3537" s="1">
        <v>39319</v>
      </c>
      <c r="I3537" t="str">
        <f t="shared" si="76"/>
        <v>51</v>
      </c>
      <c r="J3537" t="s">
        <v>471</v>
      </c>
      <c r="K3537" t="s">
        <v>25</v>
      </c>
      <c r="L3537" t="s">
        <v>26</v>
      </c>
      <c r="M3537" t="s">
        <v>27</v>
      </c>
      <c r="N3537" s="1">
        <v>18629</v>
      </c>
      <c r="O3537">
        <v>0</v>
      </c>
      <c r="P3537">
        <v>0</v>
      </c>
      <c r="Q3537" t="s">
        <v>28</v>
      </c>
      <c r="R3537" t="s">
        <v>29</v>
      </c>
      <c r="S3537" t="s">
        <v>3763</v>
      </c>
      <c r="T3537" t="s">
        <v>3764</v>
      </c>
    </row>
    <row r="3538" spans="1:20" x14ac:dyDescent="0.25">
      <c r="A3538" t="s">
        <v>8505</v>
      </c>
      <c r="B3538" t="str">
        <f>"2487"</f>
        <v>2487</v>
      </c>
      <c r="C3538" t="str">
        <f>"288402487"</f>
        <v>288402487</v>
      </c>
      <c r="D3538" t="s">
        <v>8506</v>
      </c>
      <c r="E3538" t="s">
        <v>1415</v>
      </c>
      <c r="F3538" t="s">
        <v>8507</v>
      </c>
      <c r="G3538" s="1">
        <v>16077</v>
      </c>
      <c r="H3538" s="1">
        <v>39319</v>
      </c>
      <c r="I3538" t="str">
        <f t="shared" si="76"/>
        <v>51</v>
      </c>
      <c r="J3538" t="s">
        <v>471</v>
      </c>
      <c r="K3538" t="s">
        <v>25</v>
      </c>
      <c r="L3538" t="s">
        <v>26</v>
      </c>
      <c r="M3538" t="s">
        <v>27</v>
      </c>
      <c r="N3538" s="1">
        <v>18629</v>
      </c>
      <c r="O3538">
        <v>0</v>
      </c>
      <c r="P3538">
        <v>0</v>
      </c>
      <c r="Q3538" t="s">
        <v>37</v>
      </c>
      <c r="R3538" t="s">
        <v>29</v>
      </c>
      <c r="S3538" t="s">
        <v>138</v>
      </c>
      <c r="T3538" t="s">
        <v>139</v>
      </c>
    </row>
    <row r="3539" spans="1:20" x14ac:dyDescent="0.25">
      <c r="A3539" t="s">
        <v>8508</v>
      </c>
      <c r="B3539" t="str">
        <f>"8159"</f>
        <v>8159</v>
      </c>
      <c r="C3539" t="str">
        <f>"291848159"</f>
        <v>291848159</v>
      </c>
      <c r="D3539" t="s">
        <v>8509</v>
      </c>
      <c r="E3539" t="s">
        <v>8510</v>
      </c>
      <c r="G3539" s="1">
        <v>19357</v>
      </c>
      <c r="H3539" s="1">
        <v>39319</v>
      </c>
      <c r="I3539" t="str">
        <f t="shared" si="76"/>
        <v>51</v>
      </c>
      <c r="J3539" t="s">
        <v>471</v>
      </c>
      <c r="K3539" t="s">
        <v>25</v>
      </c>
      <c r="L3539" t="s">
        <v>26</v>
      </c>
      <c r="M3539" t="s">
        <v>27</v>
      </c>
      <c r="N3539" s="1">
        <v>18629</v>
      </c>
      <c r="O3539">
        <v>0</v>
      </c>
      <c r="P3539">
        <v>0</v>
      </c>
      <c r="Q3539" t="s">
        <v>37</v>
      </c>
      <c r="R3539" t="s">
        <v>71</v>
      </c>
      <c r="S3539" t="s">
        <v>2458</v>
      </c>
      <c r="T3539" t="s">
        <v>2459</v>
      </c>
    </row>
    <row r="3540" spans="1:20" x14ac:dyDescent="0.25">
      <c r="A3540" t="s">
        <v>8511</v>
      </c>
      <c r="B3540" t="str">
        <f>"7223"</f>
        <v>7223</v>
      </c>
      <c r="C3540" t="str">
        <f>"268567223"</f>
        <v>268567223</v>
      </c>
      <c r="D3540" t="s">
        <v>8512</v>
      </c>
      <c r="E3540" t="s">
        <v>3646</v>
      </c>
      <c r="F3540" t="s">
        <v>28</v>
      </c>
      <c r="G3540" s="1">
        <v>21246</v>
      </c>
      <c r="H3540" s="1">
        <v>39319</v>
      </c>
      <c r="I3540" t="str">
        <f t="shared" si="76"/>
        <v>51</v>
      </c>
      <c r="J3540" t="s">
        <v>471</v>
      </c>
      <c r="K3540" t="s">
        <v>25</v>
      </c>
      <c r="L3540" t="s">
        <v>26</v>
      </c>
      <c r="M3540" t="s">
        <v>27</v>
      </c>
      <c r="N3540" s="1">
        <v>18629</v>
      </c>
      <c r="O3540">
        <v>0</v>
      </c>
      <c r="P3540">
        <v>0</v>
      </c>
      <c r="Q3540" t="s">
        <v>28</v>
      </c>
      <c r="R3540" t="s">
        <v>51</v>
      </c>
      <c r="S3540" s="2" t="s">
        <v>2202</v>
      </c>
      <c r="T3540" t="s">
        <v>2203</v>
      </c>
    </row>
    <row r="3541" spans="1:20" x14ac:dyDescent="0.25">
      <c r="A3541" t="s">
        <v>8513</v>
      </c>
      <c r="B3541" t="str">
        <f>"3289"</f>
        <v>3289</v>
      </c>
      <c r="C3541" t="str">
        <f>"281623289"</f>
        <v>281623289</v>
      </c>
      <c r="D3541" t="s">
        <v>3856</v>
      </c>
      <c r="E3541" t="s">
        <v>609</v>
      </c>
      <c r="F3541" t="s">
        <v>264</v>
      </c>
      <c r="G3541" s="1">
        <v>21481</v>
      </c>
      <c r="H3541" s="1">
        <v>39319</v>
      </c>
      <c r="I3541" t="str">
        <f t="shared" si="76"/>
        <v>51</v>
      </c>
      <c r="J3541" t="s">
        <v>471</v>
      </c>
      <c r="K3541" t="s">
        <v>25</v>
      </c>
      <c r="L3541" t="s">
        <v>26</v>
      </c>
      <c r="M3541" t="s">
        <v>27</v>
      </c>
      <c r="N3541" s="1">
        <v>18629</v>
      </c>
      <c r="O3541">
        <v>0</v>
      </c>
      <c r="P3541">
        <v>0</v>
      </c>
      <c r="Q3541" t="s">
        <v>28</v>
      </c>
      <c r="R3541" t="s">
        <v>29</v>
      </c>
      <c r="S3541" t="s">
        <v>1572</v>
      </c>
      <c r="T3541" t="s">
        <v>1573</v>
      </c>
    </row>
    <row r="3542" spans="1:20" x14ac:dyDescent="0.25">
      <c r="A3542" t="s">
        <v>8514</v>
      </c>
      <c r="B3542" t="str">
        <f>"6091"</f>
        <v>6091</v>
      </c>
      <c r="C3542" t="str">
        <f>"296586091"</f>
        <v>296586091</v>
      </c>
      <c r="D3542" t="s">
        <v>8137</v>
      </c>
      <c r="E3542" t="s">
        <v>178</v>
      </c>
      <c r="F3542" t="s">
        <v>345</v>
      </c>
      <c r="G3542" s="1">
        <v>25985</v>
      </c>
      <c r="H3542" s="1">
        <v>39319</v>
      </c>
      <c r="I3542" t="str">
        <f t="shared" si="76"/>
        <v>51</v>
      </c>
      <c r="J3542" t="s">
        <v>471</v>
      </c>
      <c r="K3542" t="s">
        <v>25</v>
      </c>
      <c r="L3542" t="s">
        <v>26</v>
      </c>
      <c r="M3542" t="s">
        <v>27</v>
      </c>
      <c r="N3542" s="1">
        <v>18629</v>
      </c>
      <c r="O3542">
        <v>0</v>
      </c>
      <c r="P3542">
        <v>0</v>
      </c>
      <c r="Q3542" t="s">
        <v>28</v>
      </c>
      <c r="R3542" t="s">
        <v>71</v>
      </c>
      <c r="S3542" t="s">
        <v>2590</v>
      </c>
      <c r="T3542" t="s">
        <v>2591</v>
      </c>
    </row>
    <row r="3543" spans="1:20" x14ac:dyDescent="0.25">
      <c r="A3543" t="s">
        <v>8515</v>
      </c>
      <c r="B3543" t="str">
        <f>"3352"</f>
        <v>3352</v>
      </c>
      <c r="C3543" t="str">
        <f>"295463352"</f>
        <v>295463352</v>
      </c>
      <c r="D3543" t="s">
        <v>8516</v>
      </c>
      <c r="E3543" t="s">
        <v>609</v>
      </c>
      <c r="F3543" t="s">
        <v>93</v>
      </c>
      <c r="G3543" s="1">
        <v>22395</v>
      </c>
      <c r="H3543" s="1">
        <v>39319</v>
      </c>
      <c r="I3543" t="str">
        <f t="shared" si="76"/>
        <v>51</v>
      </c>
      <c r="J3543" t="s">
        <v>471</v>
      </c>
      <c r="K3543" t="s">
        <v>25</v>
      </c>
      <c r="L3543" t="s">
        <v>26</v>
      </c>
      <c r="M3543" t="s">
        <v>27</v>
      </c>
      <c r="N3543" s="1">
        <v>18629</v>
      </c>
      <c r="O3543">
        <v>0</v>
      </c>
      <c r="P3543">
        <v>0</v>
      </c>
      <c r="Q3543" t="s">
        <v>28</v>
      </c>
      <c r="R3543" t="s">
        <v>71</v>
      </c>
      <c r="S3543" t="s">
        <v>2458</v>
      </c>
      <c r="T3543" t="s">
        <v>2459</v>
      </c>
    </row>
    <row r="3544" spans="1:20" x14ac:dyDescent="0.25">
      <c r="A3544" t="s">
        <v>8517</v>
      </c>
      <c r="B3544" t="str">
        <f>"4713"</f>
        <v>4713</v>
      </c>
      <c r="C3544" t="str">
        <f>"371904713"</f>
        <v>371904713</v>
      </c>
      <c r="D3544" t="s">
        <v>8518</v>
      </c>
      <c r="E3544" t="s">
        <v>381</v>
      </c>
      <c r="F3544" t="s">
        <v>93</v>
      </c>
      <c r="G3544" s="1">
        <v>24728</v>
      </c>
      <c r="H3544" s="1">
        <v>39319</v>
      </c>
      <c r="I3544" t="str">
        <f t="shared" si="76"/>
        <v>51</v>
      </c>
      <c r="J3544" t="s">
        <v>471</v>
      </c>
      <c r="K3544" t="s">
        <v>25</v>
      </c>
      <c r="L3544" t="s">
        <v>26</v>
      </c>
      <c r="M3544" t="s">
        <v>27</v>
      </c>
      <c r="N3544" s="1">
        <v>18629</v>
      </c>
      <c r="O3544">
        <v>0</v>
      </c>
      <c r="P3544">
        <v>0</v>
      </c>
      <c r="Q3544" t="s">
        <v>37</v>
      </c>
      <c r="R3544" t="s">
        <v>71</v>
      </c>
      <c r="S3544" t="s">
        <v>2406</v>
      </c>
      <c r="T3544" t="s">
        <v>2407</v>
      </c>
    </row>
    <row r="3545" spans="1:20" x14ac:dyDescent="0.25">
      <c r="A3545" t="s">
        <v>8519</v>
      </c>
      <c r="B3545" t="str">
        <f>"0160"</f>
        <v>0160</v>
      </c>
      <c r="C3545" t="str">
        <f>"638820160"</f>
        <v>638820160</v>
      </c>
      <c r="D3545" t="s">
        <v>3459</v>
      </c>
      <c r="E3545" t="s">
        <v>8520</v>
      </c>
      <c r="G3545" s="1">
        <v>25290</v>
      </c>
      <c r="H3545" s="1">
        <v>39319</v>
      </c>
      <c r="I3545" t="str">
        <f t="shared" si="76"/>
        <v>51</v>
      </c>
      <c r="J3545" t="s">
        <v>471</v>
      </c>
      <c r="K3545" t="s">
        <v>25</v>
      </c>
      <c r="L3545" t="s">
        <v>26</v>
      </c>
      <c r="M3545" t="s">
        <v>27</v>
      </c>
      <c r="N3545" s="1">
        <v>18629</v>
      </c>
      <c r="O3545">
        <v>0</v>
      </c>
      <c r="P3545">
        <v>0</v>
      </c>
      <c r="Q3545" t="s">
        <v>37</v>
      </c>
      <c r="R3545" t="s">
        <v>29</v>
      </c>
      <c r="S3545" t="s">
        <v>1572</v>
      </c>
      <c r="T3545" t="s">
        <v>1573</v>
      </c>
    </row>
    <row r="3546" spans="1:20" x14ac:dyDescent="0.25">
      <c r="A3546" t="s">
        <v>8521</v>
      </c>
      <c r="B3546" t="str">
        <f>"6378"</f>
        <v>6378</v>
      </c>
      <c r="C3546" t="str">
        <f>"283826378"</f>
        <v>283826378</v>
      </c>
      <c r="D3546" t="s">
        <v>5032</v>
      </c>
      <c r="E3546" t="s">
        <v>8522</v>
      </c>
      <c r="F3546" t="s">
        <v>97</v>
      </c>
      <c r="G3546" s="1">
        <v>25804</v>
      </c>
      <c r="H3546" s="1">
        <v>39319</v>
      </c>
      <c r="I3546" t="str">
        <f>"20"</f>
        <v>20</v>
      </c>
      <c r="J3546" t="s">
        <v>123</v>
      </c>
      <c r="K3546" t="s">
        <v>98</v>
      </c>
      <c r="L3546" t="s">
        <v>37</v>
      </c>
      <c r="M3546" t="s">
        <v>117</v>
      </c>
      <c r="N3546" s="1">
        <v>41631</v>
      </c>
      <c r="O3546">
        <v>4951.9799999999996</v>
      </c>
      <c r="P3546">
        <v>1237.94</v>
      </c>
      <c r="Q3546" t="s">
        <v>37</v>
      </c>
      <c r="R3546" t="s">
        <v>71</v>
      </c>
      <c r="S3546" t="s">
        <v>2458</v>
      </c>
      <c r="T3546" t="s">
        <v>2459</v>
      </c>
    </row>
    <row r="3547" spans="1:20" x14ac:dyDescent="0.25">
      <c r="A3547" t="s">
        <v>8523</v>
      </c>
      <c r="B3547" t="str">
        <f>"8348"</f>
        <v>8348</v>
      </c>
      <c r="C3547" t="str">
        <f>"292448348"</f>
        <v>292448348</v>
      </c>
      <c r="D3547" t="s">
        <v>8251</v>
      </c>
      <c r="E3547" t="s">
        <v>959</v>
      </c>
      <c r="F3547" t="s">
        <v>69</v>
      </c>
      <c r="G3547" s="1">
        <v>17541</v>
      </c>
      <c r="H3547" s="1">
        <v>39319</v>
      </c>
      <c r="I3547" t="str">
        <f>"51"</f>
        <v>51</v>
      </c>
      <c r="J3547" t="s">
        <v>471</v>
      </c>
      <c r="K3547" t="s">
        <v>25</v>
      </c>
      <c r="L3547" t="s">
        <v>26</v>
      </c>
      <c r="M3547" t="s">
        <v>27</v>
      </c>
      <c r="N3547" s="1">
        <v>18629</v>
      </c>
      <c r="O3547">
        <v>0</v>
      </c>
      <c r="P3547">
        <v>0</v>
      </c>
      <c r="Q3547" t="s">
        <v>28</v>
      </c>
      <c r="R3547" t="s">
        <v>71</v>
      </c>
      <c r="S3547" t="s">
        <v>1585</v>
      </c>
      <c r="T3547" t="s">
        <v>1586</v>
      </c>
    </row>
    <row r="3548" spans="1:20" x14ac:dyDescent="0.25">
      <c r="A3548" t="s">
        <v>8524</v>
      </c>
      <c r="B3548" t="str">
        <f>"6325"</f>
        <v>6325</v>
      </c>
      <c r="C3548" t="str">
        <f>"173446325"</f>
        <v>173446325</v>
      </c>
      <c r="D3548" t="s">
        <v>8525</v>
      </c>
      <c r="E3548" t="s">
        <v>2917</v>
      </c>
      <c r="F3548" t="s">
        <v>28</v>
      </c>
      <c r="G3548" s="1">
        <v>19769</v>
      </c>
      <c r="H3548" s="1">
        <v>39319</v>
      </c>
      <c r="I3548" t="str">
        <f>"51"</f>
        <v>51</v>
      </c>
      <c r="J3548" t="s">
        <v>471</v>
      </c>
      <c r="K3548" t="s">
        <v>25</v>
      </c>
      <c r="L3548" t="s">
        <v>26</v>
      </c>
      <c r="M3548" t="s">
        <v>27</v>
      </c>
      <c r="N3548" s="1">
        <v>18629</v>
      </c>
      <c r="O3548">
        <v>0</v>
      </c>
      <c r="P3548">
        <v>0</v>
      </c>
      <c r="Q3548" t="s">
        <v>37</v>
      </c>
      <c r="R3548" t="s">
        <v>71</v>
      </c>
      <c r="S3548" t="s">
        <v>2406</v>
      </c>
      <c r="T3548" t="s">
        <v>2407</v>
      </c>
    </row>
    <row r="3549" spans="1:20" x14ac:dyDescent="0.25">
      <c r="A3549" t="s">
        <v>8526</v>
      </c>
      <c r="B3549" t="str">
        <f>"7663"</f>
        <v>7663</v>
      </c>
      <c r="C3549" t="str">
        <f>"273807663"</f>
        <v>273807663</v>
      </c>
      <c r="D3549" t="s">
        <v>8527</v>
      </c>
      <c r="E3549" t="s">
        <v>2500</v>
      </c>
      <c r="F3549" t="s">
        <v>165</v>
      </c>
      <c r="G3549" s="1">
        <v>26102</v>
      </c>
      <c r="H3549" s="1">
        <v>39319</v>
      </c>
      <c r="I3549" t="str">
        <f>"51"</f>
        <v>51</v>
      </c>
      <c r="J3549" t="s">
        <v>471</v>
      </c>
      <c r="K3549" t="s">
        <v>25</v>
      </c>
      <c r="L3549" t="s">
        <v>26</v>
      </c>
      <c r="M3549" t="s">
        <v>27</v>
      </c>
      <c r="N3549" s="1">
        <v>18629</v>
      </c>
      <c r="O3549">
        <v>0</v>
      </c>
      <c r="P3549">
        <v>0</v>
      </c>
      <c r="Q3549" t="s">
        <v>37</v>
      </c>
      <c r="R3549" t="s">
        <v>51</v>
      </c>
      <c r="S3549" s="2" t="s">
        <v>1727</v>
      </c>
      <c r="T3549" t="s">
        <v>1728</v>
      </c>
    </row>
    <row r="3550" spans="1:20" x14ac:dyDescent="0.25">
      <c r="A3550" t="s">
        <v>8528</v>
      </c>
      <c r="B3550" t="str">
        <f>"6691"</f>
        <v>6691</v>
      </c>
      <c r="C3550" t="str">
        <f>"052586691"</f>
        <v>052586691</v>
      </c>
      <c r="D3550" t="s">
        <v>8529</v>
      </c>
      <c r="E3550" t="s">
        <v>1134</v>
      </c>
      <c r="G3550" s="1">
        <v>21661</v>
      </c>
      <c r="H3550" s="1">
        <v>39316</v>
      </c>
      <c r="I3550" t="str">
        <f>"41"</f>
        <v>41</v>
      </c>
      <c r="J3550" t="s">
        <v>24</v>
      </c>
      <c r="K3550" t="s">
        <v>25</v>
      </c>
      <c r="L3550" t="s">
        <v>26</v>
      </c>
      <c r="M3550" t="s">
        <v>27</v>
      </c>
      <c r="N3550" s="1">
        <v>18629</v>
      </c>
      <c r="O3550">
        <v>0</v>
      </c>
      <c r="P3550">
        <v>0</v>
      </c>
      <c r="Q3550" t="s">
        <v>37</v>
      </c>
      <c r="R3550" t="s">
        <v>29</v>
      </c>
      <c r="S3550" t="s">
        <v>138</v>
      </c>
      <c r="T3550" t="s">
        <v>139</v>
      </c>
    </row>
    <row r="3551" spans="1:20" x14ac:dyDescent="0.25">
      <c r="A3551" t="s">
        <v>8530</v>
      </c>
      <c r="B3551" t="str">
        <f>"1347"</f>
        <v>1347</v>
      </c>
      <c r="C3551" t="str">
        <f>"274421347"</f>
        <v>274421347</v>
      </c>
      <c r="D3551" t="s">
        <v>5929</v>
      </c>
      <c r="E3551" t="s">
        <v>2455</v>
      </c>
      <c r="F3551" t="s">
        <v>28</v>
      </c>
      <c r="G3551" s="1">
        <v>16623</v>
      </c>
      <c r="H3551" s="1">
        <v>39314</v>
      </c>
      <c r="I3551" t="str">
        <f>"50"</f>
        <v>50</v>
      </c>
      <c r="J3551" t="s">
        <v>208</v>
      </c>
      <c r="K3551" t="s">
        <v>25</v>
      </c>
      <c r="L3551" t="s">
        <v>26</v>
      </c>
      <c r="M3551" t="s">
        <v>27</v>
      </c>
      <c r="N3551" s="1">
        <v>18629</v>
      </c>
      <c r="O3551">
        <v>0</v>
      </c>
      <c r="P3551">
        <v>0</v>
      </c>
      <c r="Q3551" t="s">
        <v>37</v>
      </c>
      <c r="R3551" t="s">
        <v>51</v>
      </c>
      <c r="S3551" s="2" t="s">
        <v>683</v>
      </c>
      <c r="T3551" t="s">
        <v>684</v>
      </c>
    </row>
    <row r="3552" spans="1:20" x14ac:dyDescent="0.25">
      <c r="A3552" t="s">
        <v>8531</v>
      </c>
      <c r="B3552" t="str">
        <f>"7599"</f>
        <v>7599</v>
      </c>
      <c r="C3552" t="str">
        <f>"272347599"</f>
        <v>272347599</v>
      </c>
      <c r="D3552" t="s">
        <v>1106</v>
      </c>
      <c r="E3552" t="s">
        <v>1287</v>
      </c>
      <c r="F3552" t="s">
        <v>93</v>
      </c>
      <c r="G3552" s="1">
        <v>15018</v>
      </c>
      <c r="H3552" s="1">
        <v>39314</v>
      </c>
      <c r="I3552" t="str">
        <f>"52"</f>
        <v>52</v>
      </c>
      <c r="J3552" t="s">
        <v>330</v>
      </c>
      <c r="K3552" t="s">
        <v>25</v>
      </c>
      <c r="L3552" t="s">
        <v>26</v>
      </c>
      <c r="M3552" t="s">
        <v>27</v>
      </c>
      <c r="N3552" s="1">
        <v>18629</v>
      </c>
      <c r="O3552">
        <v>0</v>
      </c>
      <c r="P3552">
        <v>0</v>
      </c>
      <c r="Q3552" t="s">
        <v>37</v>
      </c>
      <c r="R3552" t="s">
        <v>51</v>
      </c>
      <c r="S3552" s="2" t="s">
        <v>362</v>
      </c>
      <c r="T3552" t="s">
        <v>363</v>
      </c>
    </row>
    <row r="3553" spans="1:20" x14ac:dyDescent="0.25">
      <c r="A3553" t="s">
        <v>8532</v>
      </c>
      <c r="B3553" t="str">
        <f>"4440"</f>
        <v>4440</v>
      </c>
      <c r="C3553" t="str">
        <f>"273744440"</f>
        <v>273744440</v>
      </c>
      <c r="D3553" t="s">
        <v>8533</v>
      </c>
      <c r="E3553" t="s">
        <v>721</v>
      </c>
      <c r="F3553" t="s">
        <v>97</v>
      </c>
      <c r="G3553" s="1">
        <v>28626</v>
      </c>
      <c r="H3553" s="1">
        <v>39307</v>
      </c>
      <c r="I3553" t="str">
        <f>"20"</f>
        <v>20</v>
      </c>
      <c r="J3553" t="s">
        <v>123</v>
      </c>
      <c r="K3553" t="s">
        <v>98</v>
      </c>
      <c r="L3553" t="s">
        <v>37</v>
      </c>
      <c r="M3553" t="s">
        <v>117</v>
      </c>
      <c r="N3553" s="1">
        <v>41631</v>
      </c>
      <c r="O3553">
        <v>4951.9799999999996</v>
      </c>
      <c r="P3553">
        <v>1237.94</v>
      </c>
      <c r="Q3553" t="s">
        <v>28</v>
      </c>
      <c r="R3553" t="s">
        <v>51</v>
      </c>
      <c r="S3553" s="2" t="s">
        <v>2202</v>
      </c>
      <c r="T3553" t="s">
        <v>2203</v>
      </c>
    </row>
    <row r="3554" spans="1:20" x14ac:dyDescent="0.25">
      <c r="A3554" t="s">
        <v>8534</v>
      </c>
      <c r="B3554" t="str">
        <f>"1171"</f>
        <v>1171</v>
      </c>
      <c r="C3554" t="str">
        <f>"282561171"</f>
        <v>282561171</v>
      </c>
      <c r="D3554" t="s">
        <v>1207</v>
      </c>
      <c r="E3554" t="s">
        <v>466</v>
      </c>
      <c r="G3554" s="1">
        <v>19851</v>
      </c>
      <c r="H3554" s="1">
        <v>39307</v>
      </c>
      <c r="I3554" t="str">
        <f>"20"</f>
        <v>20</v>
      </c>
      <c r="J3554" t="s">
        <v>123</v>
      </c>
      <c r="K3554" t="s">
        <v>98</v>
      </c>
      <c r="L3554" t="s">
        <v>37</v>
      </c>
      <c r="M3554" t="s">
        <v>99</v>
      </c>
      <c r="N3554" s="1">
        <v>41631</v>
      </c>
      <c r="O3554">
        <v>14801.82</v>
      </c>
      <c r="P3554">
        <v>3700.4</v>
      </c>
      <c r="Q3554" t="s">
        <v>28</v>
      </c>
      <c r="R3554" t="s">
        <v>29</v>
      </c>
      <c r="S3554" t="s">
        <v>3763</v>
      </c>
      <c r="T3554" t="s">
        <v>3764</v>
      </c>
    </row>
    <row r="3555" spans="1:20" x14ac:dyDescent="0.25">
      <c r="A3555" t="s">
        <v>8535</v>
      </c>
      <c r="B3555" t="str">
        <f>"0800"</f>
        <v>0800</v>
      </c>
      <c r="C3555" t="str">
        <f>"270520800"</f>
        <v>270520800</v>
      </c>
      <c r="D3555" t="s">
        <v>1507</v>
      </c>
      <c r="E3555" t="s">
        <v>8536</v>
      </c>
      <c r="F3555" t="s">
        <v>264</v>
      </c>
      <c r="G3555" s="1">
        <v>20385</v>
      </c>
      <c r="H3555" s="1">
        <v>39307</v>
      </c>
      <c r="I3555" t="str">
        <f>"20"</f>
        <v>20</v>
      </c>
      <c r="J3555" t="s">
        <v>123</v>
      </c>
      <c r="K3555" t="s">
        <v>510</v>
      </c>
      <c r="L3555" t="s">
        <v>37</v>
      </c>
      <c r="M3555" t="s">
        <v>257</v>
      </c>
      <c r="N3555" s="1">
        <v>41631</v>
      </c>
      <c r="O3555">
        <v>14110.8</v>
      </c>
      <c r="P3555">
        <v>3527.7</v>
      </c>
      <c r="Q3555" t="s">
        <v>37</v>
      </c>
      <c r="R3555" t="s">
        <v>71</v>
      </c>
      <c r="S3555" t="s">
        <v>871</v>
      </c>
      <c r="T3555" t="s">
        <v>872</v>
      </c>
    </row>
    <row r="3556" spans="1:20" x14ac:dyDescent="0.25">
      <c r="A3556" t="s">
        <v>8537</v>
      </c>
      <c r="B3556" t="str">
        <f>"6520"</f>
        <v>6520</v>
      </c>
      <c r="C3556" t="str">
        <f>"274786520"</f>
        <v>274786520</v>
      </c>
      <c r="D3556" t="s">
        <v>8538</v>
      </c>
      <c r="E3556" t="s">
        <v>8539</v>
      </c>
      <c r="F3556" t="s">
        <v>219</v>
      </c>
      <c r="G3556" s="1">
        <v>20332</v>
      </c>
      <c r="H3556" s="1">
        <v>39307</v>
      </c>
      <c r="I3556" t="str">
        <f>"20"</f>
        <v>20</v>
      </c>
      <c r="J3556" t="s">
        <v>123</v>
      </c>
      <c r="K3556" t="s">
        <v>175</v>
      </c>
      <c r="L3556" t="s">
        <v>37</v>
      </c>
      <c r="M3556" t="s">
        <v>257</v>
      </c>
      <c r="N3556" s="1">
        <v>41631</v>
      </c>
      <c r="O3556">
        <v>11847.88</v>
      </c>
      <c r="P3556">
        <v>2962.08</v>
      </c>
      <c r="Q3556" t="s">
        <v>37</v>
      </c>
      <c r="R3556" t="s">
        <v>51</v>
      </c>
      <c r="S3556" s="2" t="s">
        <v>1568</v>
      </c>
      <c r="T3556" t="s">
        <v>1569</v>
      </c>
    </row>
    <row r="3557" spans="1:20" x14ac:dyDescent="0.25">
      <c r="A3557" t="s">
        <v>8540</v>
      </c>
      <c r="B3557" t="str">
        <f>"3321"</f>
        <v>3321</v>
      </c>
      <c r="C3557" t="str">
        <f>"296583321"</f>
        <v>296583321</v>
      </c>
      <c r="D3557" t="s">
        <v>8541</v>
      </c>
      <c r="E3557" t="s">
        <v>1074</v>
      </c>
      <c r="F3557" t="s">
        <v>97</v>
      </c>
      <c r="G3557" s="1">
        <v>21730</v>
      </c>
      <c r="H3557" s="1">
        <v>39307</v>
      </c>
      <c r="I3557" t="str">
        <f>"51"</f>
        <v>51</v>
      </c>
      <c r="J3557" t="s">
        <v>471</v>
      </c>
      <c r="K3557" t="s">
        <v>25</v>
      </c>
      <c r="L3557" t="s">
        <v>26</v>
      </c>
      <c r="M3557" t="s">
        <v>27</v>
      </c>
      <c r="N3557" s="1">
        <v>18629</v>
      </c>
      <c r="O3557">
        <v>0</v>
      </c>
      <c r="P3557">
        <v>0</v>
      </c>
      <c r="Q3557" t="s">
        <v>37</v>
      </c>
      <c r="R3557" t="s">
        <v>71</v>
      </c>
      <c r="S3557" t="s">
        <v>1547</v>
      </c>
      <c r="T3557" t="s">
        <v>1548</v>
      </c>
    </row>
    <row r="3558" spans="1:20" x14ac:dyDescent="0.25">
      <c r="A3558" t="s">
        <v>8542</v>
      </c>
      <c r="B3558" t="str">
        <f>"0361"</f>
        <v>0361</v>
      </c>
      <c r="C3558" t="str">
        <f>"273800361"</f>
        <v>273800361</v>
      </c>
      <c r="D3558" t="s">
        <v>8543</v>
      </c>
      <c r="E3558" t="s">
        <v>48</v>
      </c>
      <c r="F3558" t="s">
        <v>28</v>
      </c>
      <c r="G3558" s="1">
        <v>29600</v>
      </c>
      <c r="H3558" s="1">
        <v>39307</v>
      </c>
      <c r="I3558" t="str">
        <f t="shared" ref="I3558:I3564" si="77">"20"</f>
        <v>20</v>
      </c>
      <c r="J3558" t="s">
        <v>123</v>
      </c>
      <c r="K3558" t="s">
        <v>98</v>
      </c>
      <c r="L3558" t="s">
        <v>37</v>
      </c>
      <c r="M3558" t="s">
        <v>99</v>
      </c>
      <c r="N3558" s="1">
        <v>41631</v>
      </c>
      <c r="O3558">
        <v>14801.82</v>
      </c>
      <c r="P3558">
        <v>3700.4</v>
      </c>
      <c r="Q3558" t="s">
        <v>37</v>
      </c>
      <c r="R3558" t="s">
        <v>71</v>
      </c>
      <c r="S3558" t="s">
        <v>2458</v>
      </c>
      <c r="T3558" t="s">
        <v>2459</v>
      </c>
    </row>
    <row r="3559" spans="1:20" x14ac:dyDescent="0.25">
      <c r="A3559" t="s">
        <v>8544</v>
      </c>
      <c r="B3559" t="str">
        <f>"8177"</f>
        <v>8177</v>
      </c>
      <c r="C3559" t="str">
        <f>"238748177"</f>
        <v>238748177</v>
      </c>
      <c r="D3559" t="s">
        <v>663</v>
      </c>
      <c r="E3559" t="s">
        <v>959</v>
      </c>
      <c r="F3559" t="s">
        <v>438</v>
      </c>
      <c r="G3559" s="1">
        <v>17241</v>
      </c>
      <c r="H3559" s="1">
        <v>39307</v>
      </c>
      <c r="I3559" t="str">
        <f t="shared" si="77"/>
        <v>20</v>
      </c>
      <c r="J3559" t="s">
        <v>123</v>
      </c>
      <c r="K3559" t="s">
        <v>98</v>
      </c>
      <c r="L3559" t="s">
        <v>37</v>
      </c>
      <c r="M3559" t="s">
        <v>117</v>
      </c>
      <c r="N3559" s="1">
        <v>41631</v>
      </c>
      <c r="O3559">
        <v>4951.9799999999996</v>
      </c>
      <c r="P3559">
        <v>1237.94</v>
      </c>
      <c r="Q3559" t="s">
        <v>28</v>
      </c>
      <c r="R3559" t="s">
        <v>71</v>
      </c>
      <c r="S3559" t="s">
        <v>4090</v>
      </c>
      <c r="T3559" t="s">
        <v>4091</v>
      </c>
    </row>
    <row r="3560" spans="1:20" x14ac:dyDescent="0.25">
      <c r="A3560" t="s">
        <v>8545</v>
      </c>
      <c r="B3560" t="str">
        <f>"2373"</f>
        <v>2373</v>
      </c>
      <c r="C3560" t="str">
        <f>"289742373"</f>
        <v>289742373</v>
      </c>
      <c r="D3560" t="s">
        <v>8546</v>
      </c>
      <c r="E3560" t="s">
        <v>4521</v>
      </c>
      <c r="F3560" t="s">
        <v>563</v>
      </c>
      <c r="G3560" s="1">
        <v>28988</v>
      </c>
      <c r="H3560" s="1">
        <v>39307</v>
      </c>
      <c r="I3560" t="str">
        <f t="shared" si="77"/>
        <v>20</v>
      </c>
      <c r="J3560" t="s">
        <v>123</v>
      </c>
      <c r="L3560" t="s">
        <v>37</v>
      </c>
      <c r="M3560" t="s">
        <v>143</v>
      </c>
      <c r="N3560" s="1">
        <v>41631</v>
      </c>
      <c r="O3560">
        <v>185.9</v>
      </c>
      <c r="P3560">
        <v>-185.9</v>
      </c>
      <c r="Q3560" t="s">
        <v>37</v>
      </c>
      <c r="R3560" t="s">
        <v>29</v>
      </c>
      <c r="S3560" t="s">
        <v>1572</v>
      </c>
      <c r="T3560" t="s">
        <v>1573</v>
      </c>
    </row>
    <row r="3561" spans="1:20" x14ac:dyDescent="0.25">
      <c r="A3561" t="s">
        <v>8547</v>
      </c>
      <c r="B3561" t="str">
        <f>"9914"</f>
        <v>9914</v>
      </c>
      <c r="C3561" t="str">
        <f>"385969914"</f>
        <v>385969914</v>
      </c>
      <c r="D3561" t="s">
        <v>8548</v>
      </c>
      <c r="E3561" t="s">
        <v>8549</v>
      </c>
      <c r="G3561" s="1">
        <v>29969</v>
      </c>
      <c r="H3561" s="1">
        <v>39307</v>
      </c>
      <c r="I3561" t="str">
        <f t="shared" si="77"/>
        <v>20</v>
      </c>
      <c r="J3561" t="s">
        <v>123</v>
      </c>
      <c r="K3561" t="s">
        <v>175</v>
      </c>
      <c r="L3561" t="s">
        <v>37</v>
      </c>
      <c r="M3561" t="s">
        <v>99</v>
      </c>
      <c r="N3561" s="1">
        <v>41631</v>
      </c>
      <c r="O3561">
        <v>16411.78</v>
      </c>
      <c r="P3561">
        <v>4103</v>
      </c>
      <c r="Q3561" t="s">
        <v>37</v>
      </c>
      <c r="R3561" t="s">
        <v>51</v>
      </c>
      <c r="S3561" s="2" t="s">
        <v>2202</v>
      </c>
      <c r="T3561" t="s">
        <v>2203</v>
      </c>
    </row>
    <row r="3562" spans="1:20" x14ac:dyDescent="0.25">
      <c r="A3562" t="s">
        <v>8550</v>
      </c>
      <c r="B3562" t="str">
        <f>"8293"</f>
        <v>8293</v>
      </c>
      <c r="C3562" t="str">
        <f>"289748293"</f>
        <v>289748293</v>
      </c>
      <c r="D3562" t="s">
        <v>8551</v>
      </c>
      <c r="E3562" t="s">
        <v>6345</v>
      </c>
      <c r="F3562" t="s">
        <v>165</v>
      </c>
      <c r="G3562" s="1">
        <v>23193</v>
      </c>
      <c r="H3562" s="1">
        <v>39307</v>
      </c>
      <c r="I3562" t="str">
        <f t="shared" si="77"/>
        <v>20</v>
      </c>
      <c r="J3562" t="s">
        <v>123</v>
      </c>
      <c r="K3562" t="s">
        <v>98</v>
      </c>
      <c r="L3562" t="s">
        <v>37</v>
      </c>
      <c r="M3562" t="s">
        <v>117</v>
      </c>
      <c r="N3562" s="1">
        <v>41631</v>
      </c>
      <c r="O3562">
        <v>4951.9799999999996</v>
      </c>
      <c r="P3562">
        <v>1237.94</v>
      </c>
      <c r="Q3562" t="s">
        <v>28</v>
      </c>
      <c r="R3562" t="s">
        <v>29</v>
      </c>
      <c r="S3562" t="s">
        <v>1677</v>
      </c>
      <c r="T3562" t="s">
        <v>1678</v>
      </c>
    </row>
    <row r="3563" spans="1:20" x14ac:dyDescent="0.25">
      <c r="A3563" t="s">
        <v>8552</v>
      </c>
      <c r="B3563" t="str">
        <f>"9178"</f>
        <v>9178</v>
      </c>
      <c r="C3563" t="str">
        <f>"295629178"</f>
        <v>295629178</v>
      </c>
      <c r="D3563" t="s">
        <v>8553</v>
      </c>
      <c r="E3563" t="s">
        <v>944</v>
      </c>
      <c r="F3563" t="s">
        <v>329</v>
      </c>
      <c r="G3563" s="1">
        <v>21213</v>
      </c>
      <c r="H3563" s="1">
        <v>39307</v>
      </c>
      <c r="I3563" t="str">
        <f t="shared" si="77"/>
        <v>20</v>
      </c>
      <c r="J3563" t="s">
        <v>123</v>
      </c>
      <c r="K3563" t="s">
        <v>98</v>
      </c>
      <c r="L3563" t="s">
        <v>37</v>
      </c>
      <c r="M3563" t="s">
        <v>257</v>
      </c>
      <c r="N3563" s="1">
        <v>41631</v>
      </c>
      <c r="O3563">
        <v>10753.16</v>
      </c>
      <c r="P3563">
        <v>2688.4</v>
      </c>
      <c r="Q3563" t="s">
        <v>28</v>
      </c>
      <c r="R3563" t="s">
        <v>71</v>
      </c>
      <c r="S3563" t="s">
        <v>1186</v>
      </c>
      <c r="T3563" t="s">
        <v>1187</v>
      </c>
    </row>
    <row r="3564" spans="1:20" x14ac:dyDescent="0.25">
      <c r="A3564" t="s">
        <v>8554</v>
      </c>
      <c r="B3564" t="str">
        <f>"5779"</f>
        <v>5779</v>
      </c>
      <c r="C3564" t="str">
        <f>"293665779"</f>
        <v>293665779</v>
      </c>
      <c r="D3564" t="s">
        <v>8555</v>
      </c>
      <c r="E3564" t="s">
        <v>214</v>
      </c>
      <c r="F3564" t="s">
        <v>165</v>
      </c>
      <c r="G3564" s="1">
        <v>21653</v>
      </c>
      <c r="H3564" s="1">
        <v>39307</v>
      </c>
      <c r="I3564" t="str">
        <f t="shared" si="77"/>
        <v>20</v>
      </c>
      <c r="J3564" t="s">
        <v>123</v>
      </c>
      <c r="L3564" t="s">
        <v>37</v>
      </c>
      <c r="M3564" t="s">
        <v>143</v>
      </c>
      <c r="N3564" s="1">
        <v>41631</v>
      </c>
      <c r="O3564">
        <v>185.9</v>
      </c>
      <c r="P3564">
        <v>-185.9</v>
      </c>
      <c r="Q3564" t="s">
        <v>28</v>
      </c>
      <c r="R3564" t="s">
        <v>29</v>
      </c>
      <c r="S3564" t="s">
        <v>1572</v>
      </c>
      <c r="T3564" t="s">
        <v>1573</v>
      </c>
    </row>
    <row r="3565" spans="1:20" x14ac:dyDescent="0.25">
      <c r="A3565" t="s">
        <v>8556</v>
      </c>
      <c r="B3565" t="str">
        <f>"6751"</f>
        <v>6751</v>
      </c>
      <c r="C3565" t="str">
        <f>"269966751"</f>
        <v>269966751</v>
      </c>
      <c r="D3565" t="s">
        <v>8557</v>
      </c>
      <c r="E3565" t="s">
        <v>8558</v>
      </c>
      <c r="G3565" s="1">
        <v>21994</v>
      </c>
      <c r="H3565" s="1">
        <v>39307</v>
      </c>
      <c r="I3565" t="str">
        <f>"51"</f>
        <v>51</v>
      </c>
      <c r="J3565" t="s">
        <v>471</v>
      </c>
      <c r="K3565" t="s">
        <v>25</v>
      </c>
      <c r="L3565" t="s">
        <v>26</v>
      </c>
      <c r="M3565" t="s">
        <v>27</v>
      </c>
      <c r="N3565" s="1">
        <v>18629</v>
      </c>
      <c r="O3565">
        <v>0</v>
      </c>
      <c r="P3565">
        <v>0</v>
      </c>
      <c r="Q3565" t="s">
        <v>28</v>
      </c>
      <c r="R3565" t="s">
        <v>51</v>
      </c>
      <c r="S3565" s="2" t="s">
        <v>2202</v>
      </c>
      <c r="T3565" t="s">
        <v>2203</v>
      </c>
    </row>
    <row r="3566" spans="1:20" x14ac:dyDescent="0.25">
      <c r="A3566" t="s">
        <v>8559</v>
      </c>
      <c r="B3566" t="str">
        <f>"7722"</f>
        <v>7722</v>
      </c>
      <c r="C3566" t="str">
        <f>"172607722"</f>
        <v>172607722</v>
      </c>
      <c r="D3566" t="s">
        <v>8560</v>
      </c>
      <c r="E3566" t="s">
        <v>8561</v>
      </c>
      <c r="F3566" t="s">
        <v>329</v>
      </c>
      <c r="G3566" s="1">
        <v>22460</v>
      </c>
      <c r="H3566" s="1">
        <v>39307</v>
      </c>
      <c r="I3566" t="str">
        <f>"20"</f>
        <v>20</v>
      </c>
      <c r="J3566" t="s">
        <v>123</v>
      </c>
      <c r="K3566" t="s">
        <v>98</v>
      </c>
      <c r="L3566" t="s">
        <v>37</v>
      </c>
      <c r="M3566" t="s">
        <v>257</v>
      </c>
      <c r="N3566" s="1">
        <v>41631</v>
      </c>
      <c r="O3566">
        <v>10753.16</v>
      </c>
      <c r="P3566">
        <v>2688.4</v>
      </c>
      <c r="Q3566" t="s">
        <v>28</v>
      </c>
      <c r="R3566" t="s">
        <v>71</v>
      </c>
      <c r="S3566" t="s">
        <v>790</v>
      </c>
      <c r="T3566" t="s">
        <v>791</v>
      </c>
    </row>
    <row r="3567" spans="1:20" x14ac:dyDescent="0.25">
      <c r="A3567" t="s">
        <v>8562</v>
      </c>
      <c r="B3567" t="str">
        <f>"2269"</f>
        <v>2269</v>
      </c>
      <c r="C3567" t="str">
        <f>"274862269"</f>
        <v>274862269</v>
      </c>
      <c r="D3567" t="s">
        <v>8563</v>
      </c>
      <c r="E3567" t="s">
        <v>466</v>
      </c>
      <c r="F3567" t="s">
        <v>22</v>
      </c>
      <c r="G3567" s="1">
        <v>30161</v>
      </c>
      <c r="H3567" s="1">
        <v>39307</v>
      </c>
      <c r="I3567" t="str">
        <f>"41"</f>
        <v>41</v>
      </c>
      <c r="J3567" t="s">
        <v>24</v>
      </c>
      <c r="K3567" t="s">
        <v>25</v>
      </c>
      <c r="L3567" t="s">
        <v>26</v>
      </c>
      <c r="M3567" t="s">
        <v>27</v>
      </c>
      <c r="N3567" s="1">
        <v>18629</v>
      </c>
      <c r="O3567">
        <v>0</v>
      </c>
      <c r="P3567">
        <v>0</v>
      </c>
      <c r="Q3567" t="s">
        <v>28</v>
      </c>
      <c r="R3567" t="s">
        <v>71</v>
      </c>
      <c r="S3567" t="s">
        <v>8194</v>
      </c>
      <c r="T3567" t="s">
        <v>8195</v>
      </c>
    </row>
    <row r="3568" spans="1:20" x14ac:dyDescent="0.25">
      <c r="A3568" t="s">
        <v>8564</v>
      </c>
      <c r="B3568" t="str">
        <f>"6644"</f>
        <v>6644</v>
      </c>
      <c r="C3568" t="str">
        <f>"283606644"</f>
        <v>283606644</v>
      </c>
      <c r="D3568" t="s">
        <v>8565</v>
      </c>
      <c r="E3568" t="s">
        <v>197</v>
      </c>
      <c r="F3568" t="s">
        <v>264</v>
      </c>
      <c r="G3568" s="1">
        <v>20873</v>
      </c>
      <c r="H3568" s="1">
        <v>39294</v>
      </c>
      <c r="I3568" t="str">
        <f t="shared" ref="I3568:I3579" si="78">"20"</f>
        <v>20</v>
      </c>
      <c r="J3568" t="s">
        <v>123</v>
      </c>
      <c r="K3568" t="s">
        <v>98</v>
      </c>
      <c r="L3568" t="s">
        <v>37</v>
      </c>
      <c r="M3568" t="s">
        <v>257</v>
      </c>
      <c r="N3568" s="1">
        <v>41631</v>
      </c>
      <c r="O3568">
        <v>10753.16</v>
      </c>
      <c r="P3568">
        <v>2688.4</v>
      </c>
      <c r="Q3568" t="s">
        <v>28</v>
      </c>
      <c r="R3568" t="s">
        <v>71</v>
      </c>
      <c r="S3568" t="s">
        <v>3734</v>
      </c>
      <c r="T3568" t="s">
        <v>3735</v>
      </c>
    </row>
    <row r="3569" spans="1:20" x14ac:dyDescent="0.25">
      <c r="A3569" t="s">
        <v>8566</v>
      </c>
      <c r="B3569" t="str">
        <f>"5941"</f>
        <v>5941</v>
      </c>
      <c r="C3569" t="str">
        <f>"293585941"</f>
        <v>293585941</v>
      </c>
      <c r="D3569" t="s">
        <v>385</v>
      </c>
      <c r="E3569" t="s">
        <v>2885</v>
      </c>
      <c r="F3569" t="s">
        <v>26</v>
      </c>
      <c r="G3569" s="1">
        <v>25535</v>
      </c>
      <c r="H3569" s="1">
        <v>39293</v>
      </c>
      <c r="I3569" t="str">
        <f t="shared" si="78"/>
        <v>20</v>
      </c>
      <c r="J3569" t="s">
        <v>123</v>
      </c>
      <c r="K3569" t="s">
        <v>98</v>
      </c>
      <c r="L3569" t="s">
        <v>37</v>
      </c>
      <c r="M3569" t="s">
        <v>99</v>
      </c>
      <c r="N3569" s="1">
        <v>41631</v>
      </c>
      <c r="O3569">
        <v>14801.82</v>
      </c>
      <c r="P3569">
        <v>3700.4</v>
      </c>
      <c r="Q3569" t="s">
        <v>37</v>
      </c>
      <c r="R3569" t="s">
        <v>71</v>
      </c>
      <c r="S3569" t="s">
        <v>1109</v>
      </c>
      <c r="T3569" t="s">
        <v>1110</v>
      </c>
    </row>
    <row r="3570" spans="1:20" x14ac:dyDescent="0.25">
      <c r="A3570" t="s">
        <v>8567</v>
      </c>
      <c r="B3570" t="str">
        <f>"4498"</f>
        <v>4498</v>
      </c>
      <c r="C3570" t="str">
        <f>"287584498"</f>
        <v>287584498</v>
      </c>
      <c r="D3570" t="s">
        <v>8568</v>
      </c>
      <c r="E3570" t="s">
        <v>1970</v>
      </c>
      <c r="F3570" t="s">
        <v>28</v>
      </c>
      <c r="G3570" s="1">
        <v>20589</v>
      </c>
      <c r="H3570" s="1">
        <v>39293</v>
      </c>
      <c r="I3570" t="str">
        <f t="shared" si="78"/>
        <v>20</v>
      </c>
      <c r="J3570" t="s">
        <v>123</v>
      </c>
      <c r="K3570" t="s">
        <v>98</v>
      </c>
      <c r="L3570" t="s">
        <v>37</v>
      </c>
      <c r="M3570" t="s">
        <v>257</v>
      </c>
      <c r="N3570" s="1">
        <v>41631</v>
      </c>
      <c r="O3570">
        <v>10753.16</v>
      </c>
      <c r="P3570">
        <v>2688.4</v>
      </c>
      <c r="Q3570" t="s">
        <v>37</v>
      </c>
      <c r="R3570" t="s">
        <v>71</v>
      </c>
      <c r="S3570" t="s">
        <v>72</v>
      </c>
      <c r="T3570" t="s">
        <v>73</v>
      </c>
    </row>
    <row r="3571" spans="1:20" x14ac:dyDescent="0.25">
      <c r="A3571" t="s">
        <v>8569</v>
      </c>
      <c r="B3571" t="str">
        <f>"2008"</f>
        <v>2008</v>
      </c>
      <c r="C3571" t="str">
        <f>"299902008"</f>
        <v>299902008</v>
      </c>
      <c r="D3571" t="s">
        <v>8570</v>
      </c>
      <c r="E3571" t="s">
        <v>2014</v>
      </c>
      <c r="G3571" s="1">
        <v>21351</v>
      </c>
      <c r="H3571" s="1">
        <v>39293</v>
      </c>
      <c r="I3571" t="str">
        <f t="shared" si="78"/>
        <v>20</v>
      </c>
      <c r="J3571" t="s">
        <v>123</v>
      </c>
      <c r="K3571" t="s">
        <v>98</v>
      </c>
      <c r="L3571" t="s">
        <v>37</v>
      </c>
      <c r="M3571" t="s">
        <v>257</v>
      </c>
      <c r="N3571" s="1">
        <v>41631</v>
      </c>
      <c r="O3571">
        <v>10753.16</v>
      </c>
      <c r="P3571">
        <v>2688.4</v>
      </c>
      <c r="Q3571" t="s">
        <v>37</v>
      </c>
      <c r="R3571" t="s">
        <v>51</v>
      </c>
      <c r="S3571" s="2" t="s">
        <v>2202</v>
      </c>
      <c r="T3571" t="s">
        <v>2203</v>
      </c>
    </row>
    <row r="3572" spans="1:20" x14ac:dyDescent="0.25">
      <c r="A3572" t="s">
        <v>8571</v>
      </c>
      <c r="B3572" t="str">
        <f>"6847"</f>
        <v>6847</v>
      </c>
      <c r="C3572" t="str">
        <f>"371906847"</f>
        <v>371906847</v>
      </c>
      <c r="D3572" t="s">
        <v>553</v>
      </c>
      <c r="E3572" t="s">
        <v>8572</v>
      </c>
      <c r="F3572" t="s">
        <v>44</v>
      </c>
      <c r="G3572" s="1">
        <v>27686</v>
      </c>
      <c r="H3572" s="1">
        <v>39293</v>
      </c>
      <c r="I3572" t="str">
        <f t="shared" si="78"/>
        <v>20</v>
      </c>
      <c r="J3572" t="s">
        <v>123</v>
      </c>
      <c r="K3572" t="s">
        <v>98</v>
      </c>
      <c r="L3572" t="s">
        <v>37</v>
      </c>
      <c r="M3572" t="s">
        <v>117</v>
      </c>
      <c r="N3572" s="1">
        <v>41631</v>
      </c>
      <c r="O3572">
        <v>4951.9799999999996</v>
      </c>
      <c r="P3572">
        <v>1237.94</v>
      </c>
      <c r="Q3572" t="s">
        <v>37</v>
      </c>
      <c r="R3572" t="s">
        <v>71</v>
      </c>
      <c r="S3572" t="s">
        <v>209</v>
      </c>
      <c r="T3572" t="s">
        <v>210</v>
      </c>
    </row>
    <row r="3573" spans="1:20" x14ac:dyDescent="0.25">
      <c r="A3573" t="s">
        <v>8573</v>
      </c>
      <c r="B3573" t="str">
        <f>"1958"</f>
        <v>1958</v>
      </c>
      <c r="C3573" t="str">
        <f>"187481958"</f>
        <v>187481958</v>
      </c>
      <c r="D3573" t="s">
        <v>8574</v>
      </c>
      <c r="E3573" t="s">
        <v>1655</v>
      </c>
      <c r="F3573" t="s">
        <v>28</v>
      </c>
      <c r="G3573" s="1">
        <v>20706</v>
      </c>
      <c r="H3573" s="1">
        <v>39293</v>
      </c>
      <c r="I3573" t="str">
        <f t="shared" si="78"/>
        <v>20</v>
      </c>
      <c r="J3573" t="s">
        <v>123</v>
      </c>
      <c r="K3573" t="s">
        <v>98</v>
      </c>
      <c r="L3573" t="s">
        <v>37</v>
      </c>
      <c r="M3573" t="s">
        <v>117</v>
      </c>
      <c r="N3573" s="1">
        <v>41631</v>
      </c>
      <c r="O3573">
        <v>4951.9799999999996</v>
      </c>
      <c r="P3573">
        <v>1237.94</v>
      </c>
      <c r="Q3573" t="s">
        <v>37</v>
      </c>
      <c r="R3573" t="s">
        <v>71</v>
      </c>
      <c r="S3573" t="s">
        <v>209</v>
      </c>
      <c r="T3573" t="s">
        <v>210</v>
      </c>
    </row>
    <row r="3574" spans="1:20" x14ac:dyDescent="0.25">
      <c r="A3574" t="s">
        <v>8575</v>
      </c>
      <c r="B3574" t="str">
        <f>"2196"</f>
        <v>2196</v>
      </c>
      <c r="C3574" t="str">
        <f>"183482196"</f>
        <v>183482196</v>
      </c>
      <c r="D3574" t="s">
        <v>2238</v>
      </c>
      <c r="E3574" t="s">
        <v>8576</v>
      </c>
      <c r="F3574" t="s">
        <v>44</v>
      </c>
      <c r="G3574" s="1">
        <v>22275</v>
      </c>
      <c r="H3574" s="1">
        <v>39293</v>
      </c>
      <c r="I3574" t="str">
        <f t="shared" si="78"/>
        <v>20</v>
      </c>
      <c r="J3574" t="s">
        <v>123</v>
      </c>
      <c r="K3574" t="s">
        <v>98</v>
      </c>
      <c r="L3574" t="s">
        <v>37</v>
      </c>
      <c r="M3574" t="s">
        <v>99</v>
      </c>
      <c r="N3574" s="1">
        <v>41631</v>
      </c>
      <c r="O3574">
        <v>14801.82</v>
      </c>
      <c r="P3574">
        <v>3700.4</v>
      </c>
      <c r="Q3574" t="s">
        <v>28</v>
      </c>
      <c r="R3574" t="s">
        <v>51</v>
      </c>
      <c r="S3574" s="2" t="s">
        <v>3778</v>
      </c>
      <c r="T3574" t="s">
        <v>3779</v>
      </c>
    </row>
    <row r="3575" spans="1:20" x14ac:dyDescent="0.25">
      <c r="A3575" t="s">
        <v>8577</v>
      </c>
      <c r="B3575" t="str">
        <f>"4648"</f>
        <v>4648</v>
      </c>
      <c r="C3575" t="str">
        <f>"269564648"</f>
        <v>269564648</v>
      </c>
      <c r="D3575" t="s">
        <v>5134</v>
      </c>
      <c r="E3575" t="s">
        <v>609</v>
      </c>
      <c r="F3575" t="s">
        <v>5656</v>
      </c>
      <c r="G3575" s="1">
        <v>21252</v>
      </c>
      <c r="H3575" s="1">
        <v>39293</v>
      </c>
      <c r="I3575" t="str">
        <f t="shared" si="78"/>
        <v>20</v>
      </c>
      <c r="J3575" t="s">
        <v>123</v>
      </c>
      <c r="L3575" t="s">
        <v>37</v>
      </c>
      <c r="M3575" t="s">
        <v>143</v>
      </c>
      <c r="N3575" s="1">
        <v>41631</v>
      </c>
      <c r="O3575">
        <v>185.9</v>
      </c>
      <c r="P3575">
        <v>-185.9</v>
      </c>
      <c r="Q3575" t="s">
        <v>28</v>
      </c>
      <c r="R3575" t="s">
        <v>71</v>
      </c>
      <c r="S3575" t="s">
        <v>923</v>
      </c>
      <c r="T3575" t="s">
        <v>924</v>
      </c>
    </row>
    <row r="3576" spans="1:20" x14ac:dyDescent="0.25">
      <c r="A3576" t="s">
        <v>8578</v>
      </c>
      <c r="B3576" t="str">
        <f>"9965"</f>
        <v>9965</v>
      </c>
      <c r="C3576" t="str">
        <f>"274589965"</f>
        <v>274589965</v>
      </c>
      <c r="D3576" t="s">
        <v>2421</v>
      </c>
      <c r="E3576" t="s">
        <v>8579</v>
      </c>
      <c r="F3576" t="s">
        <v>26</v>
      </c>
      <c r="G3576" s="1">
        <v>22523</v>
      </c>
      <c r="H3576" s="1">
        <v>39293</v>
      </c>
      <c r="I3576" t="str">
        <f t="shared" si="78"/>
        <v>20</v>
      </c>
      <c r="J3576" t="s">
        <v>123</v>
      </c>
      <c r="K3576" t="s">
        <v>175</v>
      </c>
      <c r="L3576" t="s">
        <v>37</v>
      </c>
      <c r="M3576" t="s">
        <v>257</v>
      </c>
      <c r="N3576" s="1">
        <v>41631</v>
      </c>
      <c r="O3576">
        <v>11847.88</v>
      </c>
      <c r="P3576">
        <v>2962.08</v>
      </c>
      <c r="Q3576" t="s">
        <v>37</v>
      </c>
      <c r="R3576" t="s">
        <v>71</v>
      </c>
      <c r="S3576" t="s">
        <v>1547</v>
      </c>
      <c r="T3576" t="s">
        <v>1548</v>
      </c>
    </row>
    <row r="3577" spans="1:20" x14ac:dyDescent="0.25">
      <c r="A3577" t="s">
        <v>8580</v>
      </c>
      <c r="B3577" t="str">
        <f>"3632"</f>
        <v>3632</v>
      </c>
      <c r="C3577" t="str">
        <f>"283623632"</f>
        <v>283623632</v>
      </c>
      <c r="D3577" t="s">
        <v>658</v>
      </c>
      <c r="E3577" t="s">
        <v>231</v>
      </c>
      <c r="F3577" t="s">
        <v>44</v>
      </c>
      <c r="G3577" s="1">
        <v>24462</v>
      </c>
      <c r="H3577" s="1">
        <v>39293</v>
      </c>
      <c r="I3577" t="str">
        <f t="shared" si="78"/>
        <v>20</v>
      </c>
      <c r="J3577" t="s">
        <v>123</v>
      </c>
      <c r="K3577" t="s">
        <v>510</v>
      </c>
      <c r="L3577" t="s">
        <v>37</v>
      </c>
      <c r="M3577" t="s">
        <v>117</v>
      </c>
      <c r="N3577" s="1">
        <v>41631</v>
      </c>
      <c r="O3577">
        <v>6477.24</v>
      </c>
      <c r="P3577">
        <v>1619.2</v>
      </c>
      <c r="Q3577" t="s">
        <v>37</v>
      </c>
      <c r="R3577" t="s">
        <v>29</v>
      </c>
      <c r="S3577" t="s">
        <v>8581</v>
      </c>
      <c r="T3577" t="s">
        <v>8582</v>
      </c>
    </row>
    <row r="3578" spans="1:20" x14ac:dyDescent="0.25">
      <c r="A3578" t="s">
        <v>8583</v>
      </c>
      <c r="B3578" t="str">
        <f>"6069"</f>
        <v>6069</v>
      </c>
      <c r="C3578" t="str">
        <f>"291626069"</f>
        <v>291626069</v>
      </c>
      <c r="D3578" t="s">
        <v>8584</v>
      </c>
      <c r="E3578" t="s">
        <v>741</v>
      </c>
      <c r="F3578" t="s">
        <v>93</v>
      </c>
      <c r="G3578" s="1">
        <v>24295</v>
      </c>
      <c r="H3578" s="1">
        <v>39293</v>
      </c>
      <c r="I3578" t="str">
        <f t="shared" si="78"/>
        <v>20</v>
      </c>
      <c r="J3578" t="s">
        <v>123</v>
      </c>
      <c r="K3578" t="s">
        <v>98</v>
      </c>
      <c r="L3578" t="s">
        <v>37</v>
      </c>
      <c r="M3578" t="s">
        <v>117</v>
      </c>
      <c r="N3578" s="1">
        <v>41771</v>
      </c>
      <c r="O3578">
        <v>4951.9799999999996</v>
      </c>
      <c r="P3578">
        <v>1237.94</v>
      </c>
      <c r="Q3578" t="s">
        <v>37</v>
      </c>
      <c r="R3578" t="s">
        <v>71</v>
      </c>
      <c r="S3578" t="s">
        <v>209</v>
      </c>
      <c r="T3578" t="s">
        <v>210</v>
      </c>
    </row>
    <row r="3579" spans="1:20" x14ac:dyDescent="0.25">
      <c r="A3579" t="s">
        <v>8585</v>
      </c>
      <c r="B3579" t="str">
        <f>"6244"</f>
        <v>6244</v>
      </c>
      <c r="C3579" t="str">
        <f>"288786244"</f>
        <v>288786244</v>
      </c>
      <c r="D3579" t="s">
        <v>1732</v>
      </c>
      <c r="E3579" t="s">
        <v>4227</v>
      </c>
      <c r="F3579" t="s">
        <v>28</v>
      </c>
      <c r="G3579" s="1">
        <v>24076</v>
      </c>
      <c r="H3579" s="1">
        <v>39293</v>
      </c>
      <c r="I3579" t="str">
        <f t="shared" si="78"/>
        <v>20</v>
      </c>
      <c r="J3579" t="s">
        <v>123</v>
      </c>
      <c r="K3579" t="s">
        <v>98</v>
      </c>
      <c r="L3579" t="s">
        <v>37</v>
      </c>
      <c r="M3579" t="s">
        <v>117</v>
      </c>
      <c r="N3579" s="1">
        <v>41631</v>
      </c>
      <c r="O3579">
        <v>4951.9799999999996</v>
      </c>
      <c r="P3579">
        <v>1237.94</v>
      </c>
      <c r="Q3579" t="s">
        <v>37</v>
      </c>
      <c r="R3579" t="s">
        <v>71</v>
      </c>
      <c r="S3579" t="s">
        <v>790</v>
      </c>
      <c r="T3579" t="s">
        <v>791</v>
      </c>
    </row>
    <row r="3580" spans="1:20" x14ac:dyDescent="0.25">
      <c r="A3580" t="s">
        <v>8586</v>
      </c>
      <c r="B3580" t="str">
        <f>"7764"</f>
        <v>7764</v>
      </c>
      <c r="C3580" t="str">
        <f>"285607764"</f>
        <v>285607764</v>
      </c>
      <c r="D3580" t="s">
        <v>1798</v>
      </c>
      <c r="E3580" t="s">
        <v>8587</v>
      </c>
      <c r="F3580" t="s">
        <v>165</v>
      </c>
      <c r="G3580" s="1">
        <v>23343</v>
      </c>
      <c r="H3580" s="1">
        <v>39293</v>
      </c>
      <c r="I3580" t="str">
        <f>"01"</f>
        <v>01</v>
      </c>
      <c r="J3580" t="s">
        <v>116</v>
      </c>
      <c r="K3580" t="s">
        <v>98</v>
      </c>
      <c r="L3580" t="s">
        <v>37</v>
      </c>
      <c r="M3580" t="s">
        <v>257</v>
      </c>
      <c r="N3580" s="1">
        <v>41617</v>
      </c>
      <c r="O3580">
        <v>10753.08</v>
      </c>
      <c r="P3580">
        <v>2688.4</v>
      </c>
      <c r="Q3580" t="s">
        <v>37</v>
      </c>
      <c r="R3580" t="s">
        <v>258</v>
      </c>
      <c r="S3580" t="s">
        <v>978</v>
      </c>
      <c r="T3580" t="s">
        <v>979</v>
      </c>
    </row>
    <row r="3581" spans="1:20" x14ac:dyDescent="0.25">
      <c r="A3581" t="s">
        <v>8588</v>
      </c>
      <c r="B3581" t="str">
        <f>"9754"</f>
        <v>9754</v>
      </c>
      <c r="C3581" t="str">
        <f>"297809754"</f>
        <v>297809754</v>
      </c>
      <c r="D3581" t="s">
        <v>8589</v>
      </c>
      <c r="E3581" t="s">
        <v>8590</v>
      </c>
      <c r="G3581" s="1">
        <v>27872</v>
      </c>
      <c r="H3581" s="1">
        <v>39293</v>
      </c>
      <c r="I3581" t="str">
        <f t="shared" ref="I3581:I3587" si="79">"20"</f>
        <v>20</v>
      </c>
      <c r="J3581" t="s">
        <v>123</v>
      </c>
      <c r="K3581" t="s">
        <v>98</v>
      </c>
      <c r="L3581" t="s">
        <v>37</v>
      </c>
      <c r="M3581" t="s">
        <v>99</v>
      </c>
      <c r="N3581" s="1">
        <v>41631</v>
      </c>
      <c r="O3581">
        <v>14801.82</v>
      </c>
      <c r="P3581">
        <v>3700.4</v>
      </c>
      <c r="Q3581" t="s">
        <v>37</v>
      </c>
      <c r="R3581" t="s">
        <v>71</v>
      </c>
      <c r="S3581" t="s">
        <v>2458</v>
      </c>
      <c r="T3581" t="s">
        <v>2459</v>
      </c>
    </row>
    <row r="3582" spans="1:20" x14ac:dyDescent="0.25">
      <c r="A3582" t="s">
        <v>8591</v>
      </c>
      <c r="B3582" t="str">
        <f>"2983"</f>
        <v>2983</v>
      </c>
      <c r="C3582" t="str">
        <f>"296502983"</f>
        <v>296502983</v>
      </c>
      <c r="D3582" t="s">
        <v>8592</v>
      </c>
      <c r="E3582" t="s">
        <v>56</v>
      </c>
      <c r="G3582" s="1">
        <v>23129</v>
      </c>
      <c r="H3582" s="1">
        <v>39293</v>
      </c>
      <c r="I3582" t="str">
        <f t="shared" si="79"/>
        <v>20</v>
      </c>
      <c r="J3582" t="s">
        <v>123</v>
      </c>
      <c r="K3582" t="s">
        <v>98</v>
      </c>
      <c r="L3582" t="s">
        <v>37</v>
      </c>
      <c r="M3582" t="s">
        <v>99</v>
      </c>
      <c r="N3582" s="1">
        <v>41631</v>
      </c>
      <c r="O3582">
        <v>14801.82</v>
      </c>
      <c r="P3582">
        <v>3700.4</v>
      </c>
      <c r="Q3582" t="s">
        <v>28</v>
      </c>
      <c r="R3582" t="s">
        <v>71</v>
      </c>
      <c r="S3582" t="s">
        <v>1474</v>
      </c>
      <c r="T3582" t="s">
        <v>1475</v>
      </c>
    </row>
    <row r="3583" spans="1:20" x14ac:dyDescent="0.25">
      <c r="A3583" t="s">
        <v>8593</v>
      </c>
      <c r="B3583" t="str">
        <f>"9767"</f>
        <v>9767</v>
      </c>
      <c r="C3583" t="str">
        <f>"277509767"</f>
        <v>277509767</v>
      </c>
      <c r="D3583" t="s">
        <v>8594</v>
      </c>
      <c r="E3583" t="s">
        <v>969</v>
      </c>
      <c r="F3583" t="s">
        <v>93</v>
      </c>
      <c r="G3583" s="1">
        <v>22422</v>
      </c>
      <c r="H3583" s="1">
        <v>39293</v>
      </c>
      <c r="I3583" t="str">
        <f t="shared" si="79"/>
        <v>20</v>
      </c>
      <c r="J3583" t="s">
        <v>123</v>
      </c>
      <c r="K3583" t="s">
        <v>175</v>
      </c>
      <c r="L3583" t="s">
        <v>37</v>
      </c>
      <c r="M3583" t="s">
        <v>117</v>
      </c>
      <c r="N3583" s="1">
        <v>41631</v>
      </c>
      <c r="O3583">
        <v>5288.8</v>
      </c>
      <c r="P3583">
        <v>1322.2</v>
      </c>
      <c r="Q3583" t="s">
        <v>37</v>
      </c>
      <c r="R3583" t="s">
        <v>51</v>
      </c>
      <c r="S3583" s="2" t="s">
        <v>1538</v>
      </c>
      <c r="T3583" t="s">
        <v>1539</v>
      </c>
    </row>
    <row r="3584" spans="1:20" x14ac:dyDescent="0.25">
      <c r="A3584" t="s">
        <v>8595</v>
      </c>
      <c r="B3584" t="str">
        <f>"9741"</f>
        <v>9741</v>
      </c>
      <c r="C3584" t="str">
        <f>"285669741"</f>
        <v>285669741</v>
      </c>
      <c r="D3584" t="s">
        <v>8596</v>
      </c>
      <c r="E3584" t="s">
        <v>544</v>
      </c>
      <c r="F3584" t="s">
        <v>44</v>
      </c>
      <c r="G3584" s="1">
        <v>26664</v>
      </c>
      <c r="H3584" s="1">
        <v>39293</v>
      </c>
      <c r="I3584" t="str">
        <f t="shared" si="79"/>
        <v>20</v>
      </c>
      <c r="J3584" t="s">
        <v>123</v>
      </c>
      <c r="K3584" t="s">
        <v>510</v>
      </c>
      <c r="L3584" t="s">
        <v>37</v>
      </c>
      <c r="M3584" t="s">
        <v>257</v>
      </c>
      <c r="N3584" s="1">
        <v>41631</v>
      </c>
      <c r="O3584">
        <v>14110.8</v>
      </c>
      <c r="P3584">
        <v>3527.7</v>
      </c>
      <c r="Q3584" t="s">
        <v>37</v>
      </c>
      <c r="R3584" t="s">
        <v>71</v>
      </c>
      <c r="S3584" t="s">
        <v>209</v>
      </c>
      <c r="T3584" t="s">
        <v>210</v>
      </c>
    </row>
    <row r="3585" spans="1:20" x14ac:dyDescent="0.25">
      <c r="A3585" t="s">
        <v>8597</v>
      </c>
      <c r="B3585" t="str">
        <f>"1194"</f>
        <v>1194</v>
      </c>
      <c r="C3585" t="str">
        <f>"336561194"</f>
        <v>336561194</v>
      </c>
      <c r="D3585" t="s">
        <v>8598</v>
      </c>
      <c r="E3585" t="s">
        <v>8599</v>
      </c>
      <c r="G3585" s="1">
        <v>16345</v>
      </c>
      <c r="H3585" s="1">
        <v>39293</v>
      </c>
      <c r="I3585" t="str">
        <f t="shared" si="79"/>
        <v>20</v>
      </c>
      <c r="J3585" t="s">
        <v>123</v>
      </c>
      <c r="K3585" t="s">
        <v>98</v>
      </c>
      <c r="L3585" t="s">
        <v>37</v>
      </c>
      <c r="M3585" t="s">
        <v>257</v>
      </c>
      <c r="N3585" s="1">
        <v>41631</v>
      </c>
      <c r="O3585">
        <v>10753.16</v>
      </c>
      <c r="P3585">
        <v>2688.4</v>
      </c>
      <c r="Q3585" t="s">
        <v>28</v>
      </c>
      <c r="R3585" t="s">
        <v>71</v>
      </c>
      <c r="S3585" t="s">
        <v>770</v>
      </c>
      <c r="T3585" t="s">
        <v>771</v>
      </c>
    </row>
    <row r="3586" spans="1:20" x14ac:dyDescent="0.25">
      <c r="A3586" t="s">
        <v>8600</v>
      </c>
      <c r="B3586" t="str">
        <f>"4439"</f>
        <v>4439</v>
      </c>
      <c r="C3586" t="str">
        <f>"296784439"</f>
        <v>296784439</v>
      </c>
      <c r="D3586" t="s">
        <v>6670</v>
      </c>
      <c r="E3586" t="s">
        <v>35</v>
      </c>
      <c r="F3586" t="s">
        <v>282</v>
      </c>
      <c r="G3586" s="1">
        <v>27359</v>
      </c>
      <c r="H3586" s="1">
        <v>39293</v>
      </c>
      <c r="I3586" t="str">
        <f t="shared" si="79"/>
        <v>20</v>
      </c>
      <c r="J3586" t="s">
        <v>123</v>
      </c>
      <c r="K3586" t="s">
        <v>98</v>
      </c>
      <c r="L3586" t="s">
        <v>37</v>
      </c>
      <c r="M3586" t="s">
        <v>117</v>
      </c>
      <c r="N3586" s="1">
        <v>41631</v>
      </c>
      <c r="O3586">
        <v>4951.9799999999996</v>
      </c>
      <c r="P3586">
        <v>1237.94</v>
      </c>
      <c r="Q3586" t="s">
        <v>28</v>
      </c>
      <c r="R3586" t="s">
        <v>51</v>
      </c>
      <c r="S3586" s="2" t="s">
        <v>774</v>
      </c>
      <c r="T3586" t="s">
        <v>775</v>
      </c>
    </row>
    <row r="3587" spans="1:20" x14ac:dyDescent="0.25">
      <c r="A3587" t="s">
        <v>8601</v>
      </c>
      <c r="B3587" t="str">
        <f>"2922"</f>
        <v>2922</v>
      </c>
      <c r="C3587" t="str">
        <f>"272462922"</f>
        <v>272462922</v>
      </c>
      <c r="D3587" t="s">
        <v>6141</v>
      </c>
      <c r="E3587" t="s">
        <v>941</v>
      </c>
      <c r="F3587" t="s">
        <v>44</v>
      </c>
      <c r="G3587" s="1">
        <v>23067</v>
      </c>
      <c r="H3587" s="1">
        <v>39293</v>
      </c>
      <c r="I3587" t="str">
        <f t="shared" si="79"/>
        <v>20</v>
      </c>
      <c r="J3587" t="s">
        <v>123</v>
      </c>
      <c r="K3587" t="s">
        <v>98</v>
      </c>
      <c r="L3587" t="s">
        <v>37</v>
      </c>
      <c r="M3587" t="s">
        <v>99</v>
      </c>
      <c r="N3587" s="1">
        <v>41631</v>
      </c>
      <c r="O3587">
        <v>14801.82</v>
      </c>
      <c r="P3587">
        <v>3700.4</v>
      </c>
      <c r="Q3587" t="s">
        <v>28</v>
      </c>
      <c r="R3587" t="s">
        <v>71</v>
      </c>
      <c r="S3587" t="s">
        <v>1474</v>
      </c>
      <c r="T3587" t="s">
        <v>1475</v>
      </c>
    </row>
    <row r="3588" spans="1:20" x14ac:dyDescent="0.25">
      <c r="A3588" t="s">
        <v>8602</v>
      </c>
      <c r="B3588" t="str">
        <f>"9844"</f>
        <v>9844</v>
      </c>
      <c r="C3588" t="str">
        <f>"288749844"</f>
        <v>288749844</v>
      </c>
      <c r="D3588" t="s">
        <v>860</v>
      </c>
      <c r="E3588" t="s">
        <v>8603</v>
      </c>
      <c r="F3588" t="s">
        <v>276</v>
      </c>
      <c r="G3588" s="1">
        <v>26374</v>
      </c>
      <c r="H3588" s="1">
        <v>39280</v>
      </c>
      <c r="I3588" t="str">
        <f>"05"</f>
        <v>05</v>
      </c>
      <c r="J3588" t="s">
        <v>58</v>
      </c>
      <c r="K3588" t="s">
        <v>98</v>
      </c>
      <c r="L3588" t="s">
        <v>37</v>
      </c>
      <c r="M3588" t="s">
        <v>99</v>
      </c>
      <c r="N3588" s="1">
        <v>41617</v>
      </c>
      <c r="O3588">
        <v>14801.8</v>
      </c>
      <c r="P3588">
        <v>3700.32</v>
      </c>
      <c r="Q3588" t="s">
        <v>28</v>
      </c>
      <c r="R3588" t="s">
        <v>38</v>
      </c>
      <c r="S3588" t="s">
        <v>3444</v>
      </c>
      <c r="T3588" t="s">
        <v>3445</v>
      </c>
    </row>
    <row r="3589" spans="1:20" x14ac:dyDescent="0.25">
      <c r="A3589" t="s">
        <v>8604</v>
      </c>
      <c r="B3589" t="str">
        <f>"6337"</f>
        <v>6337</v>
      </c>
      <c r="C3589" t="str">
        <f>"279806337"</f>
        <v>279806337</v>
      </c>
      <c r="D3589" t="s">
        <v>4782</v>
      </c>
      <c r="E3589" t="s">
        <v>430</v>
      </c>
      <c r="F3589" t="s">
        <v>629</v>
      </c>
      <c r="G3589" s="1">
        <v>27646</v>
      </c>
      <c r="H3589" s="1">
        <v>39279</v>
      </c>
      <c r="I3589" t="str">
        <f>"03"</f>
        <v>03</v>
      </c>
      <c r="J3589" t="s">
        <v>70</v>
      </c>
      <c r="K3589" t="s">
        <v>98</v>
      </c>
      <c r="L3589" t="s">
        <v>37</v>
      </c>
      <c r="M3589" t="s">
        <v>99</v>
      </c>
      <c r="N3589" s="1">
        <v>41617</v>
      </c>
      <c r="O3589">
        <v>14801.8</v>
      </c>
      <c r="P3589">
        <v>3700.32</v>
      </c>
      <c r="Q3589" t="s">
        <v>28</v>
      </c>
      <c r="R3589" t="s">
        <v>29</v>
      </c>
      <c r="S3589" t="s">
        <v>589</v>
      </c>
      <c r="T3589" t="s">
        <v>590</v>
      </c>
    </row>
    <row r="3590" spans="1:20" x14ac:dyDescent="0.25">
      <c r="A3590" t="s">
        <v>8605</v>
      </c>
      <c r="B3590" t="str">
        <f>"9031"</f>
        <v>9031</v>
      </c>
      <c r="C3590" t="str">
        <f>"277429031"</f>
        <v>277429031</v>
      </c>
      <c r="D3590" t="s">
        <v>8606</v>
      </c>
      <c r="E3590" t="s">
        <v>1248</v>
      </c>
      <c r="F3590" t="s">
        <v>93</v>
      </c>
      <c r="G3590" s="1">
        <v>18424</v>
      </c>
      <c r="H3590" s="1">
        <v>39279</v>
      </c>
      <c r="I3590" t="str">
        <f>"12"</f>
        <v>12</v>
      </c>
      <c r="J3590" t="s">
        <v>245</v>
      </c>
      <c r="K3590" t="s">
        <v>98</v>
      </c>
      <c r="L3590" t="s">
        <v>37</v>
      </c>
      <c r="M3590" t="s">
        <v>117</v>
      </c>
      <c r="N3590" s="1">
        <v>41617</v>
      </c>
      <c r="O3590">
        <v>4951.96</v>
      </c>
      <c r="P3590">
        <v>1237.8599999999999</v>
      </c>
      <c r="Q3590" t="s">
        <v>37</v>
      </c>
      <c r="R3590" t="s">
        <v>71</v>
      </c>
      <c r="S3590" t="s">
        <v>8607</v>
      </c>
      <c r="T3590" t="s">
        <v>8608</v>
      </c>
    </row>
    <row r="3591" spans="1:20" x14ac:dyDescent="0.25">
      <c r="A3591" t="s">
        <v>8609</v>
      </c>
      <c r="B3591" t="str">
        <f>"6947"</f>
        <v>6947</v>
      </c>
      <c r="C3591" t="str">
        <f>"302446947"</f>
        <v>302446947</v>
      </c>
      <c r="D3591" t="s">
        <v>8014</v>
      </c>
      <c r="E3591" t="s">
        <v>682</v>
      </c>
      <c r="F3591" t="s">
        <v>97</v>
      </c>
      <c r="G3591" s="1">
        <v>17444</v>
      </c>
      <c r="H3591" s="1">
        <v>39279</v>
      </c>
      <c r="I3591" t="str">
        <f>"15"</f>
        <v>15</v>
      </c>
      <c r="J3591" t="s">
        <v>36</v>
      </c>
      <c r="K3591" t="s">
        <v>98</v>
      </c>
      <c r="L3591" t="s">
        <v>37</v>
      </c>
      <c r="M3591" t="s">
        <v>117</v>
      </c>
      <c r="N3591" s="1">
        <v>41617</v>
      </c>
      <c r="O3591">
        <v>4951.96</v>
      </c>
      <c r="P3591">
        <v>1237.8599999999999</v>
      </c>
      <c r="Q3591" t="s">
        <v>37</v>
      </c>
      <c r="R3591" t="s">
        <v>71</v>
      </c>
      <c r="S3591" t="s">
        <v>901</v>
      </c>
      <c r="T3591" t="s">
        <v>902</v>
      </c>
    </row>
    <row r="3592" spans="1:20" x14ac:dyDescent="0.25">
      <c r="A3592" t="s">
        <v>8610</v>
      </c>
      <c r="B3592" t="str">
        <f>"6840"</f>
        <v>6840</v>
      </c>
      <c r="C3592" t="str">
        <f>"297726840"</f>
        <v>297726840</v>
      </c>
      <c r="D3592" t="s">
        <v>8611</v>
      </c>
      <c r="E3592" t="s">
        <v>335</v>
      </c>
      <c r="F3592" t="s">
        <v>556</v>
      </c>
      <c r="G3592" s="1">
        <v>25442</v>
      </c>
      <c r="H3592" s="1">
        <v>39269</v>
      </c>
      <c r="I3592" t="str">
        <f>"51"</f>
        <v>51</v>
      </c>
      <c r="J3592" t="s">
        <v>471</v>
      </c>
      <c r="K3592" t="s">
        <v>25</v>
      </c>
      <c r="L3592" t="s">
        <v>26</v>
      </c>
      <c r="M3592" t="s">
        <v>27</v>
      </c>
      <c r="N3592" s="1">
        <v>18629</v>
      </c>
      <c r="O3592">
        <v>0</v>
      </c>
      <c r="P3592">
        <v>0</v>
      </c>
      <c r="Q3592" t="s">
        <v>28</v>
      </c>
      <c r="R3592" t="s">
        <v>71</v>
      </c>
      <c r="S3592" t="s">
        <v>923</v>
      </c>
      <c r="T3592" t="s">
        <v>924</v>
      </c>
    </row>
    <row r="3593" spans="1:20" x14ac:dyDescent="0.25">
      <c r="A3593" t="s">
        <v>8612</v>
      </c>
      <c r="B3593" t="str">
        <f>"8470"</f>
        <v>8470</v>
      </c>
      <c r="C3593" t="str">
        <f>"163628470"</f>
        <v>163628470</v>
      </c>
      <c r="D3593" t="s">
        <v>1383</v>
      </c>
      <c r="E3593" t="s">
        <v>8613</v>
      </c>
      <c r="F3593" t="s">
        <v>7601</v>
      </c>
      <c r="G3593" s="1">
        <v>24951</v>
      </c>
      <c r="H3593" s="1">
        <v>39265</v>
      </c>
      <c r="I3593" t="str">
        <f>"41"</f>
        <v>41</v>
      </c>
      <c r="J3593" t="s">
        <v>24</v>
      </c>
      <c r="K3593" t="s">
        <v>25</v>
      </c>
      <c r="L3593" t="s">
        <v>26</v>
      </c>
      <c r="M3593" t="s">
        <v>27</v>
      </c>
      <c r="N3593" s="1">
        <v>18629</v>
      </c>
      <c r="O3593">
        <v>0</v>
      </c>
      <c r="P3593">
        <v>0</v>
      </c>
      <c r="Q3593" t="s">
        <v>28</v>
      </c>
      <c r="R3593" t="s">
        <v>71</v>
      </c>
      <c r="S3593" t="s">
        <v>8194</v>
      </c>
      <c r="T3593" t="s">
        <v>8195</v>
      </c>
    </row>
    <row r="3594" spans="1:20" x14ac:dyDescent="0.25">
      <c r="A3594" t="s">
        <v>8614</v>
      </c>
      <c r="B3594" t="str">
        <f>"0418"</f>
        <v>0418</v>
      </c>
      <c r="C3594" t="str">
        <f>"273520418"</f>
        <v>273520418</v>
      </c>
      <c r="D3594" t="s">
        <v>8615</v>
      </c>
      <c r="E3594" t="s">
        <v>197</v>
      </c>
      <c r="F3594" t="s">
        <v>37</v>
      </c>
      <c r="G3594" s="1">
        <v>18452</v>
      </c>
      <c r="H3594" s="1">
        <v>39265</v>
      </c>
      <c r="I3594" t="str">
        <f>"12"</f>
        <v>12</v>
      </c>
      <c r="J3594" t="s">
        <v>245</v>
      </c>
      <c r="K3594" t="s">
        <v>98</v>
      </c>
      <c r="L3594" t="s">
        <v>37</v>
      </c>
      <c r="M3594" t="s">
        <v>257</v>
      </c>
      <c r="N3594" s="1">
        <v>41617</v>
      </c>
      <c r="O3594">
        <v>10753.08</v>
      </c>
      <c r="P3594">
        <v>2688.4</v>
      </c>
      <c r="Q3594" t="s">
        <v>28</v>
      </c>
      <c r="R3594" t="s">
        <v>29</v>
      </c>
      <c r="S3594" t="s">
        <v>1542</v>
      </c>
      <c r="T3594" t="s">
        <v>1543</v>
      </c>
    </row>
    <row r="3595" spans="1:20" x14ac:dyDescent="0.25">
      <c r="A3595" t="s">
        <v>8616</v>
      </c>
      <c r="B3595" t="str">
        <f>"5514"</f>
        <v>5514</v>
      </c>
      <c r="C3595" t="str">
        <f>"272465514"</f>
        <v>272465514</v>
      </c>
      <c r="D3595" t="s">
        <v>8617</v>
      </c>
      <c r="E3595" t="s">
        <v>463</v>
      </c>
      <c r="F3595" t="s">
        <v>28</v>
      </c>
      <c r="G3595" s="1">
        <v>19327</v>
      </c>
      <c r="H3595" s="1">
        <v>39265</v>
      </c>
      <c r="I3595" t="str">
        <f>"08"</f>
        <v>08</v>
      </c>
      <c r="J3595" t="s">
        <v>265</v>
      </c>
      <c r="K3595" t="s">
        <v>98</v>
      </c>
      <c r="L3595" t="s">
        <v>37</v>
      </c>
      <c r="M3595" t="s">
        <v>117</v>
      </c>
      <c r="N3595" s="1">
        <v>41617</v>
      </c>
      <c r="O3595">
        <v>4951.96</v>
      </c>
      <c r="P3595">
        <v>1237.8599999999999</v>
      </c>
      <c r="Q3595" t="s">
        <v>28</v>
      </c>
      <c r="R3595" t="s">
        <v>71</v>
      </c>
      <c r="S3595" t="s">
        <v>2839</v>
      </c>
      <c r="T3595" t="s">
        <v>2591</v>
      </c>
    </row>
    <row r="3596" spans="1:20" x14ac:dyDescent="0.25">
      <c r="A3596" t="s">
        <v>8618</v>
      </c>
      <c r="B3596" t="str">
        <f>"5944"</f>
        <v>5944</v>
      </c>
      <c r="C3596" t="str">
        <f>"283525944"</f>
        <v>283525944</v>
      </c>
      <c r="D3596" t="s">
        <v>8619</v>
      </c>
      <c r="E3596" t="s">
        <v>35</v>
      </c>
      <c r="G3596" s="1">
        <v>21364</v>
      </c>
      <c r="H3596" s="1">
        <v>39264</v>
      </c>
      <c r="I3596" t="str">
        <f>"41"</f>
        <v>41</v>
      </c>
      <c r="J3596" t="s">
        <v>24</v>
      </c>
      <c r="K3596" t="s">
        <v>25</v>
      </c>
      <c r="L3596" t="s">
        <v>26</v>
      </c>
      <c r="M3596" t="s">
        <v>27</v>
      </c>
      <c r="N3596" s="1">
        <v>18629</v>
      </c>
      <c r="O3596">
        <v>0</v>
      </c>
      <c r="P3596">
        <v>0</v>
      </c>
      <c r="Q3596" t="s">
        <v>28</v>
      </c>
      <c r="R3596" t="s">
        <v>29</v>
      </c>
      <c r="S3596" t="s">
        <v>8399</v>
      </c>
      <c r="T3596" t="s">
        <v>8400</v>
      </c>
    </row>
    <row r="3597" spans="1:20" x14ac:dyDescent="0.25">
      <c r="A3597" t="s">
        <v>8620</v>
      </c>
      <c r="B3597" t="str">
        <f>"7877"</f>
        <v>7877</v>
      </c>
      <c r="C3597" t="str">
        <f>"278547877"</f>
        <v>278547877</v>
      </c>
      <c r="D3597" t="s">
        <v>1715</v>
      </c>
      <c r="E3597" t="s">
        <v>1639</v>
      </c>
      <c r="F3597" t="s">
        <v>282</v>
      </c>
      <c r="G3597" s="1">
        <v>19453</v>
      </c>
      <c r="H3597" s="1">
        <v>39264</v>
      </c>
      <c r="I3597" t="str">
        <f>"41"</f>
        <v>41</v>
      </c>
      <c r="J3597" t="s">
        <v>24</v>
      </c>
      <c r="K3597" t="s">
        <v>25</v>
      </c>
      <c r="L3597" t="s">
        <v>26</v>
      </c>
      <c r="M3597" t="s">
        <v>27</v>
      </c>
      <c r="N3597" s="1">
        <v>18629</v>
      </c>
      <c r="O3597">
        <v>0</v>
      </c>
      <c r="P3597">
        <v>0</v>
      </c>
      <c r="Q3597" t="s">
        <v>28</v>
      </c>
      <c r="R3597" t="s">
        <v>71</v>
      </c>
      <c r="S3597" t="s">
        <v>2820</v>
      </c>
      <c r="T3597" t="s">
        <v>2821</v>
      </c>
    </row>
    <row r="3598" spans="1:20" x14ac:dyDescent="0.25">
      <c r="A3598" t="s">
        <v>8621</v>
      </c>
      <c r="B3598" t="str">
        <f>"3527"</f>
        <v>3527</v>
      </c>
      <c r="C3598" t="str">
        <f>"271703527"</f>
        <v>271703527</v>
      </c>
      <c r="D3598" t="s">
        <v>114</v>
      </c>
      <c r="E3598" t="s">
        <v>664</v>
      </c>
      <c r="F3598" t="s">
        <v>832</v>
      </c>
      <c r="G3598" s="1">
        <v>23100</v>
      </c>
      <c r="H3598" s="1">
        <v>39264</v>
      </c>
      <c r="I3598" t="str">
        <f>"41"</f>
        <v>41</v>
      </c>
      <c r="J3598" t="s">
        <v>24</v>
      </c>
      <c r="K3598" t="s">
        <v>25</v>
      </c>
      <c r="L3598" t="s">
        <v>26</v>
      </c>
      <c r="M3598" t="s">
        <v>27</v>
      </c>
      <c r="N3598" s="1">
        <v>18629</v>
      </c>
      <c r="O3598">
        <v>0</v>
      </c>
      <c r="P3598">
        <v>0</v>
      </c>
      <c r="Q3598" t="s">
        <v>28</v>
      </c>
      <c r="R3598" t="s">
        <v>51</v>
      </c>
      <c r="S3598" s="2" t="s">
        <v>1359</v>
      </c>
      <c r="T3598" t="s">
        <v>1360</v>
      </c>
    </row>
    <row r="3599" spans="1:20" x14ac:dyDescent="0.25">
      <c r="A3599" t="s">
        <v>8622</v>
      </c>
      <c r="B3599" t="str">
        <f>"9122"</f>
        <v>9122</v>
      </c>
      <c r="C3599" t="str">
        <f>"581359122"</f>
        <v>581359122</v>
      </c>
      <c r="D3599" t="s">
        <v>8623</v>
      </c>
      <c r="E3599" t="s">
        <v>2308</v>
      </c>
      <c r="G3599" s="1">
        <v>24640</v>
      </c>
      <c r="H3599" s="1">
        <v>39251</v>
      </c>
      <c r="I3599" t="str">
        <f>"01"</f>
        <v>01</v>
      </c>
      <c r="J3599" t="s">
        <v>116</v>
      </c>
      <c r="K3599" t="s">
        <v>98</v>
      </c>
      <c r="L3599" t="s">
        <v>37</v>
      </c>
      <c r="M3599" t="s">
        <v>99</v>
      </c>
      <c r="N3599" s="1">
        <v>41617</v>
      </c>
      <c r="O3599">
        <v>14801.8</v>
      </c>
      <c r="P3599">
        <v>3700.32</v>
      </c>
      <c r="Q3599" t="s">
        <v>37</v>
      </c>
      <c r="R3599" t="s">
        <v>71</v>
      </c>
      <c r="S3599" t="s">
        <v>1774</v>
      </c>
      <c r="T3599" t="s">
        <v>1775</v>
      </c>
    </row>
    <row r="3600" spans="1:20" x14ac:dyDescent="0.25">
      <c r="A3600" t="s">
        <v>8624</v>
      </c>
      <c r="B3600" t="str">
        <f>"4504"</f>
        <v>4504</v>
      </c>
      <c r="C3600" t="str">
        <f>"292384504"</f>
        <v>292384504</v>
      </c>
      <c r="D3600" t="s">
        <v>8625</v>
      </c>
      <c r="E3600" t="s">
        <v>197</v>
      </c>
      <c r="F3600" t="s">
        <v>35</v>
      </c>
      <c r="G3600" s="1">
        <v>15540</v>
      </c>
      <c r="H3600" s="1">
        <v>39251</v>
      </c>
      <c r="I3600" t="str">
        <f>"51"</f>
        <v>51</v>
      </c>
      <c r="J3600" t="s">
        <v>471</v>
      </c>
      <c r="K3600" t="s">
        <v>25</v>
      </c>
      <c r="L3600" t="s">
        <v>26</v>
      </c>
      <c r="M3600" t="s">
        <v>27</v>
      </c>
      <c r="N3600" s="1">
        <v>18629</v>
      </c>
      <c r="O3600">
        <v>0</v>
      </c>
      <c r="P3600">
        <v>0</v>
      </c>
      <c r="Q3600" t="s">
        <v>28</v>
      </c>
      <c r="R3600" t="s">
        <v>71</v>
      </c>
      <c r="S3600" t="s">
        <v>180</v>
      </c>
      <c r="T3600" t="s">
        <v>181</v>
      </c>
    </row>
    <row r="3601" spans="1:20" x14ac:dyDescent="0.25">
      <c r="A3601" t="s">
        <v>8626</v>
      </c>
      <c r="B3601" t="str">
        <f>"4637"</f>
        <v>4637</v>
      </c>
      <c r="C3601" t="str">
        <f>"458864637"</f>
        <v>458864637</v>
      </c>
      <c r="D3601" t="s">
        <v>3476</v>
      </c>
      <c r="E3601" t="s">
        <v>1589</v>
      </c>
      <c r="F3601" t="s">
        <v>4565</v>
      </c>
      <c r="G3601" s="1">
        <v>23214</v>
      </c>
      <c r="H3601" s="1">
        <v>39231</v>
      </c>
      <c r="I3601" t="str">
        <f>"30"</f>
        <v>30</v>
      </c>
      <c r="J3601" t="s">
        <v>50</v>
      </c>
      <c r="K3601" t="s">
        <v>25</v>
      </c>
      <c r="L3601" t="s">
        <v>26</v>
      </c>
      <c r="M3601" t="s">
        <v>27</v>
      </c>
      <c r="N3601" s="1">
        <v>18629</v>
      </c>
      <c r="O3601">
        <v>0</v>
      </c>
      <c r="P3601">
        <v>0</v>
      </c>
      <c r="Q3601" t="s">
        <v>37</v>
      </c>
      <c r="R3601" t="s">
        <v>29</v>
      </c>
      <c r="S3601" t="s">
        <v>83</v>
      </c>
      <c r="T3601" t="s">
        <v>84</v>
      </c>
    </row>
    <row r="3602" spans="1:20" x14ac:dyDescent="0.25">
      <c r="A3602" t="s">
        <v>8627</v>
      </c>
      <c r="B3602" t="str">
        <f>"5306"</f>
        <v>5306</v>
      </c>
      <c r="C3602" t="str">
        <f>"296405306"</f>
        <v>296405306</v>
      </c>
      <c r="D3602" t="s">
        <v>2853</v>
      </c>
      <c r="E3602" t="s">
        <v>430</v>
      </c>
      <c r="G3602" s="1">
        <v>17691</v>
      </c>
      <c r="H3602" s="1">
        <v>39231</v>
      </c>
      <c r="I3602" t="str">
        <f>"51"</f>
        <v>51</v>
      </c>
      <c r="J3602" t="s">
        <v>471</v>
      </c>
      <c r="K3602" t="s">
        <v>25</v>
      </c>
      <c r="L3602" t="s">
        <v>26</v>
      </c>
      <c r="M3602" t="s">
        <v>27</v>
      </c>
      <c r="N3602" s="1">
        <v>18629</v>
      </c>
      <c r="O3602">
        <v>0</v>
      </c>
      <c r="P3602">
        <v>0</v>
      </c>
      <c r="Q3602" t="s">
        <v>28</v>
      </c>
      <c r="R3602" t="s">
        <v>51</v>
      </c>
      <c r="S3602" s="2" t="s">
        <v>774</v>
      </c>
      <c r="T3602" t="s">
        <v>775</v>
      </c>
    </row>
    <row r="3603" spans="1:20" x14ac:dyDescent="0.25">
      <c r="A3603" t="s">
        <v>8628</v>
      </c>
      <c r="B3603" t="str">
        <f>"7825"</f>
        <v>7825</v>
      </c>
      <c r="C3603" t="str">
        <f>"300647825"</f>
        <v>300647825</v>
      </c>
      <c r="D3603" t="s">
        <v>1045</v>
      </c>
      <c r="E3603" t="s">
        <v>944</v>
      </c>
      <c r="F3603" t="s">
        <v>93</v>
      </c>
      <c r="G3603" s="1">
        <v>23138</v>
      </c>
      <c r="H3603" s="1">
        <v>39231</v>
      </c>
      <c r="I3603" t="str">
        <f>"51"</f>
        <v>51</v>
      </c>
      <c r="J3603" t="s">
        <v>471</v>
      </c>
      <c r="K3603" t="s">
        <v>25</v>
      </c>
      <c r="L3603" t="s">
        <v>26</v>
      </c>
      <c r="M3603" t="s">
        <v>27</v>
      </c>
      <c r="N3603" s="1">
        <v>18629</v>
      </c>
      <c r="O3603">
        <v>0</v>
      </c>
      <c r="P3603">
        <v>0</v>
      </c>
      <c r="Q3603" t="s">
        <v>28</v>
      </c>
      <c r="R3603" t="s">
        <v>71</v>
      </c>
      <c r="S3603" t="s">
        <v>2297</v>
      </c>
      <c r="T3603" t="s">
        <v>2298</v>
      </c>
    </row>
    <row r="3604" spans="1:20" x14ac:dyDescent="0.25">
      <c r="A3604" t="s">
        <v>8629</v>
      </c>
      <c r="B3604" t="str">
        <f>"1442"</f>
        <v>1442</v>
      </c>
      <c r="C3604" t="str">
        <f>"294341442"</f>
        <v>294341442</v>
      </c>
      <c r="D3604" t="s">
        <v>8630</v>
      </c>
      <c r="E3604" t="s">
        <v>430</v>
      </c>
      <c r="F3604" t="s">
        <v>28</v>
      </c>
      <c r="G3604" s="1">
        <v>14423</v>
      </c>
      <c r="H3604" s="1">
        <v>39231</v>
      </c>
      <c r="I3604" t="str">
        <f>"51"</f>
        <v>51</v>
      </c>
      <c r="J3604" t="s">
        <v>471</v>
      </c>
      <c r="K3604" t="s">
        <v>25</v>
      </c>
      <c r="L3604" t="s">
        <v>26</v>
      </c>
      <c r="M3604" t="s">
        <v>27</v>
      </c>
      <c r="N3604" s="1">
        <v>18629</v>
      </c>
      <c r="O3604">
        <v>0</v>
      </c>
      <c r="P3604">
        <v>0</v>
      </c>
      <c r="Q3604" t="s">
        <v>28</v>
      </c>
      <c r="R3604" t="s">
        <v>71</v>
      </c>
      <c r="S3604" t="s">
        <v>5022</v>
      </c>
      <c r="T3604" t="s">
        <v>5023</v>
      </c>
    </row>
    <row r="3605" spans="1:20" x14ac:dyDescent="0.25">
      <c r="A3605" t="s">
        <v>8631</v>
      </c>
      <c r="B3605" t="str">
        <f>"7810"</f>
        <v>7810</v>
      </c>
      <c r="C3605" t="str">
        <f>"269487810"</f>
        <v>269487810</v>
      </c>
      <c r="D3605" t="s">
        <v>5693</v>
      </c>
      <c r="E3605" t="s">
        <v>304</v>
      </c>
      <c r="F3605" t="s">
        <v>282</v>
      </c>
      <c r="G3605" s="1">
        <v>18190</v>
      </c>
      <c r="H3605" s="1">
        <v>39231</v>
      </c>
      <c r="I3605" t="str">
        <f>"51"</f>
        <v>51</v>
      </c>
      <c r="J3605" t="s">
        <v>471</v>
      </c>
      <c r="K3605" t="s">
        <v>25</v>
      </c>
      <c r="L3605" t="s">
        <v>26</v>
      </c>
      <c r="M3605" t="s">
        <v>27</v>
      </c>
      <c r="N3605" s="1">
        <v>18629</v>
      </c>
      <c r="O3605">
        <v>0</v>
      </c>
      <c r="P3605">
        <v>0</v>
      </c>
      <c r="Q3605" t="s">
        <v>28</v>
      </c>
      <c r="R3605" t="s">
        <v>29</v>
      </c>
      <c r="S3605" t="s">
        <v>1572</v>
      </c>
      <c r="T3605" t="s">
        <v>1573</v>
      </c>
    </row>
    <row r="3606" spans="1:20" x14ac:dyDescent="0.25">
      <c r="A3606" t="s">
        <v>8632</v>
      </c>
      <c r="B3606" t="str">
        <f>"7026"</f>
        <v>7026</v>
      </c>
      <c r="C3606" t="str">
        <f>"376587026"</f>
        <v>376587026</v>
      </c>
      <c r="D3606" t="s">
        <v>8633</v>
      </c>
      <c r="E3606" t="s">
        <v>870</v>
      </c>
      <c r="F3606" t="s">
        <v>219</v>
      </c>
      <c r="G3606" s="1">
        <v>19092</v>
      </c>
      <c r="H3606" s="1">
        <v>39224</v>
      </c>
      <c r="I3606" t="str">
        <f>"50"</f>
        <v>50</v>
      </c>
      <c r="J3606" t="s">
        <v>208</v>
      </c>
      <c r="K3606" t="s">
        <v>25</v>
      </c>
      <c r="L3606" t="s">
        <v>26</v>
      </c>
      <c r="M3606" t="s">
        <v>27</v>
      </c>
      <c r="N3606" s="1">
        <v>18629</v>
      </c>
      <c r="O3606">
        <v>0</v>
      </c>
      <c r="P3606">
        <v>0</v>
      </c>
      <c r="Q3606" t="s">
        <v>37</v>
      </c>
      <c r="R3606" t="s">
        <v>71</v>
      </c>
      <c r="S3606" t="s">
        <v>209</v>
      </c>
      <c r="T3606" t="s">
        <v>210</v>
      </c>
    </row>
    <row r="3607" spans="1:20" x14ac:dyDescent="0.25">
      <c r="A3607" t="s">
        <v>8634</v>
      </c>
      <c r="B3607" t="str">
        <f>"5025"</f>
        <v>5025</v>
      </c>
      <c r="C3607" t="str">
        <f>"286845025"</f>
        <v>286845025</v>
      </c>
      <c r="D3607" t="s">
        <v>8635</v>
      </c>
      <c r="E3607" t="s">
        <v>8636</v>
      </c>
      <c r="F3607" t="s">
        <v>219</v>
      </c>
      <c r="G3607" s="1">
        <v>26040</v>
      </c>
      <c r="H3607" s="1">
        <v>39223</v>
      </c>
      <c r="I3607" t="str">
        <f>"51"</f>
        <v>51</v>
      </c>
      <c r="J3607" t="s">
        <v>471</v>
      </c>
      <c r="K3607" t="s">
        <v>25</v>
      </c>
      <c r="L3607" t="s">
        <v>26</v>
      </c>
      <c r="M3607" t="s">
        <v>27</v>
      </c>
      <c r="N3607" s="1">
        <v>18629</v>
      </c>
      <c r="O3607">
        <v>0</v>
      </c>
      <c r="P3607">
        <v>0</v>
      </c>
      <c r="Q3607" t="s">
        <v>37</v>
      </c>
      <c r="R3607" t="s">
        <v>71</v>
      </c>
      <c r="S3607" t="s">
        <v>2406</v>
      </c>
      <c r="T3607" t="s">
        <v>2407</v>
      </c>
    </row>
    <row r="3608" spans="1:20" x14ac:dyDescent="0.25">
      <c r="A3608" t="s">
        <v>8637</v>
      </c>
      <c r="B3608" t="str">
        <f>"4751"</f>
        <v>4751</v>
      </c>
      <c r="C3608" t="str">
        <f>"271764751"</f>
        <v>271764751</v>
      </c>
      <c r="D3608" t="s">
        <v>5058</v>
      </c>
      <c r="E3608" t="s">
        <v>304</v>
      </c>
      <c r="F3608" t="s">
        <v>1854</v>
      </c>
      <c r="G3608" s="1">
        <v>25598</v>
      </c>
      <c r="H3608" s="1">
        <v>39202</v>
      </c>
      <c r="I3608" t="str">
        <f>"01"</f>
        <v>01</v>
      </c>
      <c r="J3608" t="s">
        <v>116</v>
      </c>
      <c r="K3608" t="s">
        <v>98</v>
      </c>
      <c r="L3608" t="s">
        <v>37</v>
      </c>
      <c r="M3608" t="s">
        <v>99</v>
      </c>
      <c r="N3608" s="1">
        <v>41617</v>
      </c>
      <c r="O3608">
        <v>14801.8</v>
      </c>
      <c r="P3608">
        <v>3700.32</v>
      </c>
      <c r="Q3608" t="s">
        <v>28</v>
      </c>
      <c r="R3608" t="s">
        <v>110</v>
      </c>
      <c r="S3608" t="s">
        <v>4077</v>
      </c>
      <c r="T3608" t="s">
        <v>4078</v>
      </c>
    </row>
    <row r="3609" spans="1:20" x14ac:dyDescent="0.25">
      <c r="A3609" t="s">
        <v>8638</v>
      </c>
      <c r="B3609" t="str">
        <f>"6196"</f>
        <v>6196</v>
      </c>
      <c r="C3609" t="str">
        <f>"571176196"</f>
        <v>571176196</v>
      </c>
      <c r="D3609" t="s">
        <v>8639</v>
      </c>
      <c r="E3609" t="s">
        <v>1415</v>
      </c>
      <c r="F3609" t="s">
        <v>256</v>
      </c>
      <c r="G3609" s="1">
        <v>24596</v>
      </c>
      <c r="H3609" s="1">
        <v>39195</v>
      </c>
      <c r="I3609" t="str">
        <f>"12"</f>
        <v>12</v>
      </c>
      <c r="J3609" t="s">
        <v>245</v>
      </c>
      <c r="K3609" t="s">
        <v>175</v>
      </c>
      <c r="L3609" t="s">
        <v>37</v>
      </c>
      <c r="M3609" t="s">
        <v>99</v>
      </c>
      <c r="N3609" s="1">
        <v>41617</v>
      </c>
      <c r="O3609">
        <v>16411.72</v>
      </c>
      <c r="P3609">
        <v>4102.8</v>
      </c>
      <c r="Q3609" t="s">
        <v>37</v>
      </c>
      <c r="R3609" t="s">
        <v>51</v>
      </c>
      <c r="S3609" s="2" t="s">
        <v>1140</v>
      </c>
      <c r="T3609" t="s">
        <v>1141</v>
      </c>
    </row>
    <row r="3610" spans="1:20" x14ac:dyDescent="0.25">
      <c r="A3610" t="s">
        <v>8640</v>
      </c>
      <c r="B3610" t="str">
        <f>"3080"</f>
        <v>3080</v>
      </c>
      <c r="C3610" t="str">
        <f>"267743080"</f>
        <v>267743080</v>
      </c>
      <c r="D3610" t="s">
        <v>4937</v>
      </c>
      <c r="E3610" t="s">
        <v>6481</v>
      </c>
      <c r="G3610" s="1">
        <v>16360</v>
      </c>
      <c r="H3610" s="1">
        <v>39181</v>
      </c>
      <c r="I3610" t="str">
        <f>"50"</f>
        <v>50</v>
      </c>
      <c r="J3610" t="s">
        <v>208</v>
      </c>
      <c r="K3610" t="s">
        <v>25</v>
      </c>
      <c r="L3610" t="s">
        <v>26</v>
      </c>
      <c r="M3610" t="s">
        <v>27</v>
      </c>
      <c r="N3610" s="1">
        <v>18629</v>
      </c>
      <c r="O3610">
        <v>0</v>
      </c>
      <c r="P3610">
        <v>0</v>
      </c>
      <c r="Q3610" t="s">
        <v>37</v>
      </c>
      <c r="R3610" t="s">
        <v>51</v>
      </c>
      <c r="S3610" s="2" t="s">
        <v>683</v>
      </c>
      <c r="T3610" t="s">
        <v>684</v>
      </c>
    </row>
    <row r="3611" spans="1:20" x14ac:dyDescent="0.25">
      <c r="A3611" t="s">
        <v>8641</v>
      </c>
      <c r="B3611" t="str">
        <f>"9376"</f>
        <v>9376</v>
      </c>
      <c r="C3611" t="str">
        <f>"281689376"</f>
        <v>281689376</v>
      </c>
      <c r="D3611" t="s">
        <v>2161</v>
      </c>
      <c r="E3611" t="s">
        <v>8642</v>
      </c>
      <c r="F3611" t="s">
        <v>1854</v>
      </c>
      <c r="G3611" s="1">
        <v>26053</v>
      </c>
      <c r="H3611" s="1">
        <v>39181</v>
      </c>
      <c r="I3611" t="str">
        <f>"52"</f>
        <v>52</v>
      </c>
      <c r="J3611" t="s">
        <v>330</v>
      </c>
      <c r="K3611" t="s">
        <v>25</v>
      </c>
      <c r="L3611" t="s">
        <v>26</v>
      </c>
      <c r="M3611" t="s">
        <v>27</v>
      </c>
      <c r="N3611" s="1">
        <v>18629</v>
      </c>
      <c r="O3611">
        <v>0</v>
      </c>
      <c r="P3611">
        <v>0</v>
      </c>
      <c r="Q3611" t="s">
        <v>28</v>
      </c>
      <c r="R3611" t="s">
        <v>258</v>
      </c>
      <c r="S3611" t="s">
        <v>336</v>
      </c>
      <c r="T3611" t="s">
        <v>337</v>
      </c>
    </row>
    <row r="3612" spans="1:20" x14ac:dyDescent="0.25">
      <c r="A3612" t="s">
        <v>8643</v>
      </c>
      <c r="B3612" t="str">
        <f>"2260"</f>
        <v>2260</v>
      </c>
      <c r="C3612" t="str">
        <f>"288762260"</f>
        <v>288762260</v>
      </c>
      <c r="D3612" t="s">
        <v>8644</v>
      </c>
      <c r="E3612" t="s">
        <v>35</v>
      </c>
      <c r="F3612" t="s">
        <v>264</v>
      </c>
      <c r="G3612" s="1">
        <v>24209</v>
      </c>
      <c r="H3612" s="1">
        <v>39181</v>
      </c>
      <c r="I3612" t="str">
        <f>"52"</f>
        <v>52</v>
      </c>
      <c r="J3612" t="s">
        <v>330</v>
      </c>
      <c r="K3612" t="s">
        <v>25</v>
      </c>
      <c r="L3612" t="s">
        <v>26</v>
      </c>
      <c r="M3612" t="s">
        <v>27</v>
      </c>
      <c r="N3612" s="1">
        <v>18629</v>
      </c>
      <c r="O3612">
        <v>0</v>
      </c>
      <c r="P3612">
        <v>0</v>
      </c>
      <c r="Q3612" t="s">
        <v>28</v>
      </c>
      <c r="R3612" t="s">
        <v>258</v>
      </c>
      <c r="S3612" t="s">
        <v>336</v>
      </c>
      <c r="T3612" t="s">
        <v>337</v>
      </c>
    </row>
    <row r="3613" spans="1:20" x14ac:dyDescent="0.25">
      <c r="A3613" t="s">
        <v>8645</v>
      </c>
      <c r="B3613" t="str">
        <f>"6093"</f>
        <v>6093</v>
      </c>
      <c r="C3613" t="str">
        <f>"289686093"</f>
        <v>289686093</v>
      </c>
      <c r="D3613" t="s">
        <v>8646</v>
      </c>
      <c r="E3613" t="s">
        <v>1233</v>
      </c>
      <c r="F3613" t="s">
        <v>44</v>
      </c>
      <c r="G3613" s="1">
        <v>23210</v>
      </c>
      <c r="H3613" s="1">
        <v>39181</v>
      </c>
      <c r="I3613" t="str">
        <f>"07"</f>
        <v>07</v>
      </c>
      <c r="J3613" t="s">
        <v>1018</v>
      </c>
      <c r="K3613" t="s">
        <v>98</v>
      </c>
      <c r="L3613" t="s">
        <v>37</v>
      </c>
      <c r="M3613" t="s">
        <v>99</v>
      </c>
      <c r="N3613" s="1">
        <v>41617</v>
      </c>
      <c r="O3613">
        <v>14801.8</v>
      </c>
      <c r="P3613">
        <v>3700.32</v>
      </c>
      <c r="Q3613" t="s">
        <v>28</v>
      </c>
      <c r="R3613" t="s">
        <v>29</v>
      </c>
      <c r="S3613" t="s">
        <v>266</v>
      </c>
      <c r="T3613" t="s">
        <v>267</v>
      </c>
    </row>
    <row r="3614" spans="1:20" x14ac:dyDescent="0.25">
      <c r="A3614" t="s">
        <v>8647</v>
      </c>
      <c r="B3614" t="str">
        <f>"5431"</f>
        <v>5431</v>
      </c>
      <c r="C3614" t="str">
        <f>"276465431"</f>
        <v>276465431</v>
      </c>
      <c r="D3614" t="s">
        <v>8648</v>
      </c>
      <c r="E3614" t="s">
        <v>1074</v>
      </c>
      <c r="F3614" t="s">
        <v>44</v>
      </c>
      <c r="G3614" s="1">
        <v>19228</v>
      </c>
      <c r="H3614" s="1">
        <v>39181</v>
      </c>
      <c r="I3614" t="str">
        <f>"30"</f>
        <v>30</v>
      </c>
      <c r="J3614" t="s">
        <v>50</v>
      </c>
      <c r="K3614" t="s">
        <v>25</v>
      </c>
      <c r="L3614" t="s">
        <v>26</v>
      </c>
      <c r="M3614" t="s">
        <v>27</v>
      </c>
      <c r="N3614" s="1">
        <v>18629</v>
      </c>
      <c r="O3614">
        <v>0</v>
      </c>
      <c r="P3614">
        <v>0</v>
      </c>
      <c r="Q3614" t="s">
        <v>37</v>
      </c>
      <c r="R3614" t="s">
        <v>51</v>
      </c>
      <c r="S3614" s="2" t="s">
        <v>198</v>
      </c>
      <c r="T3614" t="s">
        <v>199</v>
      </c>
    </row>
    <row r="3615" spans="1:20" x14ac:dyDescent="0.25">
      <c r="A3615" t="s">
        <v>8649</v>
      </c>
      <c r="B3615" t="str">
        <f>"0154"</f>
        <v>0154</v>
      </c>
      <c r="C3615" t="str">
        <f>"181480154"</f>
        <v>181480154</v>
      </c>
      <c r="D3615" t="s">
        <v>8650</v>
      </c>
      <c r="E3615" t="s">
        <v>122</v>
      </c>
      <c r="F3615" t="s">
        <v>97</v>
      </c>
      <c r="G3615" s="1">
        <v>22059</v>
      </c>
      <c r="H3615" s="1">
        <v>39181</v>
      </c>
      <c r="I3615" t="str">
        <f>"03"</f>
        <v>03</v>
      </c>
      <c r="J3615" t="s">
        <v>70</v>
      </c>
      <c r="K3615" t="s">
        <v>98</v>
      </c>
      <c r="L3615" t="s">
        <v>37</v>
      </c>
      <c r="M3615" t="s">
        <v>99</v>
      </c>
      <c r="N3615" s="1">
        <v>41617</v>
      </c>
      <c r="O3615">
        <v>14801.8</v>
      </c>
      <c r="P3615">
        <v>3700.32</v>
      </c>
      <c r="Q3615" t="s">
        <v>28</v>
      </c>
      <c r="R3615" t="s">
        <v>38</v>
      </c>
      <c r="S3615" t="s">
        <v>2678</v>
      </c>
      <c r="T3615" t="s">
        <v>2679</v>
      </c>
    </row>
    <row r="3616" spans="1:20" x14ac:dyDescent="0.25">
      <c r="A3616" t="s">
        <v>8651</v>
      </c>
      <c r="B3616" t="str">
        <f>"8343"</f>
        <v>8343</v>
      </c>
      <c r="C3616" t="str">
        <f>"286788343"</f>
        <v>286788343</v>
      </c>
      <c r="D3616" t="s">
        <v>114</v>
      </c>
      <c r="E3616" t="s">
        <v>6321</v>
      </c>
      <c r="F3616" t="s">
        <v>358</v>
      </c>
      <c r="G3616" s="1">
        <v>29777</v>
      </c>
      <c r="H3616" s="1">
        <v>39181</v>
      </c>
      <c r="I3616" t="str">
        <f>"31"</f>
        <v>31</v>
      </c>
      <c r="J3616" t="s">
        <v>3321</v>
      </c>
      <c r="K3616" t="s">
        <v>25</v>
      </c>
      <c r="L3616" t="s">
        <v>26</v>
      </c>
      <c r="M3616" t="s">
        <v>27</v>
      </c>
      <c r="N3616" s="1">
        <v>18629</v>
      </c>
      <c r="O3616">
        <v>0</v>
      </c>
      <c r="P3616">
        <v>0</v>
      </c>
      <c r="Q3616" t="s">
        <v>37</v>
      </c>
      <c r="R3616" t="s">
        <v>29</v>
      </c>
      <c r="S3616" t="s">
        <v>5068</v>
      </c>
      <c r="T3616" t="s">
        <v>5069</v>
      </c>
    </row>
    <row r="3617" spans="1:20" x14ac:dyDescent="0.25">
      <c r="A3617" t="s">
        <v>8652</v>
      </c>
      <c r="B3617" t="str">
        <f>"3539"</f>
        <v>3539</v>
      </c>
      <c r="C3617" t="str">
        <f>"272543539"</f>
        <v>272543539</v>
      </c>
      <c r="D3617" t="s">
        <v>8653</v>
      </c>
      <c r="E3617" t="s">
        <v>944</v>
      </c>
      <c r="F3617" t="s">
        <v>37</v>
      </c>
      <c r="G3617" s="1">
        <v>25193</v>
      </c>
      <c r="H3617" s="1">
        <v>39175</v>
      </c>
      <c r="I3617" t="str">
        <f>"52"</f>
        <v>52</v>
      </c>
      <c r="J3617" t="s">
        <v>330</v>
      </c>
      <c r="K3617" t="s">
        <v>25</v>
      </c>
      <c r="L3617" t="s">
        <v>26</v>
      </c>
      <c r="M3617" t="s">
        <v>27</v>
      </c>
      <c r="N3617" s="1">
        <v>18629</v>
      </c>
      <c r="O3617">
        <v>0</v>
      </c>
      <c r="P3617">
        <v>0</v>
      </c>
      <c r="Q3617" t="s">
        <v>28</v>
      </c>
      <c r="R3617" t="s">
        <v>258</v>
      </c>
      <c r="S3617" t="s">
        <v>331</v>
      </c>
      <c r="T3617" t="s">
        <v>332</v>
      </c>
    </row>
    <row r="3618" spans="1:20" x14ac:dyDescent="0.25">
      <c r="A3618" t="s">
        <v>8654</v>
      </c>
      <c r="B3618" t="str">
        <f>"2218"</f>
        <v>2218</v>
      </c>
      <c r="C3618" t="str">
        <f>"278642218"</f>
        <v>278642218</v>
      </c>
      <c r="D3618" t="s">
        <v>1457</v>
      </c>
      <c r="E3618" t="s">
        <v>8655</v>
      </c>
      <c r="F3618" t="s">
        <v>2075</v>
      </c>
      <c r="G3618" s="1">
        <v>26500</v>
      </c>
      <c r="H3618" s="1">
        <v>39172</v>
      </c>
      <c r="I3618" t="str">
        <f>"52"</f>
        <v>52</v>
      </c>
      <c r="J3618" t="s">
        <v>330</v>
      </c>
      <c r="K3618" t="s">
        <v>25</v>
      </c>
      <c r="L3618" t="s">
        <v>26</v>
      </c>
      <c r="M3618" t="s">
        <v>27</v>
      </c>
      <c r="N3618" s="1">
        <v>18629</v>
      </c>
      <c r="O3618">
        <v>0</v>
      </c>
      <c r="P3618">
        <v>0</v>
      </c>
      <c r="Q3618" t="s">
        <v>37</v>
      </c>
      <c r="R3618" t="s">
        <v>29</v>
      </c>
      <c r="S3618" t="s">
        <v>1761</v>
      </c>
      <c r="T3618" t="s">
        <v>1762</v>
      </c>
    </row>
    <row r="3619" spans="1:20" x14ac:dyDescent="0.25">
      <c r="A3619" t="s">
        <v>8656</v>
      </c>
      <c r="B3619" t="str">
        <f>"7272"</f>
        <v>7272</v>
      </c>
      <c r="C3619" t="str">
        <f>"271607272"</f>
        <v>271607272</v>
      </c>
      <c r="D3619" t="s">
        <v>8657</v>
      </c>
      <c r="E3619" t="s">
        <v>1381</v>
      </c>
      <c r="F3619" t="s">
        <v>649</v>
      </c>
      <c r="G3619" s="1">
        <v>20488</v>
      </c>
      <c r="H3619" s="1">
        <v>39167</v>
      </c>
      <c r="I3619" t="str">
        <f>"51"</f>
        <v>51</v>
      </c>
      <c r="J3619" t="s">
        <v>471</v>
      </c>
      <c r="K3619" t="s">
        <v>25</v>
      </c>
      <c r="L3619" t="s">
        <v>26</v>
      </c>
      <c r="M3619" t="s">
        <v>27</v>
      </c>
      <c r="N3619" s="1">
        <v>18629</v>
      </c>
      <c r="O3619">
        <v>0</v>
      </c>
      <c r="P3619">
        <v>0</v>
      </c>
      <c r="Q3619" t="s">
        <v>28</v>
      </c>
      <c r="R3619" t="s">
        <v>51</v>
      </c>
      <c r="S3619" s="2" t="s">
        <v>8658</v>
      </c>
      <c r="T3619" t="s">
        <v>8659</v>
      </c>
    </row>
    <row r="3620" spans="1:20" x14ac:dyDescent="0.25">
      <c r="A3620" t="s">
        <v>8660</v>
      </c>
      <c r="B3620" t="str">
        <f>"9112"</f>
        <v>9112</v>
      </c>
      <c r="C3620" t="str">
        <f>"291569112"</f>
        <v>291569112</v>
      </c>
      <c r="D3620" t="s">
        <v>8661</v>
      </c>
      <c r="E3620" t="s">
        <v>1081</v>
      </c>
      <c r="G3620" s="1">
        <v>20437</v>
      </c>
      <c r="H3620" s="1">
        <v>39154</v>
      </c>
      <c r="I3620" t="str">
        <f>"52"</f>
        <v>52</v>
      </c>
      <c r="J3620" t="s">
        <v>330</v>
      </c>
      <c r="K3620" t="s">
        <v>25</v>
      </c>
      <c r="L3620" t="s">
        <v>26</v>
      </c>
      <c r="M3620" t="s">
        <v>27</v>
      </c>
      <c r="N3620" s="1">
        <v>18629</v>
      </c>
      <c r="O3620">
        <v>0</v>
      </c>
      <c r="P3620">
        <v>0</v>
      </c>
      <c r="Q3620" t="s">
        <v>28</v>
      </c>
      <c r="R3620" t="s">
        <v>258</v>
      </c>
      <c r="S3620" t="s">
        <v>331</v>
      </c>
      <c r="T3620" t="s">
        <v>332</v>
      </c>
    </row>
    <row r="3621" spans="1:20" x14ac:dyDescent="0.25">
      <c r="A3621" t="s">
        <v>8662</v>
      </c>
      <c r="B3621" t="str">
        <f>"9837"</f>
        <v>9837</v>
      </c>
      <c r="C3621" t="str">
        <f>"295509837"</f>
        <v>295509837</v>
      </c>
      <c r="D3621" t="s">
        <v>638</v>
      </c>
      <c r="E3621" t="s">
        <v>2786</v>
      </c>
      <c r="G3621" s="1">
        <v>18791</v>
      </c>
      <c r="H3621" s="1">
        <v>39153</v>
      </c>
      <c r="I3621" t="str">
        <f>"07"</f>
        <v>07</v>
      </c>
      <c r="J3621" t="s">
        <v>1018</v>
      </c>
      <c r="K3621" t="s">
        <v>98</v>
      </c>
      <c r="L3621" t="s">
        <v>37</v>
      </c>
      <c r="M3621" t="s">
        <v>117</v>
      </c>
      <c r="N3621" s="1">
        <v>41617</v>
      </c>
      <c r="O3621">
        <v>4951.96</v>
      </c>
      <c r="P3621">
        <v>1237.8599999999999</v>
      </c>
      <c r="Q3621" t="s">
        <v>37</v>
      </c>
      <c r="R3621" t="s">
        <v>38</v>
      </c>
      <c r="S3621" t="s">
        <v>6245</v>
      </c>
      <c r="T3621" t="s">
        <v>6246</v>
      </c>
    </row>
    <row r="3622" spans="1:20" x14ac:dyDescent="0.25">
      <c r="A3622" t="s">
        <v>8663</v>
      </c>
      <c r="B3622" t="str">
        <f>"4173"</f>
        <v>4173</v>
      </c>
      <c r="C3622" t="str">
        <f>"300624173"</f>
        <v>300624173</v>
      </c>
      <c r="D3622" t="s">
        <v>8664</v>
      </c>
      <c r="E3622" t="s">
        <v>8665</v>
      </c>
      <c r="F3622" t="s">
        <v>165</v>
      </c>
      <c r="G3622" s="1">
        <v>25716</v>
      </c>
      <c r="H3622" s="1">
        <v>39153</v>
      </c>
      <c r="I3622" t="str">
        <f>"05"</f>
        <v>05</v>
      </c>
      <c r="J3622" t="s">
        <v>58</v>
      </c>
      <c r="K3622" t="s">
        <v>98</v>
      </c>
      <c r="L3622" t="s">
        <v>37</v>
      </c>
      <c r="M3622" t="s">
        <v>99</v>
      </c>
      <c r="N3622" s="1">
        <v>41617</v>
      </c>
      <c r="O3622">
        <v>14801.8</v>
      </c>
      <c r="P3622">
        <v>3700.32</v>
      </c>
      <c r="Q3622" t="s">
        <v>37</v>
      </c>
      <c r="R3622" t="s">
        <v>71</v>
      </c>
      <c r="S3622" t="s">
        <v>373</v>
      </c>
      <c r="T3622" t="s">
        <v>374</v>
      </c>
    </row>
    <row r="3623" spans="1:20" x14ac:dyDescent="0.25">
      <c r="A3623" t="s">
        <v>8666</v>
      </c>
      <c r="B3623" t="str">
        <f>"1623"</f>
        <v>1623</v>
      </c>
      <c r="C3623" t="str">
        <f>"205361623"</f>
        <v>205361623</v>
      </c>
      <c r="D3623" t="s">
        <v>658</v>
      </c>
      <c r="E3623" t="s">
        <v>381</v>
      </c>
      <c r="F3623" t="s">
        <v>1970</v>
      </c>
      <c r="G3623" s="1">
        <v>17142</v>
      </c>
      <c r="H3623" s="1">
        <v>39153</v>
      </c>
      <c r="I3623" t="str">
        <f>"41"</f>
        <v>41</v>
      </c>
      <c r="J3623" t="s">
        <v>24</v>
      </c>
      <c r="K3623" t="s">
        <v>25</v>
      </c>
      <c r="L3623" t="s">
        <v>26</v>
      </c>
      <c r="M3623" t="s">
        <v>27</v>
      </c>
      <c r="N3623" s="1">
        <v>18629</v>
      </c>
      <c r="O3623">
        <v>0</v>
      </c>
      <c r="P3623">
        <v>0</v>
      </c>
      <c r="Q3623" t="s">
        <v>37</v>
      </c>
      <c r="R3623" t="s">
        <v>29</v>
      </c>
      <c r="S3623" t="s">
        <v>138</v>
      </c>
      <c r="T3623" t="s">
        <v>139</v>
      </c>
    </row>
    <row r="3624" spans="1:20" x14ac:dyDescent="0.25">
      <c r="A3624" t="s">
        <v>8667</v>
      </c>
      <c r="B3624" t="str">
        <f>"4343"</f>
        <v>4343</v>
      </c>
      <c r="C3624" t="str">
        <f>"287524343"</f>
        <v>287524343</v>
      </c>
      <c r="D3624" t="s">
        <v>8668</v>
      </c>
      <c r="E3624" t="s">
        <v>3605</v>
      </c>
      <c r="F3624" t="s">
        <v>438</v>
      </c>
      <c r="G3624" s="1">
        <v>19153</v>
      </c>
      <c r="H3624" s="1">
        <v>39153</v>
      </c>
      <c r="I3624" t="str">
        <f>"01"</f>
        <v>01</v>
      </c>
      <c r="J3624" t="s">
        <v>116</v>
      </c>
      <c r="L3624" t="s">
        <v>37</v>
      </c>
      <c r="M3624" t="s">
        <v>143</v>
      </c>
      <c r="N3624" s="1">
        <v>41617</v>
      </c>
      <c r="O3624">
        <v>185.9</v>
      </c>
      <c r="P3624">
        <v>-185.9</v>
      </c>
      <c r="Q3624" t="s">
        <v>37</v>
      </c>
      <c r="R3624" t="s">
        <v>71</v>
      </c>
      <c r="S3624" t="s">
        <v>1774</v>
      </c>
      <c r="T3624" t="s">
        <v>1775</v>
      </c>
    </row>
    <row r="3625" spans="1:20" x14ac:dyDescent="0.25">
      <c r="A3625" t="s">
        <v>8669</v>
      </c>
      <c r="B3625" t="str">
        <f>"2535"</f>
        <v>2535</v>
      </c>
      <c r="C3625" t="str">
        <f>"279602535"</f>
        <v>279602535</v>
      </c>
      <c r="D3625" t="s">
        <v>8670</v>
      </c>
      <c r="E3625" t="s">
        <v>753</v>
      </c>
      <c r="F3625" t="s">
        <v>219</v>
      </c>
      <c r="G3625" s="1">
        <v>22864</v>
      </c>
      <c r="H3625" s="1">
        <v>39146</v>
      </c>
      <c r="I3625" t="str">
        <f>"41"</f>
        <v>41</v>
      </c>
      <c r="J3625" t="s">
        <v>24</v>
      </c>
      <c r="K3625" t="s">
        <v>25</v>
      </c>
      <c r="L3625" t="s">
        <v>26</v>
      </c>
      <c r="M3625" t="s">
        <v>27</v>
      </c>
      <c r="N3625" s="1">
        <v>18629</v>
      </c>
      <c r="O3625">
        <v>0</v>
      </c>
      <c r="P3625">
        <v>0</v>
      </c>
      <c r="Q3625" t="s">
        <v>28</v>
      </c>
      <c r="R3625" t="s">
        <v>29</v>
      </c>
      <c r="S3625" t="s">
        <v>615</v>
      </c>
      <c r="T3625" t="s">
        <v>616</v>
      </c>
    </row>
    <row r="3626" spans="1:20" x14ac:dyDescent="0.25">
      <c r="A3626" t="s">
        <v>8671</v>
      </c>
      <c r="B3626" t="str">
        <f>"9071"</f>
        <v>9071</v>
      </c>
      <c r="C3626" t="str">
        <f>"583929071"</f>
        <v>583929071</v>
      </c>
      <c r="D3626" t="s">
        <v>7973</v>
      </c>
      <c r="E3626" t="s">
        <v>7718</v>
      </c>
      <c r="G3626" s="1">
        <v>21544</v>
      </c>
      <c r="H3626" s="1">
        <v>39142</v>
      </c>
      <c r="I3626" t="str">
        <f>"51"</f>
        <v>51</v>
      </c>
      <c r="J3626" t="s">
        <v>471</v>
      </c>
      <c r="K3626" t="s">
        <v>25</v>
      </c>
      <c r="L3626" t="s">
        <v>26</v>
      </c>
      <c r="M3626" t="s">
        <v>27</v>
      </c>
      <c r="N3626" s="1">
        <v>18629</v>
      </c>
      <c r="O3626">
        <v>0</v>
      </c>
      <c r="P3626">
        <v>0</v>
      </c>
      <c r="Q3626" t="s">
        <v>28</v>
      </c>
      <c r="R3626" t="s">
        <v>29</v>
      </c>
      <c r="S3626" t="s">
        <v>283</v>
      </c>
      <c r="T3626" t="s">
        <v>284</v>
      </c>
    </row>
    <row r="3627" spans="1:20" x14ac:dyDescent="0.25">
      <c r="A3627" t="s">
        <v>8672</v>
      </c>
      <c r="B3627" t="str">
        <f>"0588"</f>
        <v>0588</v>
      </c>
      <c r="C3627" t="str">
        <f>"297660588"</f>
        <v>297660588</v>
      </c>
      <c r="D3627" t="s">
        <v>8673</v>
      </c>
      <c r="E3627" t="s">
        <v>7643</v>
      </c>
      <c r="G3627" s="1">
        <v>24235</v>
      </c>
      <c r="H3627" s="1">
        <v>39139</v>
      </c>
      <c r="I3627" t="str">
        <f>"41"</f>
        <v>41</v>
      </c>
      <c r="J3627" t="s">
        <v>24</v>
      </c>
      <c r="K3627" t="s">
        <v>25</v>
      </c>
      <c r="L3627" t="s">
        <v>26</v>
      </c>
      <c r="M3627" t="s">
        <v>27</v>
      </c>
      <c r="N3627" s="1">
        <v>18629</v>
      </c>
      <c r="O3627">
        <v>0</v>
      </c>
      <c r="P3627">
        <v>0</v>
      </c>
      <c r="Q3627" t="s">
        <v>37</v>
      </c>
      <c r="R3627" t="s">
        <v>71</v>
      </c>
      <c r="S3627" t="s">
        <v>857</v>
      </c>
      <c r="T3627" t="s">
        <v>858</v>
      </c>
    </row>
    <row r="3628" spans="1:20" x14ac:dyDescent="0.25">
      <c r="A3628" t="s">
        <v>8674</v>
      </c>
      <c r="B3628" t="str">
        <f>"3011"</f>
        <v>3011</v>
      </c>
      <c r="C3628" t="str">
        <f>"282703011"</f>
        <v>282703011</v>
      </c>
      <c r="D3628" t="s">
        <v>8675</v>
      </c>
      <c r="E3628" t="s">
        <v>33</v>
      </c>
      <c r="F3628" t="s">
        <v>264</v>
      </c>
      <c r="G3628" s="1">
        <v>24675</v>
      </c>
      <c r="H3628" s="1">
        <v>39139</v>
      </c>
      <c r="I3628" t="str">
        <f>"50"</f>
        <v>50</v>
      </c>
      <c r="J3628" t="s">
        <v>208</v>
      </c>
      <c r="K3628" t="s">
        <v>25</v>
      </c>
      <c r="L3628" t="s">
        <v>26</v>
      </c>
      <c r="M3628" t="s">
        <v>27</v>
      </c>
      <c r="N3628" s="1">
        <v>18629</v>
      </c>
      <c r="O3628">
        <v>0</v>
      </c>
      <c r="P3628">
        <v>0</v>
      </c>
      <c r="Q3628" t="s">
        <v>28</v>
      </c>
      <c r="R3628" t="s">
        <v>71</v>
      </c>
      <c r="S3628" t="s">
        <v>373</v>
      </c>
      <c r="T3628" t="s">
        <v>374</v>
      </c>
    </row>
    <row r="3629" spans="1:20" x14ac:dyDescent="0.25">
      <c r="A3629" t="s">
        <v>8676</v>
      </c>
      <c r="B3629" t="str">
        <f>"0074"</f>
        <v>0074</v>
      </c>
      <c r="C3629" t="str">
        <f>"286480074"</f>
        <v>286480074</v>
      </c>
      <c r="D3629" t="s">
        <v>8677</v>
      </c>
      <c r="E3629" t="s">
        <v>35</v>
      </c>
      <c r="G3629" s="1">
        <v>18815</v>
      </c>
      <c r="H3629" s="1">
        <v>39139</v>
      </c>
      <c r="I3629" t="str">
        <f>"51"</f>
        <v>51</v>
      </c>
      <c r="J3629" t="s">
        <v>471</v>
      </c>
      <c r="K3629" t="s">
        <v>25</v>
      </c>
      <c r="L3629" t="s">
        <v>26</v>
      </c>
      <c r="M3629" t="s">
        <v>27</v>
      </c>
      <c r="N3629" s="1">
        <v>18629</v>
      </c>
      <c r="O3629">
        <v>0</v>
      </c>
      <c r="P3629">
        <v>0</v>
      </c>
      <c r="Q3629" t="s">
        <v>28</v>
      </c>
      <c r="R3629" t="s">
        <v>71</v>
      </c>
      <c r="S3629" t="s">
        <v>3191</v>
      </c>
      <c r="T3629" t="s">
        <v>3192</v>
      </c>
    </row>
    <row r="3630" spans="1:20" x14ac:dyDescent="0.25">
      <c r="A3630" t="s">
        <v>8678</v>
      </c>
      <c r="B3630" t="str">
        <f>"6046"</f>
        <v>6046</v>
      </c>
      <c r="C3630" t="str">
        <f>"277766046"</f>
        <v>277766046</v>
      </c>
      <c r="D3630" t="s">
        <v>8679</v>
      </c>
      <c r="E3630" t="s">
        <v>8680</v>
      </c>
      <c r="F3630" t="s">
        <v>69</v>
      </c>
      <c r="G3630" s="1">
        <v>26657</v>
      </c>
      <c r="H3630" s="1">
        <v>39139</v>
      </c>
      <c r="I3630" t="str">
        <f>"12"</f>
        <v>12</v>
      </c>
      <c r="J3630" t="s">
        <v>245</v>
      </c>
      <c r="K3630" t="s">
        <v>98</v>
      </c>
      <c r="L3630" t="s">
        <v>37</v>
      </c>
      <c r="M3630" t="s">
        <v>117</v>
      </c>
      <c r="N3630" s="1">
        <v>41617</v>
      </c>
      <c r="O3630">
        <v>4951.96</v>
      </c>
      <c r="P3630">
        <v>1237.8599999999999</v>
      </c>
      <c r="Q3630" t="s">
        <v>37</v>
      </c>
      <c r="R3630" t="s">
        <v>258</v>
      </c>
      <c r="S3630" t="s">
        <v>978</v>
      </c>
      <c r="T3630" t="s">
        <v>979</v>
      </c>
    </row>
    <row r="3631" spans="1:20" x14ac:dyDescent="0.25">
      <c r="A3631" t="s">
        <v>8681</v>
      </c>
      <c r="B3631" t="str">
        <f>"0911"</f>
        <v>0911</v>
      </c>
      <c r="C3631" t="str">
        <f>"383660911"</f>
        <v>383660911</v>
      </c>
      <c r="D3631" t="s">
        <v>1798</v>
      </c>
      <c r="E3631" t="s">
        <v>109</v>
      </c>
      <c r="F3631" t="s">
        <v>8682</v>
      </c>
      <c r="G3631" s="1">
        <v>22698</v>
      </c>
      <c r="H3631" s="1">
        <v>39139</v>
      </c>
      <c r="I3631" t="str">
        <f>"51"</f>
        <v>51</v>
      </c>
      <c r="J3631" t="s">
        <v>471</v>
      </c>
      <c r="K3631" t="s">
        <v>25</v>
      </c>
      <c r="L3631" t="s">
        <v>26</v>
      </c>
      <c r="M3631" t="s">
        <v>27</v>
      </c>
      <c r="N3631" s="1">
        <v>18629</v>
      </c>
      <c r="O3631">
        <v>0</v>
      </c>
      <c r="P3631">
        <v>0</v>
      </c>
      <c r="Q3631" t="s">
        <v>37</v>
      </c>
      <c r="R3631" t="s">
        <v>51</v>
      </c>
      <c r="S3631" s="2" t="s">
        <v>839</v>
      </c>
      <c r="T3631" t="s">
        <v>840</v>
      </c>
    </row>
    <row r="3632" spans="1:20" x14ac:dyDescent="0.25">
      <c r="A3632" t="s">
        <v>8683</v>
      </c>
      <c r="B3632" t="str">
        <f>"5060"</f>
        <v>5060</v>
      </c>
      <c r="C3632" t="str">
        <f>"282845060"</f>
        <v>282845060</v>
      </c>
      <c r="D3632" t="s">
        <v>8684</v>
      </c>
      <c r="E3632" t="s">
        <v>106</v>
      </c>
      <c r="F3632" t="s">
        <v>264</v>
      </c>
      <c r="G3632" s="1">
        <v>25670</v>
      </c>
      <c r="H3632" s="1">
        <v>39139</v>
      </c>
      <c r="I3632" t="str">
        <f>"52"</f>
        <v>52</v>
      </c>
      <c r="J3632" t="s">
        <v>330</v>
      </c>
      <c r="K3632" t="s">
        <v>25</v>
      </c>
      <c r="L3632" t="s">
        <v>26</v>
      </c>
      <c r="M3632" t="s">
        <v>27</v>
      </c>
      <c r="N3632" s="1">
        <v>18629</v>
      </c>
      <c r="O3632">
        <v>0</v>
      </c>
      <c r="P3632">
        <v>0</v>
      </c>
      <c r="Q3632" t="s">
        <v>28</v>
      </c>
      <c r="R3632" t="s">
        <v>258</v>
      </c>
      <c r="S3632" t="s">
        <v>377</v>
      </c>
      <c r="T3632" t="s">
        <v>378</v>
      </c>
    </row>
    <row r="3633" spans="1:20" x14ac:dyDescent="0.25">
      <c r="A3633" t="s">
        <v>8685</v>
      </c>
      <c r="B3633" t="str">
        <f>"1616"</f>
        <v>1616</v>
      </c>
      <c r="C3633" t="str">
        <f>"295461616"</f>
        <v>295461616</v>
      </c>
      <c r="D3633" t="s">
        <v>6659</v>
      </c>
      <c r="E3633" t="s">
        <v>35</v>
      </c>
      <c r="F3633" t="s">
        <v>97</v>
      </c>
      <c r="G3633" s="1">
        <v>18289</v>
      </c>
      <c r="H3633" s="1">
        <v>39139</v>
      </c>
      <c r="I3633" t="str">
        <f>"41"</f>
        <v>41</v>
      </c>
      <c r="J3633" t="s">
        <v>24</v>
      </c>
      <c r="K3633" t="s">
        <v>25</v>
      </c>
      <c r="L3633" t="s">
        <v>26</v>
      </c>
      <c r="M3633" t="s">
        <v>27</v>
      </c>
      <c r="N3633" s="1">
        <v>18629</v>
      </c>
      <c r="O3633">
        <v>0</v>
      </c>
      <c r="P3633">
        <v>0</v>
      </c>
      <c r="Q3633" t="s">
        <v>28</v>
      </c>
      <c r="R3633" t="s">
        <v>51</v>
      </c>
      <c r="S3633" t="s">
        <v>795</v>
      </c>
      <c r="T3633" t="s">
        <v>796</v>
      </c>
    </row>
    <row r="3634" spans="1:20" x14ac:dyDescent="0.25">
      <c r="A3634" t="s">
        <v>8686</v>
      </c>
      <c r="B3634" t="str">
        <f>"1757"</f>
        <v>1757</v>
      </c>
      <c r="C3634" t="str">
        <f>"274581757"</f>
        <v>274581757</v>
      </c>
      <c r="D3634" t="s">
        <v>8687</v>
      </c>
      <c r="E3634" t="s">
        <v>8688</v>
      </c>
      <c r="F3634" t="s">
        <v>197</v>
      </c>
      <c r="G3634" s="1">
        <v>23642</v>
      </c>
      <c r="H3634" s="1">
        <v>39139</v>
      </c>
      <c r="I3634" t="str">
        <f>"41"</f>
        <v>41</v>
      </c>
      <c r="J3634" t="s">
        <v>24</v>
      </c>
      <c r="K3634" t="s">
        <v>25</v>
      </c>
      <c r="L3634" t="s">
        <v>26</v>
      </c>
      <c r="M3634" t="s">
        <v>27</v>
      </c>
      <c r="N3634" s="1">
        <v>18629</v>
      </c>
      <c r="O3634">
        <v>0</v>
      </c>
      <c r="P3634">
        <v>0</v>
      </c>
      <c r="Q3634" t="s">
        <v>28</v>
      </c>
      <c r="R3634" t="s">
        <v>51</v>
      </c>
      <c r="S3634" t="s">
        <v>2066</v>
      </c>
      <c r="T3634" t="s">
        <v>2067</v>
      </c>
    </row>
    <row r="3635" spans="1:20" x14ac:dyDescent="0.25">
      <c r="A3635" t="s">
        <v>8689</v>
      </c>
      <c r="B3635" t="str">
        <f>"5647"</f>
        <v>5647</v>
      </c>
      <c r="C3635" t="str">
        <f>"418885647"</f>
        <v>418885647</v>
      </c>
      <c r="D3635" t="s">
        <v>2620</v>
      </c>
      <c r="E3635" t="s">
        <v>2162</v>
      </c>
      <c r="G3635" s="1">
        <v>21803</v>
      </c>
      <c r="H3635" s="1">
        <v>39139</v>
      </c>
      <c r="I3635" t="str">
        <f>"30"</f>
        <v>30</v>
      </c>
      <c r="J3635" t="s">
        <v>50</v>
      </c>
      <c r="K3635" t="s">
        <v>25</v>
      </c>
      <c r="L3635" t="s">
        <v>26</v>
      </c>
      <c r="M3635" t="s">
        <v>27</v>
      </c>
      <c r="N3635" s="1">
        <v>18629</v>
      </c>
      <c r="O3635">
        <v>0</v>
      </c>
      <c r="P3635">
        <v>0</v>
      </c>
      <c r="Q3635" t="s">
        <v>37</v>
      </c>
      <c r="R3635" t="s">
        <v>29</v>
      </c>
      <c r="S3635" t="s">
        <v>3258</v>
      </c>
      <c r="T3635" t="s">
        <v>3259</v>
      </c>
    </row>
    <row r="3636" spans="1:20" x14ac:dyDescent="0.25">
      <c r="A3636" t="s">
        <v>8690</v>
      </c>
      <c r="B3636" t="str">
        <f>"6769"</f>
        <v>6769</v>
      </c>
      <c r="C3636" t="str">
        <f>"294846769"</f>
        <v>294846769</v>
      </c>
      <c r="D3636" t="s">
        <v>8691</v>
      </c>
      <c r="E3636" t="s">
        <v>8692</v>
      </c>
      <c r="F3636" t="s">
        <v>44</v>
      </c>
      <c r="G3636" s="1">
        <v>25826</v>
      </c>
      <c r="H3636" s="1">
        <v>39137</v>
      </c>
      <c r="I3636" t="str">
        <f>"52"</f>
        <v>52</v>
      </c>
      <c r="J3636" t="s">
        <v>330</v>
      </c>
      <c r="K3636" t="s">
        <v>25</v>
      </c>
      <c r="L3636" t="s">
        <v>26</v>
      </c>
      <c r="M3636" t="s">
        <v>27</v>
      </c>
      <c r="N3636" s="1">
        <v>18629</v>
      </c>
      <c r="O3636">
        <v>0</v>
      </c>
      <c r="P3636">
        <v>0</v>
      </c>
      <c r="Q3636" t="s">
        <v>28</v>
      </c>
      <c r="R3636" t="s">
        <v>71</v>
      </c>
      <c r="S3636" t="s">
        <v>402</v>
      </c>
      <c r="T3636" t="s">
        <v>403</v>
      </c>
    </row>
    <row r="3637" spans="1:20" x14ac:dyDescent="0.25">
      <c r="A3637" t="s">
        <v>8693</v>
      </c>
      <c r="B3637" t="str">
        <f>"4420"</f>
        <v>4420</v>
      </c>
      <c r="C3637" t="str">
        <f>"277604420"</f>
        <v>277604420</v>
      </c>
      <c r="D3637" t="s">
        <v>8694</v>
      </c>
      <c r="E3637" t="s">
        <v>1074</v>
      </c>
      <c r="F3637" t="s">
        <v>93</v>
      </c>
      <c r="G3637" s="1">
        <v>23636</v>
      </c>
      <c r="H3637" s="1">
        <v>39125</v>
      </c>
      <c r="I3637" t="str">
        <f>"41"</f>
        <v>41</v>
      </c>
      <c r="J3637" t="s">
        <v>24</v>
      </c>
      <c r="K3637" t="s">
        <v>25</v>
      </c>
      <c r="L3637" t="s">
        <v>26</v>
      </c>
      <c r="M3637" t="s">
        <v>27</v>
      </c>
      <c r="N3637" s="1">
        <v>18629</v>
      </c>
      <c r="O3637">
        <v>0</v>
      </c>
      <c r="P3637">
        <v>0</v>
      </c>
      <c r="Q3637" t="s">
        <v>37</v>
      </c>
      <c r="R3637" t="s">
        <v>29</v>
      </c>
      <c r="S3637" t="s">
        <v>138</v>
      </c>
      <c r="T3637" t="s">
        <v>139</v>
      </c>
    </row>
    <row r="3638" spans="1:20" x14ac:dyDescent="0.25">
      <c r="A3638" t="s">
        <v>8695</v>
      </c>
      <c r="B3638" t="str">
        <f>"6268"</f>
        <v>6268</v>
      </c>
      <c r="C3638" t="str">
        <f>"301686268"</f>
        <v>301686268</v>
      </c>
      <c r="D3638" t="s">
        <v>8696</v>
      </c>
      <c r="E3638" t="s">
        <v>2551</v>
      </c>
      <c r="F3638" t="s">
        <v>256</v>
      </c>
      <c r="G3638" s="1">
        <v>24712</v>
      </c>
      <c r="H3638" s="1">
        <v>39125</v>
      </c>
      <c r="I3638" t="str">
        <f>"41"</f>
        <v>41</v>
      </c>
      <c r="J3638" t="s">
        <v>24</v>
      </c>
      <c r="K3638" t="s">
        <v>25</v>
      </c>
      <c r="L3638" t="s">
        <v>26</v>
      </c>
      <c r="M3638" t="s">
        <v>27</v>
      </c>
      <c r="N3638" s="1">
        <v>18629</v>
      </c>
      <c r="O3638">
        <v>0</v>
      </c>
      <c r="P3638">
        <v>0</v>
      </c>
      <c r="Q3638" t="s">
        <v>37</v>
      </c>
      <c r="R3638" t="s">
        <v>29</v>
      </c>
      <c r="S3638" t="s">
        <v>138</v>
      </c>
      <c r="T3638" t="s">
        <v>139</v>
      </c>
    </row>
    <row r="3639" spans="1:20" x14ac:dyDescent="0.25">
      <c r="A3639" t="s">
        <v>8697</v>
      </c>
      <c r="B3639" t="str">
        <f>"0581"</f>
        <v>0581</v>
      </c>
      <c r="C3639" t="str">
        <f>"280820581"</f>
        <v>280820581</v>
      </c>
      <c r="D3639" t="s">
        <v>8698</v>
      </c>
      <c r="E3639" t="s">
        <v>22</v>
      </c>
      <c r="F3639" t="s">
        <v>44</v>
      </c>
      <c r="G3639" s="1">
        <v>26364</v>
      </c>
      <c r="H3639" s="1">
        <v>39121</v>
      </c>
      <c r="I3639" t="str">
        <f>"52"</f>
        <v>52</v>
      </c>
      <c r="J3639" t="s">
        <v>330</v>
      </c>
      <c r="K3639" t="s">
        <v>25</v>
      </c>
      <c r="L3639" t="s">
        <v>26</v>
      </c>
      <c r="M3639" t="s">
        <v>27</v>
      </c>
      <c r="N3639" s="1">
        <v>18629</v>
      </c>
      <c r="O3639">
        <v>0</v>
      </c>
      <c r="P3639">
        <v>0</v>
      </c>
      <c r="Q3639" t="s">
        <v>28</v>
      </c>
      <c r="R3639" t="s">
        <v>258</v>
      </c>
      <c r="S3639" t="s">
        <v>331</v>
      </c>
      <c r="T3639" t="s">
        <v>332</v>
      </c>
    </row>
    <row r="3640" spans="1:20" x14ac:dyDescent="0.25">
      <c r="A3640" t="s">
        <v>8699</v>
      </c>
      <c r="B3640" t="str">
        <f>"3282"</f>
        <v>3282</v>
      </c>
      <c r="C3640" t="str">
        <f>"281663282"</f>
        <v>281663282</v>
      </c>
      <c r="D3640" t="s">
        <v>8700</v>
      </c>
      <c r="E3640" t="s">
        <v>518</v>
      </c>
      <c r="F3640" t="s">
        <v>7606</v>
      </c>
      <c r="G3640" s="1">
        <v>25041</v>
      </c>
      <c r="H3640" s="1">
        <v>39121</v>
      </c>
      <c r="I3640" t="str">
        <f>"51"</f>
        <v>51</v>
      </c>
      <c r="J3640" t="s">
        <v>471</v>
      </c>
      <c r="K3640" t="s">
        <v>25</v>
      </c>
      <c r="L3640" t="s">
        <v>26</v>
      </c>
      <c r="M3640" t="s">
        <v>27</v>
      </c>
      <c r="N3640" s="1">
        <v>18629</v>
      </c>
      <c r="O3640">
        <v>0</v>
      </c>
      <c r="P3640">
        <v>0</v>
      </c>
      <c r="Q3640" t="s">
        <v>37</v>
      </c>
      <c r="R3640" t="s">
        <v>29</v>
      </c>
      <c r="S3640" t="s">
        <v>138</v>
      </c>
      <c r="T3640" t="s">
        <v>139</v>
      </c>
    </row>
    <row r="3641" spans="1:20" x14ac:dyDescent="0.25">
      <c r="A3641" t="s">
        <v>8701</v>
      </c>
      <c r="B3641" t="str">
        <f>"7025"</f>
        <v>7025</v>
      </c>
      <c r="C3641" t="str">
        <f>"280867025"</f>
        <v>280867025</v>
      </c>
      <c r="D3641" t="s">
        <v>8702</v>
      </c>
      <c r="E3641" t="s">
        <v>609</v>
      </c>
      <c r="F3641" t="s">
        <v>1001</v>
      </c>
      <c r="G3641" s="1">
        <v>26129</v>
      </c>
      <c r="H3641" s="1">
        <v>39121</v>
      </c>
      <c r="I3641" t="str">
        <f>"52"</f>
        <v>52</v>
      </c>
      <c r="J3641" t="s">
        <v>330</v>
      </c>
      <c r="K3641" t="s">
        <v>25</v>
      </c>
      <c r="L3641" t="s">
        <v>26</v>
      </c>
      <c r="M3641" t="s">
        <v>27</v>
      </c>
      <c r="N3641" s="1">
        <v>18629</v>
      </c>
      <c r="O3641">
        <v>0</v>
      </c>
      <c r="P3641">
        <v>0</v>
      </c>
      <c r="Q3641" t="s">
        <v>28</v>
      </c>
      <c r="R3641" t="s">
        <v>258</v>
      </c>
      <c r="S3641" t="s">
        <v>331</v>
      </c>
      <c r="T3641" t="s">
        <v>332</v>
      </c>
    </row>
    <row r="3642" spans="1:20" x14ac:dyDescent="0.25">
      <c r="A3642" t="s">
        <v>8703</v>
      </c>
      <c r="B3642" t="str">
        <f>"1313"</f>
        <v>1313</v>
      </c>
      <c r="C3642" t="str">
        <f>"273541313"</f>
        <v>273541313</v>
      </c>
      <c r="D3642" t="s">
        <v>2997</v>
      </c>
      <c r="E3642" t="s">
        <v>122</v>
      </c>
      <c r="F3642" t="s">
        <v>197</v>
      </c>
      <c r="G3642" s="1">
        <v>25246</v>
      </c>
      <c r="H3642" s="1">
        <v>39121</v>
      </c>
      <c r="I3642" t="str">
        <f>"52"</f>
        <v>52</v>
      </c>
      <c r="J3642" t="s">
        <v>330</v>
      </c>
      <c r="K3642" t="s">
        <v>25</v>
      </c>
      <c r="L3642" t="s">
        <v>26</v>
      </c>
      <c r="M3642" t="s">
        <v>27</v>
      </c>
      <c r="N3642" s="1">
        <v>18629</v>
      </c>
      <c r="O3642">
        <v>0</v>
      </c>
      <c r="P3642">
        <v>0</v>
      </c>
      <c r="Q3642" t="s">
        <v>28</v>
      </c>
      <c r="R3642" t="s">
        <v>258</v>
      </c>
      <c r="S3642" t="s">
        <v>336</v>
      </c>
      <c r="T3642" t="s">
        <v>337</v>
      </c>
    </row>
    <row r="3643" spans="1:20" x14ac:dyDescent="0.25">
      <c r="A3643" t="s">
        <v>8704</v>
      </c>
      <c r="B3643" t="str">
        <f>"3196"</f>
        <v>3196</v>
      </c>
      <c r="C3643" t="str">
        <f>"300623196"</f>
        <v>300623196</v>
      </c>
      <c r="D3643" t="s">
        <v>8705</v>
      </c>
      <c r="E3643" t="s">
        <v>1616</v>
      </c>
      <c r="F3643" t="s">
        <v>28</v>
      </c>
      <c r="G3643" s="1">
        <v>24934</v>
      </c>
      <c r="H3643" s="1">
        <v>39119</v>
      </c>
      <c r="I3643" t="str">
        <f>"50"</f>
        <v>50</v>
      </c>
      <c r="J3643" t="s">
        <v>208</v>
      </c>
      <c r="K3643" t="s">
        <v>25</v>
      </c>
      <c r="L3643" t="s">
        <v>26</v>
      </c>
      <c r="M3643" t="s">
        <v>27</v>
      </c>
      <c r="N3643" s="1">
        <v>18629</v>
      </c>
      <c r="O3643">
        <v>0</v>
      </c>
      <c r="P3643">
        <v>0</v>
      </c>
      <c r="Q3643" t="s">
        <v>37</v>
      </c>
      <c r="R3643" t="s">
        <v>71</v>
      </c>
      <c r="S3643" t="s">
        <v>209</v>
      </c>
      <c r="T3643" t="s">
        <v>210</v>
      </c>
    </row>
    <row r="3644" spans="1:20" x14ac:dyDescent="0.25">
      <c r="A3644" t="s">
        <v>8706</v>
      </c>
      <c r="B3644" t="str">
        <f>"3493"</f>
        <v>3493</v>
      </c>
      <c r="C3644" t="str">
        <f>"299623493"</f>
        <v>299623493</v>
      </c>
      <c r="D3644" t="s">
        <v>5583</v>
      </c>
      <c r="E3644" t="s">
        <v>2339</v>
      </c>
      <c r="G3644" s="1">
        <v>21590</v>
      </c>
      <c r="H3644" s="1">
        <v>39119</v>
      </c>
      <c r="I3644" t="str">
        <f>"51"</f>
        <v>51</v>
      </c>
      <c r="J3644" t="s">
        <v>471</v>
      </c>
      <c r="K3644" t="s">
        <v>25</v>
      </c>
      <c r="L3644" t="s">
        <v>26</v>
      </c>
      <c r="M3644" t="s">
        <v>27</v>
      </c>
      <c r="N3644" s="1">
        <v>18629</v>
      </c>
      <c r="O3644">
        <v>0</v>
      </c>
      <c r="P3644">
        <v>0</v>
      </c>
      <c r="Q3644" t="s">
        <v>37</v>
      </c>
      <c r="R3644" t="s">
        <v>71</v>
      </c>
      <c r="S3644" t="s">
        <v>770</v>
      </c>
      <c r="T3644" t="s">
        <v>771</v>
      </c>
    </row>
    <row r="3645" spans="1:20" x14ac:dyDescent="0.25">
      <c r="A3645" t="s">
        <v>8707</v>
      </c>
      <c r="B3645" t="str">
        <f>"9503"</f>
        <v>9503</v>
      </c>
      <c r="C3645" t="str">
        <f>"289789503"</f>
        <v>289789503</v>
      </c>
      <c r="D3645" t="s">
        <v>8708</v>
      </c>
      <c r="E3645" t="s">
        <v>832</v>
      </c>
      <c r="F3645" t="s">
        <v>97</v>
      </c>
      <c r="G3645" s="1">
        <v>29768</v>
      </c>
      <c r="H3645" s="1">
        <v>39118</v>
      </c>
      <c r="I3645" t="str">
        <f>"33"</f>
        <v>33</v>
      </c>
      <c r="J3645" t="s">
        <v>45</v>
      </c>
      <c r="K3645" t="s">
        <v>25</v>
      </c>
      <c r="L3645" t="s">
        <v>26</v>
      </c>
      <c r="M3645" t="s">
        <v>27</v>
      </c>
      <c r="N3645" s="1">
        <v>18629</v>
      </c>
      <c r="O3645">
        <v>0</v>
      </c>
      <c r="P3645">
        <v>0</v>
      </c>
      <c r="Q3645" t="s">
        <v>28</v>
      </c>
      <c r="R3645" t="s">
        <v>71</v>
      </c>
      <c r="S3645" t="s">
        <v>1681</v>
      </c>
      <c r="T3645" t="s">
        <v>1682</v>
      </c>
    </row>
    <row r="3646" spans="1:20" x14ac:dyDescent="0.25">
      <c r="A3646" t="s">
        <v>8709</v>
      </c>
      <c r="B3646" t="str">
        <f>"1739"</f>
        <v>1739</v>
      </c>
      <c r="C3646" t="str">
        <f>"284761739"</f>
        <v>284761739</v>
      </c>
      <c r="D3646" t="s">
        <v>8710</v>
      </c>
      <c r="E3646" t="s">
        <v>4961</v>
      </c>
      <c r="G3646" s="1">
        <v>24000</v>
      </c>
      <c r="H3646" s="1">
        <v>39118</v>
      </c>
      <c r="I3646" t="str">
        <f>"30"</f>
        <v>30</v>
      </c>
      <c r="J3646" t="s">
        <v>50</v>
      </c>
      <c r="K3646" t="s">
        <v>25</v>
      </c>
      <c r="L3646" t="s">
        <v>26</v>
      </c>
      <c r="M3646" t="s">
        <v>27</v>
      </c>
      <c r="N3646" s="1">
        <v>18629</v>
      </c>
      <c r="O3646">
        <v>0</v>
      </c>
      <c r="P3646">
        <v>0</v>
      </c>
      <c r="Q3646" t="s">
        <v>37</v>
      </c>
      <c r="R3646" t="s">
        <v>51</v>
      </c>
      <c r="S3646" s="2" t="s">
        <v>3406</v>
      </c>
      <c r="T3646" t="s">
        <v>3407</v>
      </c>
    </row>
    <row r="3647" spans="1:20" x14ac:dyDescent="0.25">
      <c r="A3647" t="s">
        <v>8711</v>
      </c>
      <c r="B3647" t="str">
        <f>"2080"</f>
        <v>2080</v>
      </c>
      <c r="C3647" t="str">
        <f>"288602080"</f>
        <v>288602080</v>
      </c>
      <c r="D3647" t="s">
        <v>8712</v>
      </c>
      <c r="E3647" t="s">
        <v>667</v>
      </c>
      <c r="F3647" t="s">
        <v>649</v>
      </c>
      <c r="G3647" s="1">
        <v>25816</v>
      </c>
      <c r="H3647" s="1">
        <v>39114</v>
      </c>
      <c r="I3647" t="str">
        <f>"08"</f>
        <v>08</v>
      </c>
      <c r="J3647" t="s">
        <v>265</v>
      </c>
      <c r="L3647" t="s">
        <v>37</v>
      </c>
      <c r="M3647" t="s">
        <v>143</v>
      </c>
      <c r="N3647" s="1">
        <v>41617</v>
      </c>
      <c r="O3647">
        <v>185.9</v>
      </c>
      <c r="P3647">
        <v>-185.9</v>
      </c>
      <c r="Q3647" t="s">
        <v>28</v>
      </c>
      <c r="R3647" t="s">
        <v>71</v>
      </c>
      <c r="S3647" t="s">
        <v>2839</v>
      </c>
      <c r="T3647" t="s">
        <v>2591</v>
      </c>
    </row>
    <row r="3648" spans="1:20" x14ac:dyDescent="0.25">
      <c r="A3648" t="s">
        <v>8713</v>
      </c>
      <c r="B3648" t="str">
        <f>"1555"</f>
        <v>1555</v>
      </c>
      <c r="C3648" t="str">
        <f>"291681555"</f>
        <v>291681555</v>
      </c>
      <c r="D3648" t="s">
        <v>8714</v>
      </c>
      <c r="E3648" t="s">
        <v>164</v>
      </c>
      <c r="F3648" t="s">
        <v>93</v>
      </c>
      <c r="G3648" s="1">
        <v>22135</v>
      </c>
      <c r="H3648" s="1">
        <v>39112</v>
      </c>
      <c r="I3648" t="str">
        <f>"41"</f>
        <v>41</v>
      </c>
      <c r="J3648" t="s">
        <v>24</v>
      </c>
      <c r="K3648" t="s">
        <v>25</v>
      </c>
      <c r="L3648" t="s">
        <v>26</v>
      </c>
      <c r="M3648" t="s">
        <v>27</v>
      </c>
      <c r="N3648" s="1">
        <v>18629</v>
      </c>
      <c r="O3648">
        <v>0</v>
      </c>
      <c r="P3648">
        <v>0</v>
      </c>
      <c r="Q3648" t="s">
        <v>37</v>
      </c>
      <c r="R3648" t="s">
        <v>71</v>
      </c>
      <c r="S3648" t="s">
        <v>2297</v>
      </c>
      <c r="T3648" t="s">
        <v>2298</v>
      </c>
    </row>
    <row r="3649" spans="1:20" x14ac:dyDescent="0.25">
      <c r="A3649" t="s">
        <v>8715</v>
      </c>
      <c r="B3649" t="str">
        <f>"0687"</f>
        <v>0687</v>
      </c>
      <c r="C3649" t="str">
        <f>"297500687"</f>
        <v>297500687</v>
      </c>
      <c r="D3649" t="s">
        <v>7862</v>
      </c>
      <c r="E3649" t="s">
        <v>5889</v>
      </c>
      <c r="F3649" t="s">
        <v>69</v>
      </c>
      <c r="G3649" s="1">
        <v>19138</v>
      </c>
      <c r="H3649" s="1">
        <v>39104</v>
      </c>
      <c r="I3649" t="str">
        <f>"50"</f>
        <v>50</v>
      </c>
      <c r="J3649" t="s">
        <v>208</v>
      </c>
      <c r="K3649" t="s">
        <v>25</v>
      </c>
      <c r="L3649" t="s">
        <v>26</v>
      </c>
      <c r="M3649" t="s">
        <v>27</v>
      </c>
      <c r="N3649" s="1">
        <v>18629</v>
      </c>
      <c r="O3649">
        <v>0</v>
      </c>
      <c r="P3649">
        <v>0</v>
      </c>
      <c r="Q3649" t="s">
        <v>28</v>
      </c>
      <c r="R3649" t="s">
        <v>29</v>
      </c>
      <c r="S3649" t="s">
        <v>185</v>
      </c>
      <c r="T3649" t="s">
        <v>186</v>
      </c>
    </row>
    <row r="3650" spans="1:20" x14ac:dyDescent="0.25">
      <c r="A3650" t="s">
        <v>8716</v>
      </c>
      <c r="B3650" t="str">
        <f>"1829"</f>
        <v>1829</v>
      </c>
      <c r="C3650" t="str">
        <f>"284501829"</f>
        <v>284501829</v>
      </c>
      <c r="D3650" t="s">
        <v>8717</v>
      </c>
      <c r="E3650" t="s">
        <v>463</v>
      </c>
      <c r="F3650" t="s">
        <v>37</v>
      </c>
      <c r="G3650" s="1">
        <v>19282</v>
      </c>
      <c r="H3650" s="1">
        <v>39104</v>
      </c>
      <c r="I3650" t="str">
        <f>"52"</f>
        <v>52</v>
      </c>
      <c r="J3650" t="s">
        <v>330</v>
      </c>
      <c r="K3650" t="s">
        <v>25</v>
      </c>
      <c r="L3650" t="s">
        <v>26</v>
      </c>
      <c r="M3650" t="s">
        <v>27</v>
      </c>
      <c r="N3650" s="1">
        <v>18629</v>
      </c>
      <c r="O3650">
        <v>0</v>
      </c>
      <c r="P3650">
        <v>0</v>
      </c>
      <c r="Q3650" t="s">
        <v>28</v>
      </c>
      <c r="R3650" t="s">
        <v>29</v>
      </c>
      <c r="S3650" t="s">
        <v>331</v>
      </c>
      <c r="T3650" t="s">
        <v>332</v>
      </c>
    </row>
    <row r="3651" spans="1:20" x14ac:dyDescent="0.25">
      <c r="A3651" t="s">
        <v>8718</v>
      </c>
      <c r="B3651" t="str">
        <f>"0738"</f>
        <v>0738</v>
      </c>
      <c r="C3651" t="str">
        <f>"576430738"</f>
        <v>576430738</v>
      </c>
      <c r="D3651" t="s">
        <v>8719</v>
      </c>
      <c r="E3651" t="s">
        <v>8720</v>
      </c>
      <c r="F3651" t="s">
        <v>28</v>
      </c>
      <c r="G3651" s="1">
        <v>32373</v>
      </c>
      <c r="H3651" s="1">
        <v>39098</v>
      </c>
      <c r="I3651" t="str">
        <f>"41"</f>
        <v>41</v>
      </c>
      <c r="J3651" t="s">
        <v>24</v>
      </c>
      <c r="K3651" t="s">
        <v>25</v>
      </c>
      <c r="L3651" t="s">
        <v>26</v>
      </c>
      <c r="M3651" t="s">
        <v>27</v>
      </c>
      <c r="N3651" s="1">
        <v>18629</v>
      </c>
      <c r="O3651">
        <v>0</v>
      </c>
      <c r="P3651">
        <v>0</v>
      </c>
      <c r="Q3651" t="s">
        <v>28</v>
      </c>
      <c r="R3651" t="s">
        <v>71</v>
      </c>
      <c r="S3651" t="s">
        <v>4743</v>
      </c>
      <c r="T3651" t="s">
        <v>4744</v>
      </c>
    </row>
    <row r="3652" spans="1:20" x14ac:dyDescent="0.25">
      <c r="A3652" t="s">
        <v>8721</v>
      </c>
      <c r="B3652" t="str">
        <f>"2509"</f>
        <v>2509</v>
      </c>
      <c r="C3652" t="str">
        <f>"284482509"</f>
        <v>284482509</v>
      </c>
      <c r="D3652" t="s">
        <v>946</v>
      </c>
      <c r="E3652" t="s">
        <v>2956</v>
      </c>
      <c r="F3652" t="s">
        <v>28</v>
      </c>
      <c r="G3652" s="1">
        <v>18092</v>
      </c>
      <c r="H3652" s="1">
        <v>39098</v>
      </c>
      <c r="I3652" t="str">
        <f>"33"</f>
        <v>33</v>
      </c>
      <c r="J3652" t="s">
        <v>45</v>
      </c>
      <c r="K3652" t="s">
        <v>25</v>
      </c>
      <c r="L3652" t="s">
        <v>26</v>
      </c>
      <c r="M3652" t="s">
        <v>27</v>
      </c>
      <c r="N3652" s="1">
        <v>18629</v>
      </c>
      <c r="O3652">
        <v>0</v>
      </c>
      <c r="P3652">
        <v>0</v>
      </c>
      <c r="Q3652" t="s">
        <v>37</v>
      </c>
      <c r="R3652" t="s">
        <v>71</v>
      </c>
      <c r="S3652" t="s">
        <v>955</v>
      </c>
      <c r="T3652" t="s">
        <v>956</v>
      </c>
    </row>
    <row r="3653" spans="1:20" x14ac:dyDescent="0.25">
      <c r="A3653" t="s">
        <v>8722</v>
      </c>
      <c r="B3653" t="str">
        <f>"9513"</f>
        <v>9513</v>
      </c>
      <c r="C3653" t="str">
        <f>"290469513"</f>
        <v>290469513</v>
      </c>
      <c r="D3653" t="s">
        <v>5434</v>
      </c>
      <c r="E3653" t="s">
        <v>8723</v>
      </c>
      <c r="F3653" t="s">
        <v>93</v>
      </c>
      <c r="G3653" s="1">
        <v>18184</v>
      </c>
      <c r="H3653" s="1">
        <v>39097</v>
      </c>
      <c r="I3653" t="str">
        <f>"01"</f>
        <v>01</v>
      </c>
      <c r="J3653" t="s">
        <v>116</v>
      </c>
      <c r="K3653" t="s">
        <v>175</v>
      </c>
      <c r="L3653" t="s">
        <v>37</v>
      </c>
      <c r="M3653" t="s">
        <v>117</v>
      </c>
      <c r="N3653" s="1">
        <v>41617</v>
      </c>
      <c r="O3653">
        <v>5288.66</v>
      </c>
      <c r="P3653">
        <v>1322.1</v>
      </c>
      <c r="Q3653" t="s">
        <v>37</v>
      </c>
      <c r="R3653" t="s">
        <v>29</v>
      </c>
      <c r="S3653" t="s">
        <v>3275</v>
      </c>
      <c r="T3653" t="s">
        <v>3276</v>
      </c>
    </row>
    <row r="3654" spans="1:20" x14ac:dyDescent="0.25">
      <c r="A3654" t="s">
        <v>8724</v>
      </c>
      <c r="B3654" t="str">
        <f>"6494"</f>
        <v>6494</v>
      </c>
      <c r="C3654" t="str">
        <f>"301546494"</f>
        <v>301546494</v>
      </c>
      <c r="D3654" t="s">
        <v>8725</v>
      </c>
      <c r="E3654" t="s">
        <v>197</v>
      </c>
      <c r="F3654" t="s">
        <v>28</v>
      </c>
      <c r="G3654" s="1">
        <v>19406</v>
      </c>
      <c r="H3654" s="1">
        <v>39094</v>
      </c>
      <c r="I3654" t="str">
        <f t="shared" ref="I3654:I3663" si="80">"51"</f>
        <v>51</v>
      </c>
      <c r="J3654" t="s">
        <v>471</v>
      </c>
      <c r="K3654" t="s">
        <v>25</v>
      </c>
      <c r="L3654" t="s">
        <v>26</v>
      </c>
      <c r="M3654" t="s">
        <v>27</v>
      </c>
      <c r="N3654" s="1">
        <v>18629</v>
      </c>
      <c r="O3654">
        <v>0</v>
      </c>
      <c r="P3654">
        <v>0</v>
      </c>
      <c r="Q3654" t="s">
        <v>28</v>
      </c>
      <c r="R3654" t="s">
        <v>71</v>
      </c>
      <c r="S3654" t="s">
        <v>2458</v>
      </c>
      <c r="T3654" t="s">
        <v>2459</v>
      </c>
    </row>
    <row r="3655" spans="1:20" x14ac:dyDescent="0.25">
      <c r="A3655" t="s">
        <v>8726</v>
      </c>
      <c r="B3655" t="str">
        <f>"4313"</f>
        <v>4313</v>
      </c>
      <c r="C3655" t="str">
        <f>"296484313"</f>
        <v>296484313</v>
      </c>
      <c r="D3655" t="s">
        <v>6556</v>
      </c>
      <c r="E3655" t="s">
        <v>197</v>
      </c>
      <c r="F3655" t="s">
        <v>93</v>
      </c>
      <c r="G3655" s="1">
        <v>18362</v>
      </c>
      <c r="H3655" s="1">
        <v>39094</v>
      </c>
      <c r="I3655" t="str">
        <f t="shared" si="80"/>
        <v>51</v>
      </c>
      <c r="J3655" t="s">
        <v>471</v>
      </c>
      <c r="K3655" t="s">
        <v>25</v>
      </c>
      <c r="L3655" t="s">
        <v>26</v>
      </c>
      <c r="M3655" t="s">
        <v>27</v>
      </c>
      <c r="N3655" s="1">
        <v>18629</v>
      </c>
      <c r="O3655">
        <v>0</v>
      </c>
      <c r="P3655">
        <v>0</v>
      </c>
      <c r="Q3655" t="s">
        <v>28</v>
      </c>
      <c r="R3655" t="s">
        <v>29</v>
      </c>
      <c r="S3655" t="s">
        <v>1640</v>
      </c>
      <c r="T3655" t="s">
        <v>983</v>
      </c>
    </row>
    <row r="3656" spans="1:20" x14ac:dyDescent="0.25">
      <c r="A3656" t="s">
        <v>8727</v>
      </c>
      <c r="B3656" t="str">
        <f>"3541"</f>
        <v>3541</v>
      </c>
      <c r="C3656" t="str">
        <f>"283503541"</f>
        <v>283503541</v>
      </c>
      <c r="D3656" t="s">
        <v>8728</v>
      </c>
      <c r="E3656" t="s">
        <v>8729</v>
      </c>
      <c r="G3656" s="1">
        <v>18870</v>
      </c>
      <c r="H3656" s="1">
        <v>39094</v>
      </c>
      <c r="I3656" t="str">
        <f t="shared" si="80"/>
        <v>51</v>
      </c>
      <c r="J3656" t="s">
        <v>471</v>
      </c>
      <c r="K3656" t="s">
        <v>25</v>
      </c>
      <c r="L3656" t="s">
        <v>26</v>
      </c>
      <c r="M3656" t="s">
        <v>27</v>
      </c>
      <c r="N3656" s="1">
        <v>18629</v>
      </c>
      <c r="O3656">
        <v>0</v>
      </c>
      <c r="P3656">
        <v>0</v>
      </c>
      <c r="Q3656" t="s">
        <v>37</v>
      </c>
      <c r="R3656" t="s">
        <v>51</v>
      </c>
      <c r="S3656" s="2" t="s">
        <v>2693</v>
      </c>
      <c r="T3656" t="s">
        <v>2694</v>
      </c>
    </row>
    <row r="3657" spans="1:20" x14ac:dyDescent="0.25">
      <c r="A3657" t="s">
        <v>8730</v>
      </c>
      <c r="B3657" t="str">
        <f>"6327"</f>
        <v>6327</v>
      </c>
      <c r="C3657" t="str">
        <f>"277886327"</f>
        <v>277886327</v>
      </c>
      <c r="D3657" t="s">
        <v>8731</v>
      </c>
      <c r="E3657" t="s">
        <v>35</v>
      </c>
      <c r="F3657" t="s">
        <v>28</v>
      </c>
      <c r="G3657" s="1">
        <v>28993</v>
      </c>
      <c r="H3657" s="1">
        <v>39094</v>
      </c>
      <c r="I3657" t="str">
        <f t="shared" si="80"/>
        <v>51</v>
      </c>
      <c r="J3657" t="s">
        <v>471</v>
      </c>
      <c r="K3657" t="s">
        <v>25</v>
      </c>
      <c r="L3657" t="s">
        <v>26</v>
      </c>
      <c r="M3657" t="s">
        <v>27</v>
      </c>
      <c r="N3657" s="1">
        <v>18629</v>
      </c>
      <c r="O3657">
        <v>0</v>
      </c>
      <c r="P3657">
        <v>0</v>
      </c>
      <c r="Q3657" t="s">
        <v>28</v>
      </c>
      <c r="R3657" t="s">
        <v>346</v>
      </c>
      <c r="S3657" s="2" t="s">
        <v>2202</v>
      </c>
      <c r="T3657" t="s">
        <v>2203</v>
      </c>
    </row>
    <row r="3658" spans="1:20" x14ac:dyDescent="0.25">
      <c r="A3658" t="s">
        <v>8732</v>
      </c>
      <c r="B3658" t="str">
        <f>"4297"</f>
        <v>4297</v>
      </c>
      <c r="C3658" t="str">
        <f>"296664297"</f>
        <v>296664297</v>
      </c>
      <c r="D3658" t="s">
        <v>760</v>
      </c>
      <c r="E3658" t="s">
        <v>127</v>
      </c>
      <c r="F3658" t="s">
        <v>165</v>
      </c>
      <c r="G3658" s="1">
        <v>21829</v>
      </c>
      <c r="H3658" s="1">
        <v>39094</v>
      </c>
      <c r="I3658" t="str">
        <f t="shared" si="80"/>
        <v>51</v>
      </c>
      <c r="J3658" t="s">
        <v>471</v>
      </c>
      <c r="K3658" t="s">
        <v>25</v>
      </c>
      <c r="L3658" t="s">
        <v>26</v>
      </c>
      <c r="M3658" t="s">
        <v>27</v>
      </c>
      <c r="N3658" s="1">
        <v>18629</v>
      </c>
      <c r="O3658">
        <v>0</v>
      </c>
      <c r="P3658">
        <v>0</v>
      </c>
      <c r="Q3658" t="s">
        <v>28</v>
      </c>
      <c r="R3658" t="s">
        <v>71</v>
      </c>
      <c r="S3658" t="s">
        <v>1681</v>
      </c>
      <c r="T3658" t="s">
        <v>1682</v>
      </c>
    </row>
    <row r="3659" spans="1:20" x14ac:dyDescent="0.25">
      <c r="A3659" t="s">
        <v>8733</v>
      </c>
      <c r="B3659" t="str">
        <f>"7279"</f>
        <v>7279</v>
      </c>
      <c r="C3659" t="str">
        <f>"283607279"</f>
        <v>283607279</v>
      </c>
      <c r="D3659" t="s">
        <v>6990</v>
      </c>
      <c r="E3659" t="s">
        <v>8734</v>
      </c>
      <c r="F3659" t="s">
        <v>165</v>
      </c>
      <c r="G3659" s="1">
        <v>23805</v>
      </c>
      <c r="H3659" s="1">
        <v>39094</v>
      </c>
      <c r="I3659" t="str">
        <f t="shared" si="80"/>
        <v>51</v>
      </c>
      <c r="J3659" t="s">
        <v>471</v>
      </c>
      <c r="K3659" t="s">
        <v>25</v>
      </c>
      <c r="L3659" t="s">
        <v>26</v>
      </c>
      <c r="M3659" t="s">
        <v>27</v>
      </c>
      <c r="N3659" s="1">
        <v>18629</v>
      </c>
      <c r="O3659">
        <v>0</v>
      </c>
      <c r="P3659">
        <v>0</v>
      </c>
      <c r="Q3659" t="s">
        <v>28</v>
      </c>
      <c r="R3659" t="s">
        <v>71</v>
      </c>
      <c r="S3659" t="s">
        <v>2590</v>
      </c>
      <c r="T3659" t="s">
        <v>2591</v>
      </c>
    </row>
    <row r="3660" spans="1:20" x14ac:dyDescent="0.25">
      <c r="A3660" t="s">
        <v>8735</v>
      </c>
      <c r="B3660" t="str">
        <f>"5715"</f>
        <v>5715</v>
      </c>
      <c r="C3660" t="str">
        <f>"283885715"</f>
        <v>283885715</v>
      </c>
      <c r="D3660" t="s">
        <v>8736</v>
      </c>
      <c r="E3660" t="s">
        <v>8737</v>
      </c>
      <c r="G3660" s="1">
        <v>27683</v>
      </c>
      <c r="H3660" s="1">
        <v>39094</v>
      </c>
      <c r="I3660" t="str">
        <f t="shared" si="80"/>
        <v>51</v>
      </c>
      <c r="J3660" t="s">
        <v>471</v>
      </c>
      <c r="K3660" t="s">
        <v>25</v>
      </c>
      <c r="L3660" t="s">
        <v>26</v>
      </c>
      <c r="M3660" t="s">
        <v>27</v>
      </c>
      <c r="N3660" s="1">
        <v>18629</v>
      </c>
      <c r="O3660">
        <v>0</v>
      </c>
      <c r="P3660">
        <v>0</v>
      </c>
      <c r="Q3660" t="s">
        <v>37</v>
      </c>
      <c r="R3660" t="s">
        <v>71</v>
      </c>
      <c r="S3660" t="s">
        <v>2406</v>
      </c>
      <c r="T3660" t="s">
        <v>2407</v>
      </c>
    </row>
    <row r="3661" spans="1:20" x14ac:dyDescent="0.25">
      <c r="A3661" t="s">
        <v>8738</v>
      </c>
      <c r="B3661" t="str">
        <f>"7560"</f>
        <v>7560</v>
      </c>
      <c r="C3661" t="str">
        <f>"292447560"</f>
        <v>292447560</v>
      </c>
      <c r="D3661" t="s">
        <v>8739</v>
      </c>
      <c r="E3661" t="s">
        <v>4749</v>
      </c>
      <c r="F3661" t="s">
        <v>28</v>
      </c>
      <c r="G3661" s="1">
        <v>17555</v>
      </c>
      <c r="H3661" s="1">
        <v>39094</v>
      </c>
      <c r="I3661" t="str">
        <f t="shared" si="80"/>
        <v>51</v>
      </c>
      <c r="J3661" t="s">
        <v>471</v>
      </c>
      <c r="K3661" t="s">
        <v>25</v>
      </c>
      <c r="L3661" t="s">
        <v>26</v>
      </c>
      <c r="M3661" t="s">
        <v>27</v>
      </c>
      <c r="N3661" s="1">
        <v>18629</v>
      </c>
      <c r="O3661">
        <v>0</v>
      </c>
      <c r="P3661">
        <v>0</v>
      </c>
      <c r="Q3661" t="s">
        <v>37</v>
      </c>
      <c r="R3661" t="s">
        <v>29</v>
      </c>
      <c r="S3661" t="s">
        <v>1427</v>
      </c>
      <c r="T3661" t="s">
        <v>1428</v>
      </c>
    </row>
    <row r="3662" spans="1:20" x14ac:dyDescent="0.25">
      <c r="A3662" t="s">
        <v>8740</v>
      </c>
      <c r="B3662" t="str">
        <f>"4390"</f>
        <v>4390</v>
      </c>
      <c r="C3662" t="str">
        <f>"268464390"</f>
        <v>268464390</v>
      </c>
      <c r="D3662" t="s">
        <v>8741</v>
      </c>
      <c r="E3662" t="s">
        <v>682</v>
      </c>
      <c r="F3662" t="s">
        <v>44</v>
      </c>
      <c r="G3662" s="1">
        <v>17384</v>
      </c>
      <c r="H3662" s="1">
        <v>39094</v>
      </c>
      <c r="I3662" t="str">
        <f t="shared" si="80"/>
        <v>51</v>
      </c>
      <c r="J3662" t="s">
        <v>471</v>
      </c>
      <c r="K3662" t="s">
        <v>25</v>
      </c>
      <c r="L3662" t="s">
        <v>26</v>
      </c>
      <c r="M3662" t="s">
        <v>27</v>
      </c>
      <c r="N3662" s="1">
        <v>18629</v>
      </c>
      <c r="O3662">
        <v>0</v>
      </c>
      <c r="P3662">
        <v>0</v>
      </c>
      <c r="Q3662" t="s">
        <v>37</v>
      </c>
      <c r="R3662" t="s">
        <v>51</v>
      </c>
      <c r="S3662" s="2" t="s">
        <v>2202</v>
      </c>
      <c r="T3662" t="s">
        <v>2203</v>
      </c>
    </row>
    <row r="3663" spans="1:20" x14ac:dyDescent="0.25">
      <c r="A3663" t="s">
        <v>8742</v>
      </c>
      <c r="B3663" t="str">
        <f>"3963"</f>
        <v>3963</v>
      </c>
      <c r="C3663" t="str">
        <f>"204623963"</f>
        <v>204623963</v>
      </c>
      <c r="D3663" t="s">
        <v>7271</v>
      </c>
      <c r="E3663" t="s">
        <v>619</v>
      </c>
      <c r="F3663" t="s">
        <v>28</v>
      </c>
      <c r="G3663" s="1">
        <v>29306</v>
      </c>
      <c r="H3663" s="1">
        <v>39094</v>
      </c>
      <c r="I3663" t="str">
        <f t="shared" si="80"/>
        <v>51</v>
      </c>
      <c r="J3663" t="s">
        <v>471</v>
      </c>
      <c r="K3663" t="s">
        <v>25</v>
      </c>
      <c r="L3663" t="s">
        <v>26</v>
      </c>
      <c r="M3663" t="s">
        <v>27</v>
      </c>
      <c r="N3663" s="1">
        <v>18629</v>
      </c>
      <c r="O3663">
        <v>0</v>
      </c>
      <c r="P3663">
        <v>0</v>
      </c>
      <c r="Q3663" t="s">
        <v>37</v>
      </c>
      <c r="R3663" t="s">
        <v>51</v>
      </c>
      <c r="S3663" s="2" t="s">
        <v>2524</v>
      </c>
      <c r="T3663" t="s">
        <v>2525</v>
      </c>
    </row>
    <row r="3664" spans="1:20" x14ac:dyDescent="0.25">
      <c r="A3664" t="s">
        <v>8743</v>
      </c>
      <c r="B3664" t="str">
        <f>"8014"</f>
        <v>8014</v>
      </c>
      <c r="C3664" t="str">
        <f>"187388014"</f>
        <v>187388014</v>
      </c>
      <c r="D3664" t="s">
        <v>8744</v>
      </c>
      <c r="E3664" t="s">
        <v>1248</v>
      </c>
      <c r="F3664" t="s">
        <v>165</v>
      </c>
      <c r="G3664" s="1">
        <v>19968</v>
      </c>
      <c r="H3664" s="1">
        <v>39094</v>
      </c>
      <c r="I3664" t="str">
        <f>"41"</f>
        <v>41</v>
      </c>
      <c r="J3664" t="s">
        <v>24</v>
      </c>
      <c r="K3664" t="s">
        <v>25</v>
      </c>
      <c r="L3664" t="s">
        <v>26</v>
      </c>
      <c r="M3664" t="s">
        <v>27</v>
      </c>
      <c r="N3664" s="1">
        <v>18629</v>
      </c>
      <c r="O3664">
        <v>0</v>
      </c>
      <c r="P3664">
        <v>0</v>
      </c>
      <c r="Q3664" t="s">
        <v>37</v>
      </c>
      <c r="R3664" t="s">
        <v>29</v>
      </c>
      <c r="S3664" t="s">
        <v>138</v>
      </c>
      <c r="T3664" t="s">
        <v>139</v>
      </c>
    </row>
    <row r="3665" spans="1:20" x14ac:dyDescent="0.25">
      <c r="A3665" t="s">
        <v>8745</v>
      </c>
      <c r="B3665" t="str">
        <f>"4595"</f>
        <v>4595</v>
      </c>
      <c r="C3665" t="str">
        <f>"293424595"</f>
        <v>293424595</v>
      </c>
      <c r="D3665" t="s">
        <v>8746</v>
      </c>
      <c r="E3665" t="s">
        <v>756</v>
      </c>
      <c r="F3665" t="s">
        <v>165</v>
      </c>
      <c r="G3665" s="1">
        <v>20495</v>
      </c>
      <c r="H3665" s="1">
        <v>39094</v>
      </c>
      <c r="I3665" t="str">
        <f t="shared" ref="I3665:I3673" si="81">"51"</f>
        <v>51</v>
      </c>
      <c r="J3665" t="s">
        <v>471</v>
      </c>
      <c r="K3665" t="s">
        <v>25</v>
      </c>
      <c r="L3665" t="s">
        <v>26</v>
      </c>
      <c r="M3665" t="s">
        <v>27</v>
      </c>
      <c r="N3665" s="1">
        <v>18629</v>
      </c>
      <c r="O3665">
        <v>0</v>
      </c>
      <c r="P3665">
        <v>0</v>
      </c>
      <c r="Q3665" t="s">
        <v>37</v>
      </c>
      <c r="R3665" t="s">
        <v>51</v>
      </c>
      <c r="S3665" s="2" t="s">
        <v>2202</v>
      </c>
      <c r="T3665" t="s">
        <v>2203</v>
      </c>
    </row>
    <row r="3666" spans="1:20" x14ac:dyDescent="0.25">
      <c r="A3666" t="s">
        <v>8747</v>
      </c>
      <c r="B3666" t="str">
        <f>"3005"</f>
        <v>3005</v>
      </c>
      <c r="C3666" t="str">
        <f>"286563005"</f>
        <v>286563005</v>
      </c>
      <c r="D3666" t="s">
        <v>2183</v>
      </c>
      <c r="E3666" t="s">
        <v>357</v>
      </c>
      <c r="F3666" t="s">
        <v>44</v>
      </c>
      <c r="G3666" s="1">
        <v>21036</v>
      </c>
      <c r="H3666" s="1">
        <v>39094</v>
      </c>
      <c r="I3666" t="str">
        <f t="shared" si="81"/>
        <v>51</v>
      </c>
      <c r="J3666" t="s">
        <v>471</v>
      </c>
      <c r="K3666" t="s">
        <v>25</v>
      </c>
      <c r="L3666" t="s">
        <v>26</v>
      </c>
      <c r="M3666" t="s">
        <v>27</v>
      </c>
      <c r="N3666" s="1">
        <v>18629</v>
      </c>
      <c r="O3666">
        <v>0</v>
      </c>
      <c r="P3666">
        <v>0</v>
      </c>
      <c r="Q3666" t="s">
        <v>37</v>
      </c>
      <c r="R3666" t="s">
        <v>71</v>
      </c>
      <c r="S3666" t="s">
        <v>3594</v>
      </c>
      <c r="T3666" t="s">
        <v>3595</v>
      </c>
    </row>
    <row r="3667" spans="1:20" x14ac:dyDescent="0.25">
      <c r="A3667" t="s">
        <v>8748</v>
      </c>
      <c r="B3667" t="str">
        <f>"9152"</f>
        <v>9152</v>
      </c>
      <c r="C3667" t="str">
        <f>"252339152"</f>
        <v>252339152</v>
      </c>
      <c r="D3667" t="s">
        <v>91</v>
      </c>
      <c r="E3667" t="s">
        <v>322</v>
      </c>
      <c r="F3667" t="s">
        <v>165</v>
      </c>
      <c r="G3667" s="1">
        <v>27264</v>
      </c>
      <c r="H3667" s="1">
        <v>39094</v>
      </c>
      <c r="I3667" t="str">
        <f t="shared" si="81"/>
        <v>51</v>
      </c>
      <c r="J3667" t="s">
        <v>471</v>
      </c>
      <c r="K3667" t="s">
        <v>25</v>
      </c>
      <c r="L3667" t="s">
        <v>26</v>
      </c>
      <c r="M3667" t="s">
        <v>27</v>
      </c>
      <c r="N3667" s="1">
        <v>18629</v>
      </c>
      <c r="O3667">
        <v>0</v>
      </c>
      <c r="P3667">
        <v>0</v>
      </c>
      <c r="Q3667" t="s">
        <v>37</v>
      </c>
      <c r="R3667" t="s">
        <v>71</v>
      </c>
      <c r="S3667" t="s">
        <v>4792</v>
      </c>
      <c r="T3667" t="s">
        <v>4793</v>
      </c>
    </row>
    <row r="3668" spans="1:20" x14ac:dyDescent="0.25">
      <c r="A3668" t="s">
        <v>8749</v>
      </c>
      <c r="B3668" t="str">
        <f>"6549"</f>
        <v>6549</v>
      </c>
      <c r="C3668" t="str">
        <f>"289546549"</f>
        <v>289546549</v>
      </c>
      <c r="D3668" t="s">
        <v>8750</v>
      </c>
      <c r="E3668" t="s">
        <v>197</v>
      </c>
      <c r="F3668" t="s">
        <v>264</v>
      </c>
      <c r="G3668" s="1">
        <v>19604</v>
      </c>
      <c r="H3668" s="1">
        <v>39094</v>
      </c>
      <c r="I3668" t="str">
        <f t="shared" si="81"/>
        <v>51</v>
      </c>
      <c r="J3668" t="s">
        <v>471</v>
      </c>
      <c r="K3668" t="s">
        <v>25</v>
      </c>
      <c r="L3668" t="s">
        <v>26</v>
      </c>
      <c r="M3668" t="s">
        <v>27</v>
      </c>
      <c r="N3668" s="1">
        <v>18629</v>
      </c>
      <c r="O3668">
        <v>0</v>
      </c>
      <c r="P3668">
        <v>0</v>
      </c>
      <c r="Q3668" t="s">
        <v>28</v>
      </c>
      <c r="R3668" t="s">
        <v>71</v>
      </c>
      <c r="S3668" t="s">
        <v>2406</v>
      </c>
      <c r="T3668" t="s">
        <v>2407</v>
      </c>
    </row>
    <row r="3669" spans="1:20" x14ac:dyDescent="0.25">
      <c r="A3669" t="s">
        <v>8751</v>
      </c>
      <c r="B3669" t="str">
        <f>"4234"</f>
        <v>4234</v>
      </c>
      <c r="C3669" t="str">
        <f>"297724234"</f>
        <v>297724234</v>
      </c>
      <c r="D3669" t="s">
        <v>8752</v>
      </c>
      <c r="E3669" t="s">
        <v>106</v>
      </c>
      <c r="F3669" t="s">
        <v>97</v>
      </c>
      <c r="G3669" s="1">
        <v>23371</v>
      </c>
      <c r="H3669" s="1">
        <v>39094</v>
      </c>
      <c r="I3669" t="str">
        <f t="shared" si="81"/>
        <v>51</v>
      </c>
      <c r="J3669" t="s">
        <v>471</v>
      </c>
      <c r="K3669" t="s">
        <v>25</v>
      </c>
      <c r="L3669" t="s">
        <v>26</v>
      </c>
      <c r="M3669" t="s">
        <v>27</v>
      </c>
      <c r="N3669" s="1">
        <v>18629</v>
      </c>
      <c r="O3669">
        <v>0</v>
      </c>
      <c r="P3669">
        <v>0</v>
      </c>
      <c r="Q3669" t="s">
        <v>28</v>
      </c>
      <c r="R3669" t="s">
        <v>71</v>
      </c>
      <c r="S3669" t="s">
        <v>1610</v>
      </c>
      <c r="T3669" t="s">
        <v>1611</v>
      </c>
    </row>
    <row r="3670" spans="1:20" x14ac:dyDescent="0.25">
      <c r="A3670" t="s">
        <v>8753</v>
      </c>
      <c r="B3670" t="str">
        <f>"1053"</f>
        <v>1053</v>
      </c>
      <c r="C3670" t="str">
        <f>"302601053"</f>
        <v>302601053</v>
      </c>
      <c r="D3670" t="s">
        <v>5639</v>
      </c>
      <c r="E3670" t="s">
        <v>7737</v>
      </c>
      <c r="F3670" t="s">
        <v>239</v>
      </c>
      <c r="G3670" s="1">
        <v>22556</v>
      </c>
      <c r="H3670" s="1">
        <v>39094</v>
      </c>
      <c r="I3670" t="str">
        <f t="shared" si="81"/>
        <v>51</v>
      </c>
      <c r="J3670" t="s">
        <v>471</v>
      </c>
      <c r="K3670" t="s">
        <v>25</v>
      </c>
      <c r="L3670" t="s">
        <v>26</v>
      </c>
      <c r="M3670" t="s">
        <v>27</v>
      </c>
      <c r="N3670" s="1">
        <v>18629</v>
      </c>
      <c r="O3670">
        <v>0</v>
      </c>
      <c r="P3670">
        <v>0</v>
      </c>
      <c r="Q3670" t="s">
        <v>28</v>
      </c>
      <c r="R3670" t="s">
        <v>71</v>
      </c>
      <c r="S3670" t="s">
        <v>3750</v>
      </c>
      <c r="T3670" t="s">
        <v>3751</v>
      </c>
    </row>
    <row r="3671" spans="1:20" x14ac:dyDescent="0.25">
      <c r="A3671" t="s">
        <v>8754</v>
      </c>
      <c r="B3671" t="str">
        <f>"0903"</f>
        <v>0903</v>
      </c>
      <c r="C3671" t="str">
        <f>"302700903"</f>
        <v>302700903</v>
      </c>
      <c r="D3671" t="s">
        <v>563</v>
      </c>
      <c r="E3671" t="s">
        <v>6258</v>
      </c>
      <c r="F3671" t="s">
        <v>28</v>
      </c>
      <c r="G3671" s="1">
        <v>26325</v>
      </c>
      <c r="H3671" s="1">
        <v>39094</v>
      </c>
      <c r="I3671" t="str">
        <f t="shared" si="81"/>
        <v>51</v>
      </c>
      <c r="J3671" t="s">
        <v>471</v>
      </c>
      <c r="K3671" t="s">
        <v>25</v>
      </c>
      <c r="L3671" t="s">
        <v>26</v>
      </c>
      <c r="M3671" t="s">
        <v>27</v>
      </c>
      <c r="N3671" s="1">
        <v>18629</v>
      </c>
      <c r="O3671">
        <v>0</v>
      </c>
      <c r="P3671">
        <v>0</v>
      </c>
      <c r="Q3671" t="s">
        <v>37</v>
      </c>
      <c r="R3671" t="s">
        <v>29</v>
      </c>
      <c r="S3671" t="s">
        <v>138</v>
      </c>
      <c r="T3671" t="s">
        <v>139</v>
      </c>
    </row>
    <row r="3672" spans="1:20" x14ac:dyDescent="0.25">
      <c r="A3672" t="s">
        <v>8755</v>
      </c>
      <c r="B3672" t="str">
        <f>"1440"</f>
        <v>1440</v>
      </c>
      <c r="C3672" t="str">
        <f>"205581440"</f>
        <v>205581440</v>
      </c>
      <c r="D3672" t="s">
        <v>8756</v>
      </c>
      <c r="E3672" t="s">
        <v>2017</v>
      </c>
      <c r="F3672" t="s">
        <v>44</v>
      </c>
      <c r="G3672" s="1">
        <v>28279</v>
      </c>
      <c r="H3672" s="1">
        <v>39094</v>
      </c>
      <c r="I3672" t="str">
        <f t="shared" si="81"/>
        <v>51</v>
      </c>
      <c r="J3672" t="s">
        <v>471</v>
      </c>
      <c r="K3672" t="s">
        <v>25</v>
      </c>
      <c r="L3672" t="s">
        <v>26</v>
      </c>
      <c r="M3672" t="s">
        <v>27</v>
      </c>
      <c r="N3672" s="1">
        <v>18629</v>
      </c>
      <c r="O3672">
        <v>0</v>
      </c>
      <c r="P3672">
        <v>0</v>
      </c>
      <c r="Q3672" t="s">
        <v>37</v>
      </c>
      <c r="R3672" t="s">
        <v>71</v>
      </c>
      <c r="S3672" t="s">
        <v>790</v>
      </c>
      <c r="T3672" t="s">
        <v>791</v>
      </c>
    </row>
    <row r="3673" spans="1:20" x14ac:dyDescent="0.25">
      <c r="A3673" t="s">
        <v>8757</v>
      </c>
      <c r="B3673" t="str">
        <f>"4508"</f>
        <v>4508</v>
      </c>
      <c r="C3673" t="str">
        <f>"277064508"</f>
        <v>277064508</v>
      </c>
      <c r="D3673" t="s">
        <v>8758</v>
      </c>
      <c r="E3673" t="s">
        <v>8759</v>
      </c>
      <c r="F3673" t="s">
        <v>97</v>
      </c>
      <c r="G3673" s="1">
        <v>17826</v>
      </c>
      <c r="H3673" s="1">
        <v>39094</v>
      </c>
      <c r="I3673" t="str">
        <f t="shared" si="81"/>
        <v>51</v>
      </c>
      <c r="J3673" t="s">
        <v>471</v>
      </c>
      <c r="K3673" t="s">
        <v>25</v>
      </c>
      <c r="L3673" t="s">
        <v>26</v>
      </c>
      <c r="M3673" t="s">
        <v>27</v>
      </c>
      <c r="N3673" s="1">
        <v>18629</v>
      </c>
      <c r="O3673">
        <v>0</v>
      </c>
      <c r="P3673">
        <v>0</v>
      </c>
      <c r="Q3673" t="s">
        <v>28</v>
      </c>
      <c r="R3673" t="s">
        <v>71</v>
      </c>
      <c r="S3673" t="s">
        <v>5486</v>
      </c>
      <c r="T3673" t="s">
        <v>5487</v>
      </c>
    </row>
    <row r="3674" spans="1:20" x14ac:dyDescent="0.25">
      <c r="A3674" t="s">
        <v>8760</v>
      </c>
      <c r="B3674" t="str">
        <f>"6091"</f>
        <v>6091</v>
      </c>
      <c r="C3674" t="str">
        <f>"280546091"</f>
        <v>280546091</v>
      </c>
      <c r="D3674" t="s">
        <v>663</v>
      </c>
      <c r="E3674" t="s">
        <v>5442</v>
      </c>
      <c r="F3674" t="s">
        <v>358</v>
      </c>
      <c r="G3674" s="1">
        <v>19852</v>
      </c>
      <c r="H3674" s="1">
        <v>39084</v>
      </c>
      <c r="I3674" t="str">
        <f>"12"</f>
        <v>12</v>
      </c>
      <c r="J3674" t="s">
        <v>245</v>
      </c>
      <c r="K3674" t="s">
        <v>98</v>
      </c>
      <c r="L3674" t="s">
        <v>37</v>
      </c>
      <c r="M3674" t="s">
        <v>257</v>
      </c>
      <c r="N3674" s="1">
        <v>41617</v>
      </c>
      <c r="O3674">
        <v>10753.08</v>
      </c>
      <c r="P3674">
        <v>2688.4</v>
      </c>
      <c r="Q3674" t="s">
        <v>37</v>
      </c>
      <c r="R3674" t="s">
        <v>29</v>
      </c>
      <c r="S3674" t="s">
        <v>1443</v>
      </c>
      <c r="T3674" t="s">
        <v>1444</v>
      </c>
    </row>
    <row r="3675" spans="1:20" x14ac:dyDescent="0.25">
      <c r="A3675" t="s">
        <v>8761</v>
      </c>
      <c r="B3675" t="str">
        <f>"6152"</f>
        <v>6152</v>
      </c>
      <c r="C3675" t="str">
        <f>"276566152"</f>
        <v>276566152</v>
      </c>
      <c r="D3675" t="s">
        <v>6958</v>
      </c>
      <c r="E3675" t="s">
        <v>1981</v>
      </c>
      <c r="F3675" t="s">
        <v>28</v>
      </c>
      <c r="G3675" s="1">
        <v>19514</v>
      </c>
      <c r="H3675" s="1">
        <v>39084</v>
      </c>
      <c r="I3675" t="str">
        <f>"15"</f>
        <v>15</v>
      </c>
      <c r="J3675" t="s">
        <v>36</v>
      </c>
      <c r="L3675" t="s">
        <v>37</v>
      </c>
      <c r="M3675" t="s">
        <v>143</v>
      </c>
      <c r="N3675" s="1">
        <v>41617</v>
      </c>
      <c r="O3675">
        <v>185.9</v>
      </c>
      <c r="P3675">
        <v>-185.9</v>
      </c>
      <c r="Q3675" t="s">
        <v>37</v>
      </c>
      <c r="R3675" t="s">
        <v>29</v>
      </c>
      <c r="S3675" t="s">
        <v>1649</v>
      </c>
      <c r="T3675" t="s">
        <v>1650</v>
      </c>
    </row>
    <row r="3676" spans="1:20" x14ac:dyDescent="0.25">
      <c r="A3676" t="s">
        <v>8762</v>
      </c>
      <c r="B3676" t="str">
        <f>"2928"</f>
        <v>2928</v>
      </c>
      <c r="C3676" t="str">
        <f>"269582928"</f>
        <v>269582928</v>
      </c>
      <c r="D3676" t="s">
        <v>8763</v>
      </c>
      <c r="E3676" t="s">
        <v>48</v>
      </c>
      <c r="G3676" s="1">
        <v>19785</v>
      </c>
      <c r="H3676" s="1">
        <v>39084</v>
      </c>
      <c r="I3676" t="str">
        <f>"01"</f>
        <v>01</v>
      </c>
      <c r="J3676" t="s">
        <v>116</v>
      </c>
      <c r="K3676" t="s">
        <v>98</v>
      </c>
      <c r="L3676" t="s">
        <v>37</v>
      </c>
      <c r="M3676" t="s">
        <v>117</v>
      </c>
      <c r="N3676" s="1">
        <v>41617</v>
      </c>
      <c r="O3676">
        <v>4951.96</v>
      </c>
      <c r="P3676">
        <v>1237.8599999999999</v>
      </c>
      <c r="Q3676" t="s">
        <v>37</v>
      </c>
      <c r="R3676" t="s">
        <v>110</v>
      </c>
      <c r="S3676" t="s">
        <v>3195</v>
      </c>
      <c r="T3676" t="s">
        <v>3196</v>
      </c>
    </row>
    <row r="3677" spans="1:20" x14ac:dyDescent="0.25">
      <c r="A3677" t="s">
        <v>8764</v>
      </c>
      <c r="B3677" t="str">
        <f>"7882"</f>
        <v>7882</v>
      </c>
      <c r="C3677" t="str">
        <f>"277427882"</f>
        <v>277427882</v>
      </c>
      <c r="D3677" t="s">
        <v>3696</v>
      </c>
      <c r="E3677" t="s">
        <v>197</v>
      </c>
      <c r="G3677" s="1">
        <v>16710</v>
      </c>
      <c r="H3677" s="1">
        <v>39082</v>
      </c>
      <c r="I3677" t="str">
        <f>"50"</f>
        <v>50</v>
      </c>
      <c r="J3677" t="s">
        <v>208</v>
      </c>
      <c r="K3677" t="s">
        <v>25</v>
      </c>
      <c r="L3677" t="s">
        <v>26</v>
      </c>
      <c r="M3677" t="s">
        <v>27</v>
      </c>
      <c r="N3677" s="1">
        <v>18629</v>
      </c>
      <c r="O3677">
        <v>0</v>
      </c>
      <c r="P3677">
        <v>0</v>
      </c>
      <c r="Q3677" t="s">
        <v>28</v>
      </c>
      <c r="R3677" t="s">
        <v>51</v>
      </c>
      <c r="S3677" s="2" t="s">
        <v>683</v>
      </c>
      <c r="T3677" t="s">
        <v>684</v>
      </c>
    </row>
    <row r="3678" spans="1:20" x14ac:dyDescent="0.25">
      <c r="A3678" t="s">
        <v>8765</v>
      </c>
      <c r="B3678" t="str">
        <f>"2281"</f>
        <v>2281</v>
      </c>
      <c r="C3678" t="str">
        <f>"292602281"</f>
        <v>292602281</v>
      </c>
      <c r="D3678" t="s">
        <v>8766</v>
      </c>
      <c r="E3678" t="s">
        <v>184</v>
      </c>
      <c r="F3678" t="s">
        <v>264</v>
      </c>
      <c r="G3678" s="1">
        <v>23490</v>
      </c>
      <c r="H3678" s="1">
        <v>39060</v>
      </c>
      <c r="I3678" t="str">
        <f>"52"</f>
        <v>52</v>
      </c>
      <c r="J3678" t="s">
        <v>330</v>
      </c>
      <c r="K3678" t="s">
        <v>25</v>
      </c>
      <c r="L3678" t="s">
        <v>26</v>
      </c>
      <c r="M3678" t="s">
        <v>27</v>
      </c>
      <c r="N3678" s="1">
        <v>18629</v>
      </c>
      <c r="O3678">
        <v>0</v>
      </c>
      <c r="P3678">
        <v>0</v>
      </c>
      <c r="Q3678" t="s">
        <v>37</v>
      </c>
      <c r="R3678" t="s">
        <v>258</v>
      </c>
      <c r="S3678" t="s">
        <v>331</v>
      </c>
      <c r="T3678" t="s">
        <v>332</v>
      </c>
    </row>
    <row r="3679" spans="1:20" x14ac:dyDescent="0.25">
      <c r="A3679" t="s">
        <v>8767</v>
      </c>
      <c r="B3679" t="str">
        <f>"0477"</f>
        <v>0477</v>
      </c>
      <c r="C3679" t="str">
        <f>"126580477"</f>
        <v>126580477</v>
      </c>
      <c r="D3679" t="s">
        <v>8768</v>
      </c>
      <c r="E3679" t="s">
        <v>8769</v>
      </c>
      <c r="F3679" t="s">
        <v>165</v>
      </c>
      <c r="G3679" s="1">
        <v>26437</v>
      </c>
      <c r="H3679" s="1">
        <v>39055</v>
      </c>
      <c r="I3679" t="str">
        <f>"12"</f>
        <v>12</v>
      </c>
      <c r="J3679" t="s">
        <v>245</v>
      </c>
      <c r="K3679" t="s">
        <v>98</v>
      </c>
      <c r="L3679" t="s">
        <v>37</v>
      </c>
      <c r="M3679" t="s">
        <v>99</v>
      </c>
      <c r="N3679" s="1">
        <v>41617</v>
      </c>
      <c r="O3679">
        <v>14801.8</v>
      </c>
      <c r="P3679">
        <v>3700.32</v>
      </c>
      <c r="Q3679" t="s">
        <v>37</v>
      </c>
      <c r="R3679" t="s">
        <v>258</v>
      </c>
      <c r="S3679" t="s">
        <v>978</v>
      </c>
      <c r="T3679" t="s">
        <v>979</v>
      </c>
    </row>
    <row r="3680" spans="1:20" x14ac:dyDescent="0.25">
      <c r="A3680" t="s">
        <v>8770</v>
      </c>
      <c r="B3680" t="str">
        <f>"7115"</f>
        <v>7115</v>
      </c>
      <c r="C3680" t="str">
        <f>"295607115"</f>
        <v>295607115</v>
      </c>
      <c r="D3680" t="s">
        <v>8771</v>
      </c>
      <c r="E3680" t="s">
        <v>179</v>
      </c>
      <c r="F3680" t="s">
        <v>629</v>
      </c>
      <c r="G3680" s="1">
        <v>23019</v>
      </c>
      <c r="H3680" s="1">
        <v>39041</v>
      </c>
      <c r="I3680" t="str">
        <f>"52"</f>
        <v>52</v>
      </c>
      <c r="J3680" t="s">
        <v>330</v>
      </c>
      <c r="K3680" t="s">
        <v>25</v>
      </c>
      <c r="L3680" t="s">
        <v>26</v>
      </c>
      <c r="M3680" t="s">
        <v>27</v>
      </c>
      <c r="N3680" s="1">
        <v>18629</v>
      </c>
      <c r="O3680">
        <v>0</v>
      </c>
      <c r="P3680">
        <v>0</v>
      </c>
      <c r="Q3680" t="s">
        <v>28</v>
      </c>
      <c r="R3680" t="s">
        <v>258</v>
      </c>
      <c r="S3680" t="s">
        <v>1235</v>
      </c>
      <c r="T3680" t="s">
        <v>1236</v>
      </c>
    </row>
    <row r="3681" spans="1:20" x14ac:dyDescent="0.25">
      <c r="A3681" t="s">
        <v>8772</v>
      </c>
      <c r="B3681" t="str">
        <f>"1031"</f>
        <v>1031</v>
      </c>
      <c r="C3681" t="str">
        <f>"269741031"</f>
        <v>269741031</v>
      </c>
      <c r="D3681" t="s">
        <v>8773</v>
      </c>
      <c r="E3681" t="s">
        <v>197</v>
      </c>
      <c r="F3681" t="s">
        <v>26</v>
      </c>
      <c r="G3681" s="1">
        <v>24889</v>
      </c>
      <c r="H3681" s="1">
        <v>39036</v>
      </c>
      <c r="I3681" t="str">
        <f>"08"</f>
        <v>08</v>
      </c>
      <c r="J3681" t="s">
        <v>265</v>
      </c>
      <c r="K3681" t="s">
        <v>98</v>
      </c>
      <c r="L3681" t="s">
        <v>37</v>
      </c>
      <c r="M3681" t="s">
        <v>257</v>
      </c>
      <c r="N3681" s="1">
        <v>41617</v>
      </c>
      <c r="O3681">
        <v>10753.08</v>
      </c>
      <c r="P3681">
        <v>2688.4</v>
      </c>
      <c r="Q3681" t="s">
        <v>28</v>
      </c>
      <c r="R3681" t="s">
        <v>71</v>
      </c>
      <c r="S3681" t="s">
        <v>2839</v>
      </c>
      <c r="T3681" t="s">
        <v>2591</v>
      </c>
    </row>
    <row r="3682" spans="1:20" x14ac:dyDescent="0.25">
      <c r="A3682" t="s">
        <v>8774</v>
      </c>
      <c r="B3682" t="str">
        <f>"9569"</f>
        <v>9569</v>
      </c>
      <c r="C3682" t="str">
        <f>"288829569"</f>
        <v>288829569</v>
      </c>
      <c r="D3682" t="s">
        <v>1798</v>
      </c>
      <c r="E3682" t="s">
        <v>304</v>
      </c>
      <c r="G3682" s="1">
        <v>25176</v>
      </c>
      <c r="H3682" s="1">
        <v>39015</v>
      </c>
      <c r="I3682" t="str">
        <f>"20"</f>
        <v>20</v>
      </c>
      <c r="J3682" t="s">
        <v>123</v>
      </c>
      <c r="K3682" t="s">
        <v>98</v>
      </c>
      <c r="L3682" t="s">
        <v>37</v>
      </c>
      <c r="M3682" t="s">
        <v>117</v>
      </c>
      <c r="N3682" s="1">
        <v>41631</v>
      </c>
      <c r="O3682">
        <v>4951.9799999999996</v>
      </c>
      <c r="P3682">
        <v>1237.94</v>
      </c>
      <c r="Q3682" t="s">
        <v>28</v>
      </c>
      <c r="R3682" t="s">
        <v>71</v>
      </c>
      <c r="S3682" t="s">
        <v>209</v>
      </c>
      <c r="T3682" t="s">
        <v>210</v>
      </c>
    </row>
    <row r="3683" spans="1:20" x14ac:dyDescent="0.25">
      <c r="A3683" t="s">
        <v>8775</v>
      </c>
      <c r="B3683" t="str">
        <f>"7734"</f>
        <v>7734</v>
      </c>
      <c r="C3683" t="str">
        <f>"292447734"</f>
        <v>292447734</v>
      </c>
      <c r="D3683" t="s">
        <v>8776</v>
      </c>
      <c r="E3683" t="s">
        <v>1287</v>
      </c>
      <c r="F3683" t="s">
        <v>97</v>
      </c>
      <c r="G3683" s="1">
        <v>17769</v>
      </c>
      <c r="H3683" s="1">
        <v>39013</v>
      </c>
      <c r="I3683" t="str">
        <f>"30"</f>
        <v>30</v>
      </c>
      <c r="J3683" t="s">
        <v>50</v>
      </c>
      <c r="K3683" t="s">
        <v>25</v>
      </c>
      <c r="L3683" t="s">
        <v>26</v>
      </c>
      <c r="M3683" t="s">
        <v>27</v>
      </c>
      <c r="N3683" s="1">
        <v>18629</v>
      </c>
      <c r="O3683">
        <v>0</v>
      </c>
      <c r="P3683">
        <v>0</v>
      </c>
      <c r="Q3683" t="s">
        <v>37</v>
      </c>
      <c r="R3683" t="s">
        <v>29</v>
      </c>
      <c r="S3683" t="s">
        <v>8777</v>
      </c>
      <c r="T3683" t="s">
        <v>8778</v>
      </c>
    </row>
    <row r="3684" spans="1:20" x14ac:dyDescent="0.25">
      <c r="A3684" t="s">
        <v>8779</v>
      </c>
      <c r="B3684" t="str">
        <f>"5152"</f>
        <v>5152</v>
      </c>
      <c r="C3684" t="str">
        <f>"302685152"</f>
        <v>302685152</v>
      </c>
      <c r="D3684" t="s">
        <v>5641</v>
      </c>
      <c r="E3684" t="s">
        <v>381</v>
      </c>
      <c r="G3684" s="1">
        <v>22536</v>
      </c>
      <c r="H3684" s="1">
        <v>39013</v>
      </c>
      <c r="I3684" t="str">
        <f>"20"</f>
        <v>20</v>
      </c>
      <c r="J3684" t="s">
        <v>123</v>
      </c>
      <c r="K3684" t="s">
        <v>98</v>
      </c>
      <c r="L3684" t="s">
        <v>37</v>
      </c>
      <c r="M3684" t="s">
        <v>257</v>
      </c>
      <c r="N3684" s="1">
        <v>41631</v>
      </c>
      <c r="O3684">
        <v>10753.16</v>
      </c>
      <c r="P3684">
        <v>2688.4</v>
      </c>
      <c r="Q3684" t="s">
        <v>37</v>
      </c>
      <c r="R3684" t="s">
        <v>29</v>
      </c>
      <c r="S3684" t="s">
        <v>185</v>
      </c>
      <c r="T3684" t="s">
        <v>186</v>
      </c>
    </row>
    <row r="3685" spans="1:20" x14ac:dyDescent="0.25">
      <c r="A3685" t="s">
        <v>8780</v>
      </c>
      <c r="B3685" t="str">
        <f>"1915"</f>
        <v>1915</v>
      </c>
      <c r="C3685" t="str">
        <f>"272721915"</f>
        <v>272721915</v>
      </c>
      <c r="D3685" t="s">
        <v>2814</v>
      </c>
      <c r="E3685" t="s">
        <v>8781</v>
      </c>
      <c r="F3685" t="s">
        <v>629</v>
      </c>
      <c r="G3685" s="1">
        <v>24639</v>
      </c>
      <c r="H3685" s="1">
        <v>39006</v>
      </c>
      <c r="I3685" t="str">
        <f>"20"</f>
        <v>20</v>
      </c>
      <c r="J3685" t="s">
        <v>123</v>
      </c>
      <c r="K3685" t="s">
        <v>98</v>
      </c>
      <c r="L3685" t="s">
        <v>37</v>
      </c>
      <c r="M3685" t="s">
        <v>117</v>
      </c>
      <c r="N3685" s="1">
        <v>41631</v>
      </c>
      <c r="O3685">
        <v>4951.9799999999996</v>
      </c>
      <c r="P3685">
        <v>1237.94</v>
      </c>
      <c r="Q3685" t="s">
        <v>37</v>
      </c>
      <c r="R3685" t="s">
        <v>29</v>
      </c>
      <c r="S3685" t="s">
        <v>185</v>
      </c>
      <c r="T3685" t="s">
        <v>186</v>
      </c>
    </row>
    <row r="3686" spans="1:20" x14ac:dyDescent="0.25">
      <c r="A3686" t="s">
        <v>8782</v>
      </c>
      <c r="B3686" t="str">
        <f>"9494"</f>
        <v>9494</v>
      </c>
      <c r="C3686" t="str">
        <f>"294589494"</f>
        <v>294589494</v>
      </c>
      <c r="D3686" t="s">
        <v>2053</v>
      </c>
      <c r="E3686" t="s">
        <v>2519</v>
      </c>
      <c r="G3686" s="1">
        <v>20199</v>
      </c>
      <c r="H3686" s="1">
        <v>38999</v>
      </c>
      <c r="I3686" t="str">
        <f>"03"</f>
        <v>03</v>
      </c>
      <c r="J3686" t="s">
        <v>70</v>
      </c>
      <c r="K3686" t="s">
        <v>98</v>
      </c>
      <c r="L3686" t="s">
        <v>37</v>
      </c>
      <c r="M3686" t="s">
        <v>99</v>
      </c>
      <c r="N3686" s="1">
        <v>41617</v>
      </c>
      <c r="O3686">
        <v>14801.8</v>
      </c>
      <c r="P3686">
        <v>3700.32</v>
      </c>
      <c r="Q3686" t="s">
        <v>37</v>
      </c>
      <c r="R3686" t="s">
        <v>29</v>
      </c>
      <c r="S3686" t="s">
        <v>3588</v>
      </c>
      <c r="T3686" t="s">
        <v>3589</v>
      </c>
    </row>
    <row r="3687" spans="1:20" x14ac:dyDescent="0.25">
      <c r="A3687" t="s">
        <v>8783</v>
      </c>
      <c r="B3687" t="str">
        <f>"7390"</f>
        <v>7390</v>
      </c>
      <c r="C3687" t="str">
        <f>"302447390"</f>
        <v>302447390</v>
      </c>
      <c r="D3687" t="s">
        <v>2829</v>
      </c>
      <c r="E3687" t="s">
        <v>304</v>
      </c>
      <c r="F3687" t="s">
        <v>264</v>
      </c>
      <c r="G3687" s="1">
        <v>22357</v>
      </c>
      <c r="H3687" s="1">
        <v>38999</v>
      </c>
      <c r="I3687" t="str">
        <f>"41"</f>
        <v>41</v>
      </c>
      <c r="J3687" t="s">
        <v>24</v>
      </c>
      <c r="K3687" t="s">
        <v>25</v>
      </c>
      <c r="L3687" t="s">
        <v>26</v>
      </c>
      <c r="M3687" t="s">
        <v>27</v>
      </c>
      <c r="N3687" s="1">
        <v>18629</v>
      </c>
      <c r="O3687">
        <v>0</v>
      </c>
      <c r="P3687">
        <v>0</v>
      </c>
      <c r="Q3687" t="s">
        <v>28</v>
      </c>
      <c r="R3687" t="s">
        <v>29</v>
      </c>
      <c r="S3687" t="s">
        <v>3090</v>
      </c>
      <c r="T3687" t="s">
        <v>3091</v>
      </c>
    </row>
    <row r="3688" spans="1:20" x14ac:dyDescent="0.25">
      <c r="A3688" t="s">
        <v>8784</v>
      </c>
      <c r="B3688" t="str">
        <f>"1528"</f>
        <v>1528</v>
      </c>
      <c r="C3688" t="str">
        <f>"287401528"</f>
        <v>287401528</v>
      </c>
      <c r="D3688" t="s">
        <v>8785</v>
      </c>
      <c r="E3688" t="s">
        <v>304</v>
      </c>
      <c r="F3688" t="s">
        <v>97</v>
      </c>
      <c r="G3688" s="1">
        <v>16942</v>
      </c>
      <c r="H3688" s="1">
        <v>38990</v>
      </c>
      <c r="I3688" t="str">
        <f>"51"</f>
        <v>51</v>
      </c>
      <c r="J3688" t="s">
        <v>471</v>
      </c>
      <c r="K3688" t="s">
        <v>25</v>
      </c>
      <c r="L3688" t="s">
        <v>26</v>
      </c>
      <c r="M3688" t="s">
        <v>27</v>
      </c>
      <c r="N3688" s="1">
        <v>18629</v>
      </c>
      <c r="O3688">
        <v>0</v>
      </c>
      <c r="P3688">
        <v>0</v>
      </c>
      <c r="Q3688" t="s">
        <v>28</v>
      </c>
      <c r="R3688" t="s">
        <v>599</v>
      </c>
      <c r="S3688" t="s">
        <v>2458</v>
      </c>
      <c r="T3688" t="s">
        <v>2459</v>
      </c>
    </row>
    <row r="3689" spans="1:20" x14ac:dyDescent="0.25">
      <c r="A3689" t="s">
        <v>8786</v>
      </c>
      <c r="B3689" t="str">
        <f>"4673"</f>
        <v>4673</v>
      </c>
      <c r="C3689" t="str">
        <f>"274944673"</f>
        <v>274944673</v>
      </c>
      <c r="D3689" t="s">
        <v>8787</v>
      </c>
      <c r="E3689" t="s">
        <v>227</v>
      </c>
      <c r="F3689" t="s">
        <v>556</v>
      </c>
      <c r="G3689" s="1">
        <v>25440</v>
      </c>
      <c r="H3689" s="1">
        <v>38985</v>
      </c>
      <c r="I3689" t="str">
        <f>"51"</f>
        <v>51</v>
      </c>
      <c r="J3689" t="s">
        <v>471</v>
      </c>
      <c r="K3689" t="s">
        <v>25</v>
      </c>
      <c r="L3689" t="s">
        <v>26</v>
      </c>
      <c r="M3689" t="s">
        <v>27</v>
      </c>
      <c r="N3689" s="1">
        <v>18629</v>
      </c>
      <c r="O3689">
        <v>0</v>
      </c>
      <c r="P3689">
        <v>0</v>
      </c>
      <c r="Q3689" t="s">
        <v>28</v>
      </c>
      <c r="R3689" t="s">
        <v>51</v>
      </c>
      <c r="S3689" t="s">
        <v>300</v>
      </c>
      <c r="T3689" t="s">
        <v>301</v>
      </c>
    </row>
    <row r="3690" spans="1:20" x14ac:dyDescent="0.25">
      <c r="A3690" t="s">
        <v>8788</v>
      </c>
      <c r="B3690" t="str">
        <f>"1471"</f>
        <v>1471</v>
      </c>
      <c r="C3690" t="str">
        <f>"287901471"</f>
        <v>287901471</v>
      </c>
      <c r="D3690" t="s">
        <v>8789</v>
      </c>
      <c r="E3690" t="s">
        <v>2246</v>
      </c>
      <c r="F3690" t="s">
        <v>165</v>
      </c>
      <c r="G3690" s="1">
        <v>28271</v>
      </c>
      <c r="H3690" s="1">
        <v>38985</v>
      </c>
      <c r="I3690" t="str">
        <f>"51"</f>
        <v>51</v>
      </c>
      <c r="J3690" t="s">
        <v>471</v>
      </c>
      <c r="K3690" t="s">
        <v>25</v>
      </c>
      <c r="L3690" t="s">
        <v>26</v>
      </c>
      <c r="M3690" t="s">
        <v>27</v>
      </c>
      <c r="N3690" s="1">
        <v>18629</v>
      </c>
      <c r="O3690">
        <v>0</v>
      </c>
      <c r="P3690">
        <v>0</v>
      </c>
      <c r="Q3690" t="s">
        <v>37</v>
      </c>
      <c r="R3690" t="s">
        <v>51</v>
      </c>
      <c r="S3690" s="2" t="s">
        <v>362</v>
      </c>
      <c r="T3690" t="s">
        <v>363</v>
      </c>
    </row>
    <row r="3691" spans="1:20" x14ac:dyDescent="0.25">
      <c r="A3691" t="s">
        <v>8790</v>
      </c>
      <c r="B3691" t="str">
        <f>"6229"</f>
        <v>6229</v>
      </c>
      <c r="C3691" t="str">
        <f>"269486229"</f>
        <v>269486229</v>
      </c>
      <c r="D3691" t="s">
        <v>8791</v>
      </c>
      <c r="E3691" t="s">
        <v>6565</v>
      </c>
      <c r="F3691" t="s">
        <v>1104</v>
      </c>
      <c r="G3691" s="1">
        <v>22641</v>
      </c>
      <c r="H3691" s="1">
        <v>38985</v>
      </c>
      <c r="I3691" t="str">
        <f>"01"</f>
        <v>01</v>
      </c>
      <c r="J3691" t="s">
        <v>116</v>
      </c>
      <c r="K3691" t="s">
        <v>98</v>
      </c>
      <c r="L3691" t="s">
        <v>37</v>
      </c>
      <c r="M3691" t="s">
        <v>117</v>
      </c>
      <c r="N3691" s="1">
        <v>41617</v>
      </c>
      <c r="O3691">
        <v>4951.96</v>
      </c>
      <c r="P3691">
        <v>1237.8599999999999</v>
      </c>
      <c r="Q3691" t="s">
        <v>28</v>
      </c>
      <c r="R3691" t="s">
        <v>110</v>
      </c>
      <c r="S3691" t="s">
        <v>929</v>
      </c>
      <c r="T3691" t="s">
        <v>930</v>
      </c>
    </row>
    <row r="3692" spans="1:20" x14ac:dyDescent="0.25">
      <c r="A3692" t="s">
        <v>8792</v>
      </c>
      <c r="B3692" t="str">
        <f>"1682"</f>
        <v>1682</v>
      </c>
      <c r="C3692" t="str">
        <f>"285381682"</f>
        <v>285381682</v>
      </c>
      <c r="D3692" t="s">
        <v>8793</v>
      </c>
      <c r="E3692" t="s">
        <v>8794</v>
      </c>
      <c r="F3692" t="s">
        <v>44</v>
      </c>
      <c r="G3692" s="1">
        <v>16132</v>
      </c>
      <c r="H3692" s="1">
        <v>38972</v>
      </c>
      <c r="I3692" t="str">
        <f>"41"</f>
        <v>41</v>
      </c>
      <c r="J3692" t="s">
        <v>24</v>
      </c>
      <c r="K3692" t="s">
        <v>25</v>
      </c>
      <c r="L3692" t="s">
        <v>26</v>
      </c>
      <c r="M3692" t="s">
        <v>27</v>
      </c>
      <c r="N3692" s="1">
        <v>18629</v>
      </c>
      <c r="O3692">
        <v>0</v>
      </c>
      <c r="P3692">
        <v>0</v>
      </c>
      <c r="Q3692" t="s">
        <v>37</v>
      </c>
      <c r="R3692" t="s">
        <v>29</v>
      </c>
      <c r="S3692" t="s">
        <v>138</v>
      </c>
      <c r="T3692" t="s">
        <v>139</v>
      </c>
    </row>
    <row r="3693" spans="1:20" x14ac:dyDescent="0.25">
      <c r="A3693" t="s">
        <v>8795</v>
      </c>
      <c r="B3693" t="str">
        <f>"5347"</f>
        <v>5347</v>
      </c>
      <c r="C3693" t="str">
        <f>"275925347"</f>
        <v>275925347</v>
      </c>
      <c r="D3693" t="s">
        <v>6061</v>
      </c>
      <c r="E3693" t="s">
        <v>8796</v>
      </c>
      <c r="F3693" t="s">
        <v>97</v>
      </c>
      <c r="G3693" s="1">
        <v>27522</v>
      </c>
      <c r="H3693" s="1">
        <v>38971</v>
      </c>
      <c r="I3693" t="str">
        <f>"51"</f>
        <v>51</v>
      </c>
      <c r="J3693" t="s">
        <v>471</v>
      </c>
      <c r="K3693" t="s">
        <v>25</v>
      </c>
      <c r="L3693" t="s">
        <v>26</v>
      </c>
      <c r="M3693" t="s">
        <v>27</v>
      </c>
      <c r="N3693" s="1">
        <v>18629</v>
      </c>
      <c r="O3693">
        <v>0</v>
      </c>
      <c r="P3693">
        <v>0</v>
      </c>
      <c r="Q3693" t="s">
        <v>37</v>
      </c>
      <c r="R3693" t="s">
        <v>346</v>
      </c>
      <c r="S3693" t="s">
        <v>157</v>
      </c>
      <c r="T3693" t="s">
        <v>158</v>
      </c>
    </row>
    <row r="3694" spans="1:20" x14ac:dyDescent="0.25">
      <c r="A3694" t="s">
        <v>8797</v>
      </c>
      <c r="B3694" t="str">
        <f>"9120"</f>
        <v>9120</v>
      </c>
      <c r="C3694" t="str">
        <f>"286889120"</f>
        <v>286889120</v>
      </c>
      <c r="D3694" t="s">
        <v>8798</v>
      </c>
      <c r="E3694" t="s">
        <v>48</v>
      </c>
      <c r="F3694" t="s">
        <v>44</v>
      </c>
      <c r="G3694" s="1">
        <v>28257</v>
      </c>
      <c r="H3694" s="1">
        <v>38971</v>
      </c>
      <c r="I3694" t="str">
        <f>"51"</f>
        <v>51</v>
      </c>
      <c r="J3694" t="s">
        <v>471</v>
      </c>
      <c r="K3694" t="s">
        <v>25</v>
      </c>
      <c r="L3694" t="s">
        <v>26</v>
      </c>
      <c r="M3694" t="s">
        <v>27</v>
      </c>
      <c r="N3694" s="1">
        <v>18629</v>
      </c>
      <c r="O3694">
        <v>0</v>
      </c>
      <c r="P3694">
        <v>0</v>
      </c>
      <c r="Q3694" t="s">
        <v>37</v>
      </c>
      <c r="R3694" t="s">
        <v>71</v>
      </c>
      <c r="S3694" t="s">
        <v>5125</v>
      </c>
      <c r="T3694" t="s">
        <v>5126</v>
      </c>
    </row>
    <row r="3695" spans="1:20" x14ac:dyDescent="0.25">
      <c r="A3695" t="s">
        <v>8799</v>
      </c>
      <c r="B3695" t="str">
        <f>"1992"</f>
        <v>1992</v>
      </c>
      <c r="C3695" t="str">
        <f>"593601992"</f>
        <v>593601992</v>
      </c>
      <c r="D3695" t="s">
        <v>8800</v>
      </c>
      <c r="E3695" t="s">
        <v>2438</v>
      </c>
      <c r="F3695" t="s">
        <v>8801</v>
      </c>
      <c r="G3695" s="1">
        <v>29936</v>
      </c>
      <c r="H3695" s="1">
        <v>38971</v>
      </c>
      <c r="I3695" t="str">
        <f>"33"</f>
        <v>33</v>
      </c>
      <c r="J3695" t="s">
        <v>45</v>
      </c>
      <c r="K3695" t="s">
        <v>25</v>
      </c>
      <c r="L3695" t="s">
        <v>26</v>
      </c>
      <c r="M3695" t="s">
        <v>27</v>
      </c>
      <c r="N3695" s="1">
        <v>18629</v>
      </c>
      <c r="O3695">
        <v>0</v>
      </c>
      <c r="P3695">
        <v>0</v>
      </c>
      <c r="Q3695" t="s">
        <v>28</v>
      </c>
      <c r="R3695" t="s">
        <v>29</v>
      </c>
      <c r="S3695" t="s">
        <v>594</v>
      </c>
      <c r="T3695" t="s">
        <v>595</v>
      </c>
    </row>
    <row r="3696" spans="1:20" x14ac:dyDescent="0.25">
      <c r="A3696" t="s">
        <v>8802</v>
      </c>
      <c r="B3696" t="str">
        <f>"0663"</f>
        <v>0663</v>
      </c>
      <c r="C3696" t="str">
        <f>"268820663"</f>
        <v>268820663</v>
      </c>
      <c r="D3696" t="s">
        <v>8803</v>
      </c>
      <c r="E3696" t="s">
        <v>518</v>
      </c>
      <c r="F3696" t="s">
        <v>44</v>
      </c>
      <c r="G3696" s="1">
        <v>26005</v>
      </c>
      <c r="H3696" s="1">
        <v>38971</v>
      </c>
      <c r="I3696" t="str">
        <f>"52"</f>
        <v>52</v>
      </c>
      <c r="J3696" t="s">
        <v>330</v>
      </c>
      <c r="K3696" t="s">
        <v>25</v>
      </c>
      <c r="L3696" t="s">
        <v>26</v>
      </c>
      <c r="M3696" t="s">
        <v>27</v>
      </c>
      <c r="N3696" s="1">
        <v>18629</v>
      </c>
      <c r="O3696">
        <v>0</v>
      </c>
      <c r="P3696">
        <v>0</v>
      </c>
      <c r="Q3696" t="s">
        <v>37</v>
      </c>
      <c r="R3696" t="s">
        <v>29</v>
      </c>
      <c r="S3696" t="s">
        <v>402</v>
      </c>
      <c r="T3696" t="s">
        <v>403</v>
      </c>
    </row>
    <row r="3697" spans="1:20" x14ac:dyDescent="0.25">
      <c r="A3697" t="s">
        <v>8804</v>
      </c>
      <c r="B3697" t="str">
        <f>"6209"</f>
        <v>6209</v>
      </c>
      <c r="C3697" t="str">
        <f>"228626209"</f>
        <v>228626209</v>
      </c>
      <c r="D3697" t="s">
        <v>8805</v>
      </c>
      <c r="E3697" t="s">
        <v>1695</v>
      </c>
      <c r="G3697" s="1">
        <v>16482</v>
      </c>
      <c r="H3697" s="1">
        <v>38971</v>
      </c>
      <c r="I3697" t="str">
        <f>"33"</f>
        <v>33</v>
      </c>
      <c r="J3697" t="s">
        <v>45</v>
      </c>
      <c r="K3697" t="s">
        <v>25</v>
      </c>
      <c r="L3697" t="s">
        <v>26</v>
      </c>
      <c r="M3697" t="s">
        <v>27</v>
      </c>
      <c r="N3697" s="1">
        <v>18629</v>
      </c>
      <c r="O3697">
        <v>0</v>
      </c>
      <c r="P3697">
        <v>0</v>
      </c>
      <c r="Q3697" t="s">
        <v>37</v>
      </c>
      <c r="R3697" t="s">
        <v>51</v>
      </c>
      <c r="S3697" t="s">
        <v>795</v>
      </c>
      <c r="T3697" t="s">
        <v>796</v>
      </c>
    </row>
    <row r="3698" spans="1:20" x14ac:dyDescent="0.25">
      <c r="A3698" t="s">
        <v>8806</v>
      </c>
      <c r="B3698" t="str">
        <f>"7973"</f>
        <v>7973</v>
      </c>
      <c r="C3698" t="str">
        <f>"191307973"</f>
        <v>191307973</v>
      </c>
      <c r="D3698" t="s">
        <v>890</v>
      </c>
      <c r="E3698" t="s">
        <v>430</v>
      </c>
      <c r="F3698" t="s">
        <v>219</v>
      </c>
      <c r="G3698" s="1">
        <v>14487</v>
      </c>
      <c r="H3698" s="1">
        <v>38971</v>
      </c>
      <c r="I3698" t="str">
        <f>"51"</f>
        <v>51</v>
      </c>
      <c r="J3698" t="s">
        <v>471</v>
      </c>
      <c r="K3698" t="s">
        <v>25</v>
      </c>
      <c r="L3698" t="s">
        <v>26</v>
      </c>
      <c r="M3698" t="s">
        <v>27</v>
      </c>
      <c r="N3698" s="1">
        <v>18629</v>
      </c>
      <c r="O3698">
        <v>0</v>
      </c>
      <c r="P3698">
        <v>0</v>
      </c>
      <c r="Q3698" t="s">
        <v>28</v>
      </c>
      <c r="R3698" t="s">
        <v>71</v>
      </c>
      <c r="S3698" t="s">
        <v>2825</v>
      </c>
      <c r="T3698" t="s">
        <v>2826</v>
      </c>
    </row>
    <row r="3699" spans="1:20" x14ac:dyDescent="0.25">
      <c r="A3699" t="s">
        <v>8807</v>
      </c>
      <c r="B3699" t="str">
        <f>"2659"</f>
        <v>2659</v>
      </c>
      <c r="C3699" t="str">
        <f>"524682659"</f>
        <v>524682659</v>
      </c>
      <c r="D3699" t="s">
        <v>3825</v>
      </c>
      <c r="E3699" t="s">
        <v>933</v>
      </c>
      <c r="F3699" t="s">
        <v>282</v>
      </c>
      <c r="G3699" s="1">
        <v>22787</v>
      </c>
      <c r="H3699" s="1">
        <v>38968</v>
      </c>
      <c r="I3699" t="str">
        <f>"51"</f>
        <v>51</v>
      </c>
      <c r="J3699" t="s">
        <v>471</v>
      </c>
      <c r="K3699" t="s">
        <v>25</v>
      </c>
      <c r="L3699" t="s">
        <v>26</v>
      </c>
      <c r="M3699" t="s">
        <v>27</v>
      </c>
      <c r="N3699" s="1">
        <v>18629</v>
      </c>
      <c r="O3699">
        <v>0</v>
      </c>
      <c r="P3699">
        <v>0</v>
      </c>
      <c r="Q3699" t="s">
        <v>28</v>
      </c>
      <c r="R3699" t="s">
        <v>51</v>
      </c>
      <c r="S3699" s="2" t="s">
        <v>2451</v>
      </c>
      <c r="T3699" t="s">
        <v>2452</v>
      </c>
    </row>
    <row r="3700" spans="1:20" x14ac:dyDescent="0.25">
      <c r="A3700" t="s">
        <v>8808</v>
      </c>
      <c r="B3700" t="str">
        <f>"6835"</f>
        <v>6835</v>
      </c>
      <c r="C3700" t="str">
        <f>"273526835"</f>
        <v>273526835</v>
      </c>
      <c r="D3700" t="s">
        <v>8809</v>
      </c>
      <c r="E3700" t="s">
        <v>3160</v>
      </c>
      <c r="F3700" t="s">
        <v>44</v>
      </c>
      <c r="G3700" s="1">
        <v>19849</v>
      </c>
      <c r="H3700" s="1">
        <v>38966</v>
      </c>
      <c r="I3700" t="str">
        <f>"33"</f>
        <v>33</v>
      </c>
      <c r="J3700" t="s">
        <v>45</v>
      </c>
      <c r="K3700" t="s">
        <v>25</v>
      </c>
      <c r="L3700" t="s">
        <v>26</v>
      </c>
      <c r="M3700" t="s">
        <v>27</v>
      </c>
      <c r="N3700" s="1">
        <v>18629</v>
      </c>
      <c r="O3700">
        <v>0</v>
      </c>
      <c r="P3700">
        <v>0</v>
      </c>
      <c r="Q3700" t="s">
        <v>28</v>
      </c>
      <c r="R3700" t="s">
        <v>51</v>
      </c>
      <c r="S3700" t="s">
        <v>795</v>
      </c>
      <c r="T3700" t="s">
        <v>796</v>
      </c>
    </row>
    <row r="3701" spans="1:20" x14ac:dyDescent="0.25">
      <c r="A3701" t="s">
        <v>8810</v>
      </c>
      <c r="B3701" t="str">
        <f>"7067"</f>
        <v>7067</v>
      </c>
      <c r="C3701" t="str">
        <f>"300587067"</f>
        <v>300587067</v>
      </c>
      <c r="D3701" t="s">
        <v>866</v>
      </c>
      <c r="E3701" t="s">
        <v>1074</v>
      </c>
      <c r="F3701" t="s">
        <v>219</v>
      </c>
      <c r="G3701" s="1">
        <v>24629</v>
      </c>
      <c r="H3701" s="1">
        <v>38966</v>
      </c>
      <c r="I3701" t="str">
        <f>"20"</f>
        <v>20</v>
      </c>
      <c r="J3701" t="s">
        <v>123</v>
      </c>
      <c r="K3701" t="s">
        <v>98</v>
      </c>
      <c r="L3701" t="s">
        <v>37</v>
      </c>
      <c r="M3701" t="s">
        <v>99</v>
      </c>
      <c r="N3701" s="1">
        <v>41631</v>
      </c>
      <c r="O3701">
        <v>14801.82</v>
      </c>
      <c r="P3701">
        <v>3700.4</v>
      </c>
      <c r="Q3701" t="s">
        <v>37</v>
      </c>
      <c r="R3701" t="s">
        <v>29</v>
      </c>
      <c r="S3701" t="s">
        <v>240</v>
      </c>
      <c r="T3701" t="s">
        <v>241</v>
      </c>
    </row>
    <row r="3702" spans="1:20" x14ac:dyDescent="0.25">
      <c r="A3702" t="s">
        <v>8811</v>
      </c>
      <c r="B3702" t="str">
        <f>"6721"</f>
        <v>6721</v>
      </c>
      <c r="C3702" t="str">
        <f>"290066721"</f>
        <v>290066721</v>
      </c>
      <c r="D3702" t="s">
        <v>8812</v>
      </c>
      <c r="E3702" t="s">
        <v>8813</v>
      </c>
      <c r="G3702" s="1">
        <v>27539</v>
      </c>
      <c r="H3702" s="1">
        <v>38965</v>
      </c>
      <c r="I3702" t="str">
        <f>"03"</f>
        <v>03</v>
      </c>
      <c r="J3702" t="s">
        <v>70</v>
      </c>
      <c r="K3702" t="s">
        <v>510</v>
      </c>
      <c r="L3702" t="s">
        <v>37</v>
      </c>
      <c r="M3702" t="s">
        <v>99</v>
      </c>
      <c r="N3702" s="1">
        <v>41617</v>
      </c>
      <c r="O3702">
        <v>19521.84</v>
      </c>
      <c r="P3702">
        <v>4880.46</v>
      </c>
      <c r="Q3702" t="s">
        <v>37</v>
      </c>
      <c r="R3702" t="s">
        <v>51</v>
      </c>
      <c r="S3702" t="s">
        <v>4000</v>
      </c>
      <c r="T3702" t="s">
        <v>4001</v>
      </c>
    </row>
    <row r="3703" spans="1:20" x14ac:dyDescent="0.25">
      <c r="A3703" t="s">
        <v>8814</v>
      </c>
      <c r="B3703" t="str">
        <f>"4021"</f>
        <v>4021</v>
      </c>
      <c r="C3703" t="str">
        <f>"299624021"</f>
        <v>299624021</v>
      </c>
      <c r="D3703" t="s">
        <v>8815</v>
      </c>
      <c r="E3703" t="s">
        <v>1934</v>
      </c>
      <c r="F3703" t="s">
        <v>28</v>
      </c>
      <c r="G3703" s="1">
        <v>24009</v>
      </c>
      <c r="H3703" s="1">
        <v>38965</v>
      </c>
      <c r="I3703" t="str">
        <f>"30"</f>
        <v>30</v>
      </c>
      <c r="J3703" t="s">
        <v>50</v>
      </c>
      <c r="K3703" t="s">
        <v>25</v>
      </c>
      <c r="L3703" t="s">
        <v>26</v>
      </c>
      <c r="M3703" t="s">
        <v>27</v>
      </c>
      <c r="N3703" s="1">
        <v>18629</v>
      </c>
      <c r="O3703">
        <v>0</v>
      </c>
      <c r="P3703">
        <v>0</v>
      </c>
      <c r="Q3703" t="s">
        <v>37</v>
      </c>
      <c r="R3703" t="s">
        <v>71</v>
      </c>
      <c r="S3703" t="s">
        <v>373</v>
      </c>
      <c r="T3703" t="s">
        <v>374</v>
      </c>
    </row>
    <row r="3704" spans="1:20" x14ac:dyDescent="0.25">
      <c r="A3704" t="s">
        <v>8816</v>
      </c>
      <c r="B3704" t="str">
        <f>"0009"</f>
        <v>0009</v>
      </c>
      <c r="C3704" t="str">
        <f>"271860009"</f>
        <v>271860009</v>
      </c>
      <c r="D3704" t="s">
        <v>1383</v>
      </c>
      <c r="E3704" t="s">
        <v>323</v>
      </c>
      <c r="F3704" t="s">
        <v>44</v>
      </c>
      <c r="G3704" s="1">
        <v>29691</v>
      </c>
      <c r="H3704" s="1">
        <v>38957</v>
      </c>
      <c r="I3704" t="str">
        <f>"51"</f>
        <v>51</v>
      </c>
      <c r="J3704" t="s">
        <v>471</v>
      </c>
      <c r="K3704" t="s">
        <v>25</v>
      </c>
      <c r="L3704" t="s">
        <v>26</v>
      </c>
      <c r="M3704" t="s">
        <v>27</v>
      </c>
      <c r="N3704" s="1">
        <v>18629</v>
      </c>
      <c r="O3704">
        <v>0</v>
      </c>
      <c r="P3704">
        <v>0</v>
      </c>
      <c r="Q3704" t="s">
        <v>37</v>
      </c>
      <c r="R3704" t="s">
        <v>71</v>
      </c>
      <c r="S3704" t="s">
        <v>138</v>
      </c>
      <c r="T3704" t="s">
        <v>139</v>
      </c>
    </row>
    <row r="3705" spans="1:20" x14ac:dyDescent="0.25">
      <c r="A3705" t="s">
        <v>8817</v>
      </c>
      <c r="B3705" t="str">
        <f>"9908"</f>
        <v>9908</v>
      </c>
      <c r="C3705" t="str">
        <f>"294589908"</f>
        <v>294589908</v>
      </c>
      <c r="D3705" t="s">
        <v>8818</v>
      </c>
      <c r="E3705" t="s">
        <v>463</v>
      </c>
      <c r="G3705" s="1">
        <v>20693</v>
      </c>
      <c r="H3705" s="1">
        <v>38957</v>
      </c>
      <c r="I3705" t="str">
        <f>"01"</f>
        <v>01</v>
      </c>
      <c r="J3705" t="s">
        <v>116</v>
      </c>
      <c r="K3705" t="s">
        <v>98</v>
      </c>
      <c r="L3705" t="s">
        <v>37</v>
      </c>
      <c r="M3705" t="s">
        <v>257</v>
      </c>
      <c r="N3705" s="1">
        <v>41617</v>
      </c>
      <c r="O3705">
        <v>10753.08</v>
      </c>
      <c r="P3705">
        <v>2688.4</v>
      </c>
      <c r="Q3705" t="s">
        <v>28</v>
      </c>
      <c r="R3705" t="s">
        <v>29</v>
      </c>
      <c r="S3705" t="s">
        <v>419</v>
      </c>
      <c r="T3705" t="s">
        <v>420</v>
      </c>
    </row>
    <row r="3706" spans="1:20" x14ac:dyDescent="0.25">
      <c r="A3706" t="s">
        <v>8819</v>
      </c>
      <c r="B3706" t="str">
        <f>"9630"</f>
        <v>9630</v>
      </c>
      <c r="C3706" t="str">
        <f>"268709630"</f>
        <v>268709630</v>
      </c>
      <c r="D3706" t="s">
        <v>8820</v>
      </c>
      <c r="E3706" t="s">
        <v>35</v>
      </c>
      <c r="G3706" s="1">
        <v>26114</v>
      </c>
      <c r="H3706" s="1">
        <v>38957</v>
      </c>
      <c r="I3706" t="str">
        <f>"51"</f>
        <v>51</v>
      </c>
      <c r="J3706" t="s">
        <v>471</v>
      </c>
      <c r="K3706" t="s">
        <v>25</v>
      </c>
      <c r="L3706" t="s">
        <v>26</v>
      </c>
      <c r="M3706" t="s">
        <v>27</v>
      </c>
      <c r="N3706" s="1">
        <v>18629</v>
      </c>
      <c r="O3706">
        <v>0</v>
      </c>
      <c r="P3706">
        <v>0</v>
      </c>
      <c r="Q3706" t="s">
        <v>28</v>
      </c>
      <c r="R3706" t="s">
        <v>71</v>
      </c>
      <c r="S3706" t="s">
        <v>790</v>
      </c>
      <c r="T3706" t="s">
        <v>791</v>
      </c>
    </row>
    <row r="3707" spans="1:20" x14ac:dyDescent="0.25">
      <c r="A3707" t="s">
        <v>8821</v>
      </c>
      <c r="B3707" t="str">
        <f>"7933"</f>
        <v>7933</v>
      </c>
      <c r="C3707" t="str">
        <f>"276607933"</f>
        <v>276607933</v>
      </c>
      <c r="D3707" t="s">
        <v>8312</v>
      </c>
      <c r="E3707" t="s">
        <v>682</v>
      </c>
      <c r="F3707" t="s">
        <v>44</v>
      </c>
      <c r="G3707" s="1">
        <v>20942</v>
      </c>
      <c r="H3707" s="1">
        <v>38957</v>
      </c>
      <c r="I3707" t="str">
        <f>"51"</f>
        <v>51</v>
      </c>
      <c r="J3707" t="s">
        <v>471</v>
      </c>
      <c r="K3707" t="s">
        <v>25</v>
      </c>
      <c r="L3707" t="s">
        <v>26</v>
      </c>
      <c r="M3707" t="s">
        <v>27</v>
      </c>
      <c r="N3707" s="1">
        <v>18629</v>
      </c>
      <c r="O3707">
        <v>0</v>
      </c>
      <c r="P3707">
        <v>0</v>
      </c>
      <c r="Q3707" t="s">
        <v>37</v>
      </c>
      <c r="R3707" t="s">
        <v>29</v>
      </c>
      <c r="S3707" t="s">
        <v>2736</v>
      </c>
      <c r="T3707" t="s">
        <v>2737</v>
      </c>
    </row>
    <row r="3708" spans="1:20" x14ac:dyDescent="0.25">
      <c r="A3708" t="s">
        <v>8822</v>
      </c>
      <c r="B3708" t="str">
        <f>"4511"</f>
        <v>4511</v>
      </c>
      <c r="C3708" t="str">
        <f>"049604511"</f>
        <v>049604511</v>
      </c>
      <c r="D3708" t="s">
        <v>7309</v>
      </c>
      <c r="E3708" t="s">
        <v>2177</v>
      </c>
      <c r="G3708" s="1">
        <v>25149</v>
      </c>
      <c r="H3708" s="1">
        <v>38957</v>
      </c>
      <c r="I3708" t="str">
        <f>"51"</f>
        <v>51</v>
      </c>
      <c r="J3708" t="s">
        <v>471</v>
      </c>
      <c r="K3708" t="s">
        <v>25</v>
      </c>
      <c r="L3708" t="s">
        <v>26</v>
      </c>
      <c r="M3708" t="s">
        <v>27</v>
      </c>
      <c r="N3708" s="1">
        <v>18629</v>
      </c>
      <c r="O3708">
        <v>0</v>
      </c>
      <c r="P3708">
        <v>0</v>
      </c>
      <c r="Q3708" t="s">
        <v>37</v>
      </c>
      <c r="R3708" t="s">
        <v>51</v>
      </c>
      <c r="S3708" s="2" t="s">
        <v>8823</v>
      </c>
      <c r="T3708" t="s">
        <v>8824</v>
      </c>
    </row>
    <row r="3709" spans="1:20" x14ac:dyDescent="0.25">
      <c r="A3709" t="s">
        <v>8825</v>
      </c>
      <c r="B3709" t="str">
        <f>"7206"</f>
        <v>7206</v>
      </c>
      <c r="C3709" t="str">
        <f>"287487206"</f>
        <v>287487206</v>
      </c>
      <c r="D3709" t="s">
        <v>8826</v>
      </c>
      <c r="E3709" t="s">
        <v>2390</v>
      </c>
      <c r="F3709" t="s">
        <v>28</v>
      </c>
      <c r="G3709" s="1">
        <v>24014</v>
      </c>
      <c r="H3709" s="1">
        <v>38957</v>
      </c>
      <c r="I3709" t="str">
        <f>"51"</f>
        <v>51</v>
      </c>
      <c r="J3709" t="s">
        <v>471</v>
      </c>
      <c r="K3709" t="s">
        <v>25</v>
      </c>
      <c r="L3709" t="s">
        <v>26</v>
      </c>
      <c r="M3709" t="s">
        <v>27</v>
      </c>
      <c r="N3709" s="1">
        <v>18629</v>
      </c>
      <c r="O3709">
        <v>0</v>
      </c>
      <c r="P3709">
        <v>0</v>
      </c>
      <c r="Q3709" t="s">
        <v>37</v>
      </c>
      <c r="R3709" t="s">
        <v>71</v>
      </c>
      <c r="S3709" t="s">
        <v>3588</v>
      </c>
      <c r="T3709" t="s">
        <v>3589</v>
      </c>
    </row>
    <row r="3710" spans="1:20" x14ac:dyDescent="0.25">
      <c r="A3710" t="s">
        <v>8827</v>
      </c>
      <c r="B3710" t="str">
        <f>"5050"</f>
        <v>5050</v>
      </c>
      <c r="C3710" t="str">
        <f>"283445050"</f>
        <v>283445050</v>
      </c>
      <c r="D3710" t="s">
        <v>8828</v>
      </c>
      <c r="E3710" t="s">
        <v>2786</v>
      </c>
      <c r="F3710" t="s">
        <v>28</v>
      </c>
      <c r="G3710" s="1">
        <v>18127</v>
      </c>
      <c r="H3710" s="1">
        <v>38957</v>
      </c>
      <c r="I3710" t="str">
        <f>"41"</f>
        <v>41</v>
      </c>
      <c r="J3710" t="s">
        <v>24</v>
      </c>
      <c r="K3710" t="s">
        <v>25</v>
      </c>
      <c r="L3710" t="s">
        <v>26</v>
      </c>
      <c r="M3710" t="s">
        <v>27</v>
      </c>
      <c r="N3710" s="1">
        <v>18629</v>
      </c>
      <c r="O3710">
        <v>0</v>
      </c>
      <c r="P3710">
        <v>0</v>
      </c>
      <c r="Q3710" t="s">
        <v>37</v>
      </c>
      <c r="R3710" t="s">
        <v>29</v>
      </c>
      <c r="S3710" t="s">
        <v>138</v>
      </c>
      <c r="T3710" t="s">
        <v>139</v>
      </c>
    </row>
    <row r="3711" spans="1:20" x14ac:dyDescent="0.25">
      <c r="A3711" t="s">
        <v>8829</v>
      </c>
      <c r="B3711" t="str">
        <f>"3595"</f>
        <v>3595</v>
      </c>
      <c r="C3711" t="str">
        <f>"309583595"</f>
        <v>309583595</v>
      </c>
      <c r="D3711" t="s">
        <v>8830</v>
      </c>
      <c r="E3711" t="s">
        <v>122</v>
      </c>
      <c r="F3711" t="s">
        <v>28</v>
      </c>
      <c r="G3711" s="1">
        <v>14661</v>
      </c>
      <c r="H3711" s="1">
        <v>38957</v>
      </c>
      <c r="I3711" t="str">
        <f>"51"</f>
        <v>51</v>
      </c>
      <c r="J3711" t="s">
        <v>471</v>
      </c>
      <c r="K3711" t="s">
        <v>25</v>
      </c>
      <c r="L3711" t="s">
        <v>26</v>
      </c>
      <c r="M3711" t="s">
        <v>27</v>
      </c>
      <c r="N3711" s="1">
        <v>18629</v>
      </c>
      <c r="O3711">
        <v>0</v>
      </c>
      <c r="P3711">
        <v>0</v>
      </c>
      <c r="Q3711" t="s">
        <v>28</v>
      </c>
      <c r="R3711" t="s">
        <v>51</v>
      </c>
      <c r="S3711" s="2" t="s">
        <v>2333</v>
      </c>
      <c r="T3711" t="s">
        <v>2334</v>
      </c>
    </row>
    <row r="3712" spans="1:20" x14ac:dyDescent="0.25">
      <c r="A3712" t="s">
        <v>8831</v>
      </c>
      <c r="B3712" t="str">
        <f>"6704"</f>
        <v>6704</v>
      </c>
      <c r="C3712" t="str">
        <f>"271766704"</f>
        <v>271766704</v>
      </c>
      <c r="D3712" t="s">
        <v>8079</v>
      </c>
      <c r="E3712" t="s">
        <v>1350</v>
      </c>
      <c r="F3712" t="s">
        <v>28</v>
      </c>
      <c r="G3712" s="1">
        <v>23784</v>
      </c>
      <c r="H3712" s="1">
        <v>38957</v>
      </c>
      <c r="I3712" t="str">
        <f>"41"</f>
        <v>41</v>
      </c>
      <c r="J3712" t="s">
        <v>24</v>
      </c>
      <c r="K3712" t="s">
        <v>25</v>
      </c>
      <c r="L3712" t="s">
        <v>26</v>
      </c>
      <c r="M3712" t="s">
        <v>27</v>
      </c>
      <c r="N3712" s="1">
        <v>18629</v>
      </c>
      <c r="O3712">
        <v>0</v>
      </c>
      <c r="P3712">
        <v>0</v>
      </c>
      <c r="Q3712" t="s">
        <v>37</v>
      </c>
      <c r="R3712" t="s">
        <v>29</v>
      </c>
      <c r="S3712" t="s">
        <v>138</v>
      </c>
      <c r="T3712" t="s">
        <v>139</v>
      </c>
    </row>
    <row r="3713" spans="1:20" x14ac:dyDescent="0.25">
      <c r="A3713" t="s">
        <v>8832</v>
      </c>
      <c r="B3713" t="str">
        <f>"5847"</f>
        <v>5847</v>
      </c>
      <c r="C3713" t="str">
        <f>"281705847"</f>
        <v>281705847</v>
      </c>
      <c r="D3713" t="s">
        <v>7329</v>
      </c>
      <c r="E3713" t="s">
        <v>2246</v>
      </c>
      <c r="F3713" t="s">
        <v>93</v>
      </c>
      <c r="G3713" s="1">
        <v>24067</v>
      </c>
      <c r="H3713" s="1">
        <v>38957</v>
      </c>
      <c r="I3713" t="str">
        <f t="shared" ref="I3713:I3718" si="82">"51"</f>
        <v>51</v>
      </c>
      <c r="J3713" t="s">
        <v>471</v>
      </c>
      <c r="K3713" t="s">
        <v>25</v>
      </c>
      <c r="L3713" t="s">
        <v>26</v>
      </c>
      <c r="M3713" t="s">
        <v>27</v>
      </c>
      <c r="N3713" s="1">
        <v>18629</v>
      </c>
      <c r="O3713">
        <v>0</v>
      </c>
      <c r="P3713">
        <v>0</v>
      </c>
      <c r="Q3713" t="s">
        <v>37</v>
      </c>
      <c r="R3713" t="s">
        <v>51</v>
      </c>
      <c r="S3713" s="2" t="s">
        <v>1538</v>
      </c>
      <c r="T3713" t="s">
        <v>1539</v>
      </c>
    </row>
    <row r="3714" spans="1:20" x14ac:dyDescent="0.25">
      <c r="A3714" t="s">
        <v>8833</v>
      </c>
      <c r="B3714" t="str">
        <f>"9544"</f>
        <v>9544</v>
      </c>
      <c r="C3714" t="str">
        <f>"141669544"</f>
        <v>141669544</v>
      </c>
      <c r="D3714" t="s">
        <v>8834</v>
      </c>
      <c r="E3714" t="s">
        <v>2438</v>
      </c>
      <c r="F3714" t="s">
        <v>414</v>
      </c>
      <c r="G3714" s="1">
        <v>21570</v>
      </c>
      <c r="H3714" s="1">
        <v>38957</v>
      </c>
      <c r="I3714" t="str">
        <f t="shared" si="82"/>
        <v>51</v>
      </c>
      <c r="J3714" t="s">
        <v>471</v>
      </c>
      <c r="K3714" t="s">
        <v>25</v>
      </c>
      <c r="L3714" t="s">
        <v>26</v>
      </c>
      <c r="M3714" t="s">
        <v>27</v>
      </c>
      <c r="N3714" s="1">
        <v>18629</v>
      </c>
      <c r="O3714">
        <v>0</v>
      </c>
      <c r="P3714">
        <v>0</v>
      </c>
      <c r="Q3714" t="s">
        <v>28</v>
      </c>
      <c r="R3714" t="s">
        <v>71</v>
      </c>
      <c r="S3714" t="s">
        <v>3191</v>
      </c>
      <c r="T3714" t="s">
        <v>3192</v>
      </c>
    </row>
    <row r="3715" spans="1:20" x14ac:dyDescent="0.25">
      <c r="A3715" t="s">
        <v>8835</v>
      </c>
      <c r="B3715" t="str">
        <f>"9631"</f>
        <v>9631</v>
      </c>
      <c r="C3715" t="str">
        <f>"283569631"</f>
        <v>283569631</v>
      </c>
      <c r="D3715" t="s">
        <v>2275</v>
      </c>
      <c r="E3715" t="s">
        <v>769</v>
      </c>
      <c r="F3715" t="s">
        <v>44</v>
      </c>
      <c r="G3715" s="1">
        <v>20072</v>
      </c>
      <c r="H3715" s="1">
        <v>38957</v>
      </c>
      <c r="I3715" t="str">
        <f t="shared" si="82"/>
        <v>51</v>
      </c>
      <c r="J3715" t="s">
        <v>471</v>
      </c>
      <c r="K3715" t="s">
        <v>25</v>
      </c>
      <c r="L3715" t="s">
        <v>26</v>
      </c>
      <c r="M3715" t="s">
        <v>27</v>
      </c>
      <c r="N3715" s="1">
        <v>18629</v>
      </c>
      <c r="O3715">
        <v>0</v>
      </c>
      <c r="P3715">
        <v>0</v>
      </c>
      <c r="Q3715" t="s">
        <v>37</v>
      </c>
      <c r="R3715" t="s">
        <v>71</v>
      </c>
      <c r="S3715" t="s">
        <v>5486</v>
      </c>
      <c r="T3715" t="s">
        <v>5487</v>
      </c>
    </row>
    <row r="3716" spans="1:20" x14ac:dyDescent="0.25">
      <c r="A3716" t="s">
        <v>8836</v>
      </c>
      <c r="B3716" t="str">
        <f>"7524"</f>
        <v>7524</v>
      </c>
      <c r="C3716" t="str">
        <f>"296687524"</f>
        <v>296687524</v>
      </c>
      <c r="D3716" t="s">
        <v>2757</v>
      </c>
      <c r="E3716" t="s">
        <v>8837</v>
      </c>
      <c r="F3716" t="s">
        <v>470</v>
      </c>
      <c r="G3716" s="1">
        <v>23254</v>
      </c>
      <c r="H3716" s="1">
        <v>38957</v>
      </c>
      <c r="I3716" t="str">
        <f t="shared" si="82"/>
        <v>51</v>
      </c>
      <c r="J3716" t="s">
        <v>471</v>
      </c>
      <c r="K3716" t="s">
        <v>25</v>
      </c>
      <c r="L3716" t="s">
        <v>26</v>
      </c>
      <c r="M3716" t="s">
        <v>27</v>
      </c>
      <c r="N3716" s="1">
        <v>18629</v>
      </c>
      <c r="O3716">
        <v>0</v>
      </c>
      <c r="P3716">
        <v>0</v>
      </c>
      <c r="Q3716" t="s">
        <v>28</v>
      </c>
      <c r="R3716" t="s">
        <v>51</v>
      </c>
      <c r="S3716" s="2" t="s">
        <v>1538</v>
      </c>
      <c r="T3716" t="s">
        <v>1539</v>
      </c>
    </row>
    <row r="3717" spans="1:20" x14ac:dyDescent="0.25">
      <c r="A3717" t="s">
        <v>8838</v>
      </c>
      <c r="B3717" t="str">
        <f>"1892"</f>
        <v>1892</v>
      </c>
      <c r="C3717" t="str">
        <f>"442541892"</f>
        <v>442541892</v>
      </c>
      <c r="D3717" t="s">
        <v>2928</v>
      </c>
      <c r="E3717" t="s">
        <v>1342</v>
      </c>
      <c r="F3717" t="s">
        <v>97</v>
      </c>
      <c r="G3717" s="1">
        <v>19550</v>
      </c>
      <c r="H3717" s="1">
        <v>38957</v>
      </c>
      <c r="I3717" t="str">
        <f t="shared" si="82"/>
        <v>51</v>
      </c>
      <c r="J3717" t="s">
        <v>471</v>
      </c>
      <c r="K3717" t="s">
        <v>25</v>
      </c>
      <c r="L3717" t="s">
        <v>26</v>
      </c>
      <c r="M3717" t="s">
        <v>27</v>
      </c>
      <c r="N3717" s="1">
        <v>18629</v>
      </c>
      <c r="O3717">
        <v>0</v>
      </c>
      <c r="P3717">
        <v>0</v>
      </c>
      <c r="Q3717" t="s">
        <v>28</v>
      </c>
      <c r="R3717" t="s">
        <v>71</v>
      </c>
      <c r="S3717" t="s">
        <v>1494</v>
      </c>
      <c r="T3717" t="s">
        <v>1495</v>
      </c>
    </row>
    <row r="3718" spans="1:20" x14ac:dyDescent="0.25">
      <c r="A3718" t="s">
        <v>8839</v>
      </c>
      <c r="B3718" t="str">
        <f>"6398"</f>
        <v>6398</v>
      </c>
      <c r="C3718" t="str">
        <f>"289046398"</f>
        <v>289046398</v>
      </c>
      <c r="D3718" t="s">
        <v>8840</v>
      </c>
      <c r="E3718" t="s">
        <v>1026</v>
      </c>
      <c r="G3718" s="1">
        <v>24669</v>
      </c>
      <c r="H3718" s="1">
        <v>38957</v>
      </c>
      <c r="I3718" t="str">
        <f t="shared" si="82"/>
        <v>51</v>
      </c>
      <c r="J3718" t="s">
        <v>471</v>
      </c>
      <c r="K3718" t="s">
        <v>25</v>
      </c>
      <c r="L3718" t="s">
        <v>26</v>
      </c>
      <c r="M3718" t="s">
        <v>27</v>
      </c>
      <c r="N3718" s="1">
        <v>18629</v>
      </c>
      <c r="O3718">
        <v>0</v>
      </c>
      <c r="P3718">
        <v>0</v>
      </c>
      <c r="Q3718" t="s">
        <v>37</v>
      </c>
      <c r="R3718" t="s">
        <v>29</v>
      </c>
      <c r="S3718" t="s">
        <v>8841</v>
      </c>
      <c r="T3718" t="s">
        <v>8842</v>
      </c>
    </row>
    <row r="3719" spans="1:20" x14ac:dyDescent="0.25">
      <c r="A3719" t="s">
        <v>8843</v>
      </c>
      <c r="B3719" t="str">
        <f>"4612"</f>
        <v>4612</v>
      </c>
      <c r="C3719" t="str">
        <f>"286644612"</f>
        <v>286644612</v>
      </c>
      <c r="D3719" t="s">
        <v>8844</v>
      </c>
      <c r="E3719" t="s">
        <v>2483</v>
      </c>
      <c r="F3719" t="s">
        <v>1981</v>
      </c>
      <c r="G3719" s="1">
        <v>21582</v>
      </c>
      <c r="H3719" s="1">
        <v>38957</v>
      </c>
      <c r="I3719" t="str">
        <f>"41"</f>
        <v>41</v>
      </c>
      <c r="J3719" t="s">
        <v>24</v>
      </c>
      <c r="K3719" t="s">
        <v>25</v>
      </c>
      <c r="L3719" t="s">
        <v>26</v>
      </c>
      <c r="M3719" t="s">
        <v>27</v>
      </c>
      <c r="N3719" s="1">
        <v>18629</v>
      </c>
      <c r="O3719">
        <v>0</v>
      </c>
      <c r="P3719">
        <v>0</v>
      </c>
      <c r="Q3719" t="s">
        <v>37</v>
      </c>
      <c r="R3719" t="s">
        <v>71</v>
      </c>
      <c r="S3719" t="s">
        <v>4743</v>
      </c>
      <c r="T3719" t="s">
        <v>4744</v>
      </c>
    </row>
    <row r="3720" spans="1:20" x14ac:dyDescent="0.25">
      <c r="A3720" t="s">
        <v>8845</v>
      </c>
      <c r="B3720" t="str">
        <f>"4775"</f>
        <v>4775</v>
      </c>
      <c r="C3720" t="str">
        <f>"275504775"</f>
        <v>275504775</v>
      </c>
      <c r="D3720" t="s">
        <v>8846</v>
      </c>
      <c r="E3720" t="s">
        <v>1074</v>
      </c>
      <c r="F3720" t="s">
        <v>28</v>
      </c>
      <c r="G3720" s="1">
        <v>18649</v>
      </c>
      <c r="H3720" s="1">
        <v>38957</v>
      </c>
      <c r="I3720" t="str">
        <f>"52"</f>
        <v>52</v>
      </c>
      <c r="J3720" t="s">
        <v>330</v>
      </c>
      <c r="K3720" t="s">
        <v>25</v>
      </c>
      <c r="L3720" t="s">
        <v>26</v>
      </c>
      <c r="M3720" t="s">
        <v>27</v>
      </c>
      <c r="N3720" s="1">
        <v>18629</v>
      </c>
      <c r="O3720">
        <v>0</v>
      </c>
      <c r="P3720">
        <v>0</v>
      </c>
      <c r="Q3720" t="s">
        <v>37</v>
      </c>
      <c r="R3720" t="s">
        <v>71</v>
      </c>
      <c r="S3720" s="2" t="s">
        <v>362</v>
      </c>
      <c r="T3720" t="s">
        <v>363</v>
      </c>
    </row>
    <row r="3721" spans="1:20" x14ac:dyDescent="0.25">
      <c r="A3721" t="s">
        <v>8847</v>
      </c>
      <c r="B3721" t="str">
        <f>"7095"</f>
        <v>7095</v>
      </c>
      <c r="C3721" t="str">
        <f>"342327095"</f>
        <v>342327095</v>
      </c>
      <c r="D3721" t="s">
        <v>2620</v>
      </c>
      <c r="E3721" t="s">
        <v>8848</v>
      </c>
      <c r="F3721" t="s">
        <v>466</v>
      </c>
      <c r="G3721" s="1">
        <v>15136</v>
      </c>
      <c r="H3721" s="1">
        <v>38957</v>
      </c>
      <c r="I3721" t="str">
        <f>"51"</f>
        <v>51</v>
      </c>
      <c r="J3721" t="s">
        <v>471</v>
      </c>
      <c r="K3721" t="s">
        <v>25</v>
      </c>
      <c r="L3721" t="s">
        <v>26</v>
      </c>
      <c r="M3721" t="s">
        <v>27</v>
      </c>
      <c r="N3721" s="1">
        <v>18629</v>
      </c>
      <c r="O3721">
        <v>0</v>
      </c>
      <c r="P3721">
        <v>0</v>
      </c>
      <c r="Q3721" t="s">
        <v>28</v>
      </c>
      <c r="R3721" t="s">
        <v>51</v>
      </c>
      <c r="S3721" s="2" t="s">
        <v>5804</v>
      </c>
      <c r="T3721" t="s">
        <v>5805</v>
      </c>
    </row>
    <row r="3722" spans="1:20" x14ac:dyDescent="0.25">
      <c r="A3722" t="s">
        <v>8849</v>
      </c>
      <c r="B3722" t="str">
        <f>"1499"</f>
        <v>1499</v>
      </c>
      <c r="C3722" t="str">
        <f>"287801499"</f>
        <v>287801499</v>
      </c>
      <c r="D3722" t="s">
        <v>452</v>
      </c>
      <c r="E3722" t="s">
        <v>499</v>
      </c>
      <c r="F3722" t="s">
        <v>44</v>
      </c>
      <c r="G3722" s="1">
        <v>25402</v>
      </c>
      <c r="H3722" s="1">
        <v>38957</v>
      </c>
      <c r="I3722" t="str">
        <f>"51"</f>
        <v>51</v>
      </c>
      <c r="J3722" t="s">
        <v>471</v>
      </c>
      <c r="K3722" t="s">
        <v>25</v>
      </c>
      <c r="L3722" t="s">
        <v>26</v>
      </c>
      <c r="M3722" t="s">
        <v>27</v>
      </c>
      <c r="N3722" s="1">
        <v>18629</v>
      </c>
      <c r="O3722">
        <v>0</v>
      </c>
      <c r="P3722">
        <v>0</v>
      </c>
      <c r="Q3722" t="s">
        <v>28</v>
      </c>
      <c r="R3722" t="s">
        <v>71</v>
      </c>
      <c r="S3722" t="s">
        <v>3017</v>
      </c>
      <c r="T3722" t="s">
        <v>3018</v>
      </c>
    </row>
    <row r="3723" spans="1:20" x14ac:dyDescent="0.25">
      <c r="A3723" t="s">
        <v>8850</v>
      </c>
      <c r="B3723" t="str">
        <f>"4428"</f>
        <v>4428</v>
      </c>
      <c r="C3723" t="str">
        <f>"345664428"</f>
        <v>345664428</v>
      </c>
      <c r="D3723" t="s">
        <v>8851</v>
      </c>
      <c r="E3723" t="s">
        <v>8852</v>
      </c>
      <c r="G3723" s="1">
        <v>19085</v>
      </c>
      <c r="H3723" s="1">
        <v>38943</v>
      </c>
      <c r="I3723" t="str">
        <f>"20"</f>
        <v>20</v>
      </c>
      <c r="J3723" t="s">
        <v>123</v>
      </c>
      <c r="K3723" t="s">
        <v>98</v>
      </c>
      <c r="L3723" t="s">
        <v>37</v>
      </c>
      <c r="M3723" t="s">
        <v>117</v>
      </c>
      <c r="N3723" s="1">
        <v>41631</v>
      </c>
      <c r="O3723">
        <v>4951.9799999999996</v>
      </c>
      <c r="P3723">
        <v>1237.94</v>
      </c>
      <c r="Q3723" t="s">
        <v>28</v>
      </c>
      <c r="R3723" t="s">
        <v>51</v>
      </c>
      <c r="S3723" s="2" t="s">
        <v>774</v>
      </c>
      <c r="T3723" t="s">
        <v>775</v>
      </c>
    </row>
    <row r="3724" spans="1:20" x14ac:dyDescent="0.25">
      <c r="A3724" t="s">
        <v>8853</v>
      </c>
      <c r="B3724" t="str">
        <f>"0950"</f>
        <v>0950</v>
      </c>
      <c r="C3724" t="str">
        <f>"275600950"</f>
        <v>275600950</v>
      </c>
      <c r="D3724" t="s">
        <v>8854</v>
      </c>
      <c r="E3724" t="s">
        <v>789</v>
      </c>
      <c r="F3724" t="s">
        <v>28</v>
      </c>
      <c r="G3724" s="1">
        <v>21586</v>
      </c>
      <c r="H3724" s="1">
        <v>38943</v>
      </c>
      <c r="I3724" t="str">
        <f>"20"</f>
        <v>20</v>
      </c>
      <c r="J3724" t="s">
        <v>123</v>
      </c>
      <c r="K3724" t="s">
        <v>98</v>
      </c>
      <c r="L3724" t="s">
        <v>37</v>
      </c>
      <c r="M3724" t="s">
        <v>257</v>
      </c>
      <c r="N3724" s="1">
        <v>41631</v>
      </c>
      <c r="O3724">
        <v>10753.16</v>
      </c>
      <c r="P3724">
        <v>2688.4</v>
      </c>
      <c r="Q3724" t="s">
        <v>37</v>
      </c>
      <c r="R3724" t="s">
        <v>71</v>
      </c>
      <c r="S3724" t="s">
        <v>610</v>
      </c>
      <c r="T3724" t="s">
        <v>611</v>
      </c>
    </row>
    <row r="3725" spans="1:20" x14ac:dyDescent="0.25">
      <c r="A3725" t="s">
        <v>8855</v>
      </c>
      <c r="B3725" t="str">
        <f>"4667"</f>
        <v>4667</v>
      </c>
      <c r="C3725" t="str">
        <f>"052624667"</f>
        <v>052624667</v>
      </c>
      <c r="D3725" t="s">
        <v>7598</v>
      </c>
      <c r="E3725" t="s">
        <v>8856</v>
      </c>
      <c r="F3725" t="s">
        <v>44</v>
      </c>
      <c r="G3725" s="1">
        <v>28567</v>
      </c>
      <c r="H3725" s="1">
        <v>38943</v>
      </c>
      <c r="I3725" t="str">
        <f>"20"</f>
        <v>20</v>
      </c>
      <c r="J3725" t="s">
        <v>123</v>
      </c>
      <c r="K3725" t="s">
        <v>98</v>
      </c>
      <c r="L3725" t="s">
        <v>37</v>
      </c>
      <c r="M3725" t="s">
        <v>257</v>
      </c>
      <c r="N3725" s="1">
        <v>41631</v>
      </c>
      <c r="O3725">
        <v>10753.16</v>
      </c>
      <c r="P3725">
        <v>2688.4</v>
      </c>
      <c r="Q3725" t="s">
        <v>37</v>
      </c>
      <c r="R3725" t="s">
        <v>346</v>
      </c>
      <c r="S3725" t="s">
        <v>166</v>
      </c>
      <c r="T3725" t="s">
        <v>167</v>
      </c>
    </row>
    <row r="3726" spans="1:20" x14ac:dyDescent="0.25">
      <c r="A3726" t="s">
        <v>8857</v>
      </c>
      <c r="B3726" t="str">
        <f>"5320"</f>
        <v>5320</v>
      </c>
      <c r="C3726" t="str">
        <f>"061645320"</f>
        <v>061645320</v>
      </c>
      <c r="D3726" t="s">
        <v>8858</v>
      </c>
      <c r="E3726" t="s">
        <v>509</v>
      </c>
      <c r="F3726" t="s">
        <v>239</v>
      </c>
      <c r="G3726" s="1">
        <v>25279</v>
      </c>
      <c r="H3726" s="1">
        <v>38943</v>
      </c>
      <c r="I3726" t="str">
        <f>"20"</f>
        <v>20</v>
      </c>
      <c r="J3726" t="s">
        <v>123</v>
      </c>
      <c r="K3726" t="s">
        <v>98</v>
      </c>
      <c r="L3726" t="s">
        <v>37</v>
      </c>
      <c r="M3726" t="s">
        <v>99</v>
      </c>
      <c r="N3726" s="1">
        <v>41631</v>
      </c>
      <c r="O3726">
        <v>14801.82</v>
      </c>
      <c r="P3726">
        <v>3700.4</v>
      </c>
      <c r="Q3726" t="s">
        <v>37</v>
      </c>
      <c r="R3726" t="s">
        <v>71</v>
      </c>
      <c r="S3726" t="s">
        <v>790</v>
      </c>
      <c r="T3726" t="s">
        <v>791</v>
      </c>
    </row>
    <row r="3727" spans="1:20" x14ac:dyDescent="0.25">
      <c r="A3727" t="s">
        <v>8859</v>
      </c>
      <c r="B3727" t="str">
        <f>"3260"</f>
        <v>3260</v>
      </c>
      <c r="C3727" t="str">
        <f>"288723260"</f>
        <v>288723260</v>
      </c>
      <c r="D3727" t="s">
        <v>8860</v>
      </c>
      <c r="E3727" t="s">
        <v>1453</v>
      </c>
      <c r="G3727" s="1">
        <v>27979</v>
      </c>
      <c r="H3727" s="1">
        <v>38943</v>
      </c>
      <c r="I3727" t="str">
        <f>"51"</f>
        <v>51</v>
      </c>
      <c r="J3727" t="s">
        <v>471</v>
      </c>
      <c r="K3727" t="s">
        <v>25</v>
      </c>
      <c r="L3727" t="s">
        <v>26</v>
      </c>
      <c r="M3727" t="s">
        <v>27</v>
      </c>
      <c r="N3727" s="1">
        <v>18629</v>
      </c>
      <c r="O3727">
        <v>0</v>
      </c>
      <c r="P3727">
        <v>0</v>
      </c>
      <c r="Q3727" t="s">
        <v>28</v>
      </c>
      <c r="R3727" t="s">
        <v>51</v>
      </c>
      <c r="S3727" t="s">
        <v>83</v>
      </c>
      <c r="T3727" t="s">
        <v>84</v>
      </c>
    </row>
    <row r="3728" spans="1:20" x14ac:dyDescent="0.25">
      <c r="A3728" t="s">
        <v>8861</v>
      </c>
      <c r="B3728" t="str">
        <f>"1950"</f>
        <v>1950</v>
      </c>
      <c r="C3728" t="str">
        <f>"293721950"</f>
        <v>293721950</v>
      </c>
      <c r="D3728" t="s">
        <v>8862</v>
      </c>
      <c r="E3728" t="s">
        <v>1248</v>
      </c>
      <c r="F3728" t="s">
        <v>165</v>
      </c>
      <c r="G3728" s="1">
        <v>28207</v>
      </c>
      <c r="H3728" s="1">
        <v>38943</v>
      </c>
      <c r="I3728" t="str">
        <f t="shared" ref="I3728:I3736" si="83">"20"</f>
        <v>20</v>
      </c>
      <c r="J3728" t="s">
        <v>123</v>
      </c>
      <c r="K3728" t="s">
        <v>98</v>
      </c>
      <c r="L3728" t="s">
        <v>37</v>
      </c>
      <c r="M3728" t="s">
        <v>257</v>
      </c>
      <c r="N3728" s="1">
        <v>41631</v>
      </c>
      <c r="O3728">
        <v>10753.16</v>
      </c>
      <c r="P3728">
        <v>2688.4</v>
      </c>
      <c r="Q3728" t="s">
        <v>37</v>
      </c>
      <c r="R3728" t="s">
        <v>71</v>
      </c>
      <c r="S3728" t="s">
        <v>2406</v>
      </c>
      <c r="T3728" t="s">
        <v>2407</v>
      </c>
    </row>
    <row r="3729" spans="1:20" x14ac:dyDescent="0.25">
      <c r="A3729" t="s">
        <v>8863</v>
      </c>
      <c r="B3729" t="str">
        <f>"5708"</f>
        <v>5708</v>
      </c>
      <c r="C3729" t="str">
        <f>"302845708"</f>
        <v>302845708</v>
      </c>
      <c r="D3729" t="s">
        <v>8864</v>
      </c>
      <c r="E3729" t="s">
        <v>1813</v>
      </c>
      <c r="F3729" t="s">
        <v>28</v>
      </c>
      <c r="G3729" s="1">
        <v>26171</v>
      </c>
      <c r="H3729" s="1">
        <v>38943</v>
      </c>
      <c r="I3729" t="str">
        <f t="shared" si="83"/>
        <v>20</v>
      </c>
      <c r="J3729" t="s">
        <v>123</v>
      </c>
      <c r="K3729" t="s">
        <v>98</v>
      </c>
      <c r="L3729" t="s">
        <v>37</v>
      </c>
      <c r="M3729" t="s">
        <v>117</v>
      </c>
      <c r="N3729" s="1">
        <v>41631</v>
      </c>
      <c r="O3729">
        <v>4951.9799999999996</v>
      </c>
      <c r="P3729">
        <v>1237.94</v>
      </c>
      <c r="Q3729" t="s">
        <v>37</v>
      </c>
      <c r="R3729" t="s">
        <v>29</v>
      </c>
      <c r="S3729" t="s">
        <v>138</v>
      </c>
      <c r="T3729" t="s">
        <v>139</v>
      </c>
    </row>
    <row r="3730" spans="1:20" x14ac:dyDescent="0.25">
      <c r="A3730" t="s">
        <v>8865</v>
      </c>
      <c r="B3730" t="str">
        <f>"3025"</f>
        <v>3025</v>
      </c>
      <c r="C3730" t="str">
        <f>"292603025"</f>
        <v>292603025</v>
      </c>
      <c r="D3730" t="s">
        <v>1156</v>
      </c>
      <c r="E3730" t="s">
        <v>8866</v>
      </c>
      <c r="G3730" s="1">
        <v>22764</v>
      </c>
      <c r="H3730" s="1">
        <v>38943</v>
      </c>
      <c r="I3730" t="str">
        <f t="shared" si="83"/>
        <v>20</v>
      </c>
      <c r="J3730" t="s">
        <v>123</v>
      </c>
      <c r="K3730" t="s">
        <v>98</v>
      </c>
      <c r="L3730" t="s">
        <v>37</v>
      </c>
      <c r="M3730" t="s">
        <v>117</v>
      </c>
      <c r="N3730" s="1">
        <v>41631</v>
      </c>
      <c r="O3730">
        <v>4951.9799999999996</v>
      </c>
      <c r="P3730">
        <v>1237.94</v>
      </c>
      <c r="Q3730" t="s">
        <v>28</v>
      </c>
      <c r="R3730" t="s">
        <v>51</v>
      </c>
      <c r="S3730" s="2" t="s">
        <v>1568</v>
      </c>
      <c r="T3730" t="s">
        <v>1569</v>
      </c>
    </row>
    <row r="3731" spans="1:20" x14ac:dyDescent="0.25">
      <c r="A3731" t="s">
        <v>8867</v>
      </c>
      <c r="B3731" t="str">
        <f>"4347"</f>
        <v>4347</v>
      </c>
      <c r="C3731" t="str">
        <f>"274664347"</f>
        <v>274664347</v>
      </c>
      <c r="D3731" t="s">
        <v>8868</v>
      </c>
      <c r="E3731" t="s">
        <v>137</v>
      </c>
      <c r="G3731" s="1">
        <v>21331</v>
      </c>
      <c r="H3731" s="1">
        <v>38943</v>
      </c>
      <c r="I3731" t="str">
        <f t="shared" si="83"/>
        <v>20</v>
      </c>
      <c r="J3731" t="s">
        <v>123</v>
      </c>
      <c r="K3731" t="s">
        <v>98</v>
      </c>
      <c r="L3731" t="s">
        <v>37</v>
      </c>
      <c r="M3731" t="s">
        <v>99</v>
      </c>
      <c r="N3731" s="1">
        <v>41631</v>
      </c>
      <c r="O3731">
        <v>14801.82</v>
      </c>
      <c r="P3731">
        <v>3700.4</v>
      </c>
      <c r="Q3731" t="s">
        <v>37</v>
      </c>
      <c r="R3731" t="s">
        <v>29</v>
      </c>
      <c r="S3731" t="s">
        <v>3588</v>
      </c>
      <c r="T3731" t="s">
        <v>3589</v>
      </c>
    </row>
    <row r="3732" spans="1:20" x14ac:dyDescent="0.25">
      <c r="A3732" t="s">
        <v>8869</v>
      </c>
      <c r="B3732" t="str">
        <f>"8918"</f>
        <v>8918</v>
      </c>
      <c r="C3732" t="str">
        <f>"273828918"</f>
        <v>273828918</v>
      </c>
      <c r="D3732" t="s">
        <v>8870</v>
      </c>
      <c r="E3732" t="s">
        <v>4452</v>
      </c>
      <c r="F3732" t="s">
        <v>97</v>
      </c>
      <c r="G3732" s="1">
        <v>26710</v>
      </c>
      <c r="H3732" s="1">
        <v>38943</v>
      </c>
      <c r="I3732" t="str">
        <f t="shared" si="83"/>
        <v>20</v>
      </c>
      <c r="J3732" t="s">
        <v>123</v>
      </c>
      <c r="K3732" t="s">
        <v>98</v>
      </c>
      <c r="L3732" t="s">
        <v>37</v>
      </c>
      <c r="M3732" t="s">
        <v>99</v>
      </c>
      <c r="N3732" s="1">
        <v>41631</v>
      </c>
      <c r="O3732">
        <v>14801.82</v>
      </c>
      <c r="P3732">
        <v>3700.4</v>
      </c>
      <c r="Q3732" t="s">
        <v>37</v>
      </c>
      <c r="R3732" t="s">
        <v>29</v>
      </c>
      <c r="S3732" t="s">
        <v>3763</v>
      </c>
      <c r="T3732" t="s">
        <v>3764</v>
      </c>
    </row>
    <row r="3733" spans="1:20" x14ac:dyDescent="0.25">
      <c r="A3733" t="s">
        <v>8871</v>
      </c>
      <c r="B3733" t="str">
        <f>"2504"</f>
        <v>2504</v>
      </c>
      <c r="C3733" t="str">
        <f>"277742504"</f>
        <v>277742504</v>
      </c>
      <c r="D3733" t="s">
        <v>8872</v>
      </c>
      <c r="E3733" t="s">
        <v>8873</v>
      </c>
      <c r="G3733" s="1">
        <v>21947</v>
      </c>
      <c r="H3733" s="1">
        <v>38943</v>
      </c>
      <c r="I3733" t="str">
        <f t="shared" si="83"/>
        <v>20</v>
      </c>
      <c r="J3733" t="s">
        <v>123</v>
      </c>
      <c r="K3733" t="s">
        <v>98</v>
      </c>
      <c r="L3733" t="s">
        <v>37</v>
      </c>
      <c r="M3733" t="s">
        <v>257</v>
      </c>
      <c r="N3733" s="1">
        <v>41631</v>
      </c>
      <c r="O3733">
        <v>10753.16</v>
      </c>
      <c r="P3733">
        <v>2688.4</v>
      </c>
      <c r="Q3733" t="s">
        <v>37</v>
      </c>
      <c r="R3733" t="s">
        <v>29</v>
      </c>
      <c r="S3733" t="s">
        <v>147</v>
      </c>
      <c r="T3733" t="s">
        <v>148</v>
      </c>
    </row>
    <row r="3734" spans="1:20" x14ac:dyDescent="0.25">
      <c r="A3734" t="s">
        <v>8874</v>
      </c>
      <c r="B3734" t="str">
        <f>"0835"</f>
        <v>0835</v>
      </c>
      <c r="C3734" t="str">
        <f>"292660835"</f>
        <v>292660835</v>
      </c>
      <c r="D3734" t="s">
        <v>2266</v>
      </c>
      <c r="E3734" t="s">
        <v>2385</v>
      </c>
      <c r="G3734" s="1">
        <v>22199</v>
      </c>
      <c r="H3734" s="1">
        <v>38943</v>
      </c>
      <c r="I3734" t="str">
        <f t="shared" si="83"/>
        <v>20</v>
      </c>
      <c r="J3734" t="s">
        <v>123</v>
      </c>
      <c r="K3734" t="s">
        <v>98</v>
      </c>
      <c r="L3734" t="s">
        <v>37</v>
      </c>
      <c r="M3734" t="s">
        <v>257</v>
      </c>
      <c r="N3734" s="1">
        <v>41631</v>
      </c>
      <c r="O3734">
        <v>10753.16</v>
      </c>
      <c r="P3734">
        <v>2688.4</v>
      </c>
      <c r="Q3734" t="s">
        <v>37</v>
      </c>
      <c r="R3734" t="s">
        <v>71</v>
      </c>
      <c r="S3734" t="s">
        <v>4090</v>
      </c>
      <c r="T3734" t="s">
        <v>4091</v>
      </c>
    </row>
    <row r="3735" spans="1:20" x14ac:dyDescent="0.25">
      <c r="A3735" t="s">
        <v>8875</v>
      </c>
      <c r="B3735" t="str">
        <f>"3726"</f>
        <v>3726</v>
      </c>
      <c r="C3735" t="str">
        <f>"301963726"</f>
        <v>301963726</v>
      </c>
      <c r="D3735" t="s">
        <v>4799</v>
      </c>
      <c r="E3735" t="s">
        <v>4839</v>
      </c>
      <c r="G3735" s="1">
        <v>27230</v>
      </c>
      <c r="H3735" s="1">
        <v>38943</v>
      </c>
      <c r="I3735" t="str">
        <f t="shared" si="83"/>
        <v>20</v>
      </c>
      <c r="J3735" t="s">
        <v>123</v>
      </c>
      <c r="K3735" t="s">
        <v>98</v>
      </c>
      <c r="L3735" t="s">
        <v>37</v>
      </c>
      <c r="M3735" t="s">
        <v>99</v>
      </c>
      <c r="N3735" s="1">
        <v>41631</v>
      </c>
      <c r="O3735">
        <v>14801.82</v>
      </c>
      <c r="P3735">
        <v>3700.4</v>
      </c>
      <c r="Q3735" t="s">
        <v>37</v>
      </c>
      <c r="R3735" t="s">
        <v>51</v>
      </c>
      <c r="S3735" s="2" t="s">
        <v>198</v>
      </c>
      <c r="T3735" t="s">
        <v>199</v>
      </c>
    </row>
    <row r="3736" spans="1:20" x14ac:dyDescent="0.25">
      <c r="A3736" t="s">
        <v>8876</v>
      </c>
      <c r="B3736" t="str">
        <f>"2845"</f>
        <v>2845</v>
      </c>
      <c r="C3736" t="str">
        <f>"296682845"</f>
        <v>296682845</v>
      </c>
      <c r="D3736" t="s">
        <v>724</v>
      </c>
      <c r="E3736" t="s">
        <v>2339</v>
      </c>
      <c r="G3736" s="1">
        <v>22612</v>
      </c>
      <c r="H3736" s="1">
        <v>38943</v>
      </c>
      <c r="I3736" t="str">
        <f t="shared" si="83"/>
        <v>20</v>
      </c>
      <c r="J3736" t="s">
        <v>123</v>
      </c>
      <c r="K3736" t="s">
        <v>98</v>
      </c>
      <c r="L3736" t="s">
        <v>37</v>
      </c>
      <c r="M3736" t="s">
        <v>117</v>
      </c>
      <c r="N3736" s="1">
        <v>41631</v>
      </c>
      <c r="O3736">
        <v>4951.9799999999996</v>
      </c>
      <c r="P3736">
        <v>1237.94</v>
      </c>
      <c r="Q3736" t="s">
        <v>37</v>
      </c>
      <c r="R3736" t="s">
        <v>71</v>
      </c>
      <c r="S3736" t="s">
        <v>5495</v>
      </c>
      <c r="T3736" t="s">
        <v>5496</v>
      </c>
    </row>
    <row r="3737" spans="1:20" x14ac:dyDescent="0.25">
      <c r="A3737" t="s">
        <v>8877</v>
      </c>
      <c r="B3737" t="str">
        <f>"3359"</f>
        <v>3359</v>
      </c>
      <c r="C3737" t="str">
        <f>"295483359"</f>
        <v>295483359</v>
      </c>
      <c r="D3737" t="s">
        <v>1969</v>
      </c>
      <c r="E3737" t="s">
        <v>122</v>
      </c>
      <c r="F3737" t="s">
        <v>28</v>
      </c>
      <c r="G3737" s="1">
        <v>17809</v>
      </c>
      <c r="H3737" s="1">
        <v>38943</v>
      </c>
      <c r="I3737" t="str">
        <f>"51"</f>
        <v>51</v>
      </c>
      <c r="J3737" t="s">
        <v>471</v>
      </c>
      <c r="K3737" t="s">
        <v>25</v>
      </c>
      <c r="L3737" t="s">
        <v>26</v>
      </c>
      <c r="M3737" t="s">
        <v>27</v>
      </c>
      <c r="N3737" s="1">
        <v>18629</v>
      </c>
      <c r="O3737">
        <v>0</v>
      </c>
      <c r="P3737">
        <v>0</v>
      </c>
      <c r="Q3737" t="s">
        <v>28</v>
      </c>
      <c r="R3737" t="s">
        <v>51</v>
      </c>
      <c r="S3737" s="2" t="s">
        <v>2318</v>
      </c>
      <c r="T3737" t="s">
        <v>2319</v>
      </c>
    </row>
    <row r="3738" spans="1:20" x14ac:dyDescent="0.25">
      <c r="A3738" t="s">
        <v>8878</v>
      </c>
      <c r="B3738" t="str">
        <f>"8930"</f>
        <v>8930</v>
      </c>
      <c r="C3738" t="str">
        <f>"303708930"</f>
        <v>303708930</v>
      </c>
      <c r="D3738" t="s">
        <v>8081</v>
      </c>
      <c r="E3738" t="s">
        <v>197</v>
      </c>
      <c r="F3738" t="s">
        <v>174</v>
      </c>
      <c r="G3738" s="1">
        <v>16431</v>
      </c>
      <c r="H3738" s="1">
        <v>38943</v>
      </c>
      <c r="I3738" t="str">
        <f>"20"</f>
        <v>20</v>
      </c>
      <c r="J3738" t="s">
        <v>123</v>
      </c>
      <c r="K3738" t="s">
        <v>510</v>
      </c>
      <c r="L3738" t="s">
        <v>37</v>
      </c>
      <c r="M3738" t="s">
        <v>257</v>
      </c>
      <c r="N3738" s="1">
        <v>41631</v>
      </c>
      <c r="O3738">
        <v>14110.8</v>
      </c>
      <c r="P3738">
        <v>3527.7</v>
      </c>
      <c r="Q3738" t="s">
        <v>28</v>
      </c>
      <c r="R3738" t="s">
        <v>51</v>
      </c>
      <c r="S3738" s="2" t="s">
        <v>742</v>
      </c>
      <c r="T3738" t="s">
        <v>743</v>
      </c>
    </row>
    <row r="3739" spans="1:20" x14ac:dyDescent="0.25">
      <c r="A3739" t="s">
        <v>8879</v>
      </c>
      <c r="B3739" t="str">
        <f>"5424"</f>
        <v>5424</v>
      </c>
      <c r="C3739" t="str">
        <f>"287525424"</f>
        <v>287525424</v>
      </c>
      <c r="D3739" t="s">
        <v>8880</v>
      </c>
      <c r="E3739" t="s">
        <v>588</v>
      </c>
      <c r="F3739" t="s">
        <v>944</v>
      </c>
      <c r="G3739" s="1">
        <v>21695</v>
      </c>
      <c r="H3739" s="1">
        <v>38943</v>
      </c>
      <c r="I3739" t="str">
        <f>"20"</f>
        <v>20</v>
      </c>
      <c r="J3739" t="s">
        <v>123</v>
      </c>
      <c r="K3739" t="s">
        <v>98</v>
      </c>
      <c r="L3739" t="s">
        <v>37</v>
      </c>
      <c r="M3739" t="s">
        <v>99</v>
      </c>
      <c r="N3739" s="1">
        <v>41631</v>
      </c>
      <c r="O3739">
        <v>14801.82</v>
      </c>
      <c r="P3739">
        <v>3700.4</v>
      </c>
      <c r="Q3739" t="s">
        <v>28</v>
      </c>
      <c r="R3739" t="s">
        <v>71</v>
      </c>
      <c r="S3739" t="s">
        <v>4234</v>
      </c>
      <c r="T3739" t="s">
        <v>4235</v>
      </c>
    </row>
    <row r="3740" spans="1:20" x14ac:dyDescent="0.25">
      <c r="A3740" t="s">
        <v>8881</v>
      </c>
      <c r="B3740" t="str">
        <f>"9561"</f>
        <v>9561</v>
      </c>
      <c r="C3740" t="str">
        <f>"276689561"</f>
        <v>276689561</v>
      </c>
      <c r="D3740" t="s">
        <v>8882</v>
      </c>
      <c r="E3740" t="s">
        <v>518</v>
      </c>
      <c r="F3740" t="s">
        <v>28</v>
      </c>
      <c r="G3740" s="1">
        <v>26087</v>
      </c>
      <c r="H3740" s="1">
        <v>38943</v>
      </c>
      <c r="I3740" t="str">
        <f>"20"</f>
        <v>20</v>
      </c>
      <c r="J3740" t="s">
        <v>123</v>
      </c>
      <c r="K3740" t="s">
        <v>98</v>
      </c>
      <c r="L3740" t="s">
        <v>37</v>
      </c>
      <c r="M3740" t="s">
        <v>99</v>
      </c>
      <c r="N3740" s="1">
        <v>41631</v>
      </c>
      <c r="O3740">
        <v>14801.82</v>
      </c>
      <c r="P3740">
        <v>3700.4</v>
      </c>
      <c r="Q3740" t="s">
        <v>37</v>
      </c>
      <c r="R3740" t="s">
        <v>51</v>
      </c>
      <c r="S3740" s="2" t="s">
        <v>2393</v>
      </c>
      <c r="T3740" t="s">
        <v>2394</v>
      </c>
    </row>
    <row r="3741" spans="1:20" x14ac:dyDescent="0.25">
      <c r="A3741" t="s">
        <v>8883</v>
      </c>
      <c r="B3741" t="str">
        <f>"2919"</f>
        <v>2919</v>
      </c>
      <c r="C3741" t="str">
        <f>"302822919"</f>
        <v>302822919</v>
      </c>
      <c r="D3741" t="s">
        <v>8884</v>
      </c>
      <c r="E3741" t="s">
        <v>1744</v>
      </c>
      <c r="F3741" t="s">
        <v>97</v>
      </c>
      <c r="G3741" s="1">
        <v>26729</v>
      </c>
      <c r="H3741" s="1">
        <v>38943</v>
      </c>
      <c r="I3741" t="str">
        <f>"20"</f>
        <v>20</v>
      </c>
      <c r="J3741" t="s">
        <v>123</v>
      </c>
      <c r="K3741" t="s">
        <v>98</v>
      </c>
      <c r="L3741" t="s">
        <v>37</v>
      </c>
      <c r="M3741" t="s">
        <v>99</v>
      </c>
      <c r="N3741" s="1">
        <v>41631</v>
      </c>
      <c r="O3741">
        <v>14801.82</v>
      </c>
      <c r="P3741">
        <v>3700.4</v>
      </c>
      <c r="Q3741" t="s">
        <v>37</v>
      </c>
      <c r="R3741" t="s">
        <v>71</v>
      </c>
      <c r="S3741" t="s">
        <v>1513</v>
      </c>
      <c r="T3741" t="s">
        <v>1514</v>
      </c>
    </row>
    <row r="3742" spans="1:20" x14ac:dyDescent="0.25">
      <c r="A3742" t="s">
        <v>8885</v>
      </c>
      <c r="B3742" t="str">
        <f>"9252"</f>
        <v>9252</v>
      </c>
      <c r="C3742" t="str">
        <f>"431519252"</f>
        <v>431519252</v>
      </c>
      <c r="D3742" t="s">
        <v>452</v>
      </c>
      <c r="E3742" t="s">
        <v>3126</v>
      </c>
      <c r="F3742" t="s">
        <v>44</v>
      </c>
      <c r="G3742" s="1">
        <v>28512</v>
      </c>
      <c r="H3742" s="1">
        <v>38943</v>
      </c>
      <c r="I3742" t="str">
        <f>"20"</f>
        <v>20</v>
      </c>
      <c r="J3742" t="s">
        <v>123</v>
      </c>
      <c r="L3742" t="s">
        <v>37</v>
      </c>
      <c r="M3742" t="s">
        <v>143</v>
      </c>
      <c r="N3742" s="1">
        <v>41631</v>
      </c>
      <c r="O3742">
        <v>185.9</v>
      </c>
      <c r="P3742">
        <v>-185.9</v>
      </c>
      <c r="Q3742" t="s">
        <v>37</v>
      </c>
      <c r="R3742" t="s">
        <v>71</v>
      </c>
      <c r="S3742" t="s">
        <v>5022</v>
      </c>
      <c r="T3742" t="s">
        <v>5023</v>
      </c>
    </row>
    <row r="3743" spans="1:20" x14ac:dyDescent="0.25">
      <c r="A3743" t="s">
        <v>8886</v>
      </c>
      <c r="B3743" t="str">
        <f>"7974"</f>
        <v>7974</v>
      </c>
      <c r="C3743" t="str">
        <f>"268847974"</f>
        <v>268847974</v>
      </c>
      <c r="D3743" t="s">
        <v>452</v>
      </c>
      <c r="E3743" t="s">
        <v>466</v>
      </c>
      <c r="F3743" t="s">
        <v>97</v>
      </c>
      <c r="G3743" s="1">
        <v>28768</v>
      </c>
      <c r="H3743" s="1">
        <v>38943</v>
      </c>
      <c r="I3743" t="str">
        <f>"15"</f>
        <v>15</v>
      </c>
      <c r="J3743" t="s">
        <v>36</v>
      </c>
      <c r="K3743" t="s">
        <v>98</v>
      </c>
      <c r="L3743" t="s">
        <v>37</v>
      </c>
      <c r="M3743" t="s">
        <v>117</v>
      </c>
      <c r="N3743" s="1">
        <v>41617</v>
      </c>
      <c r="O3743">
        <v>4951.96</v>
      </c>
      <c r="P3743">
        <v>1237.8599999999999</v>
      </c>
      <c r="Q3743" t="s">
        <v>28</v>
      </c>
      <c r="R3743" t="s">
        <v>29</v>
      </c>
      <c r="S3743" t="s">
        <v>259</v>
      </c>
      <c r="T3743" t="s">
        <v>260</v>
      </c>
    </row>
    <row r="3744" spans="1:20" x14ac:dyDescent="0.25">
      <c r="A3744" t="s">
        <v>8887</v>
      </c>
      <c r="B3744" t="str">
        <f>"4018"</f>
        <v>4018</v>
      </c>
      <c r="C3744" t="str">
        <f>"282704018"</f>
        <v>282704018</v>
      </c>
      <c r="D3744" t="s">
        <v>8888</v>
      </c>
      <c r="E3744" t="s">
        <v>8889</v>
      </c>
      <c r="G3744" s="1">
        <v>25812</v>
      </c>
      <c r="H3744" s="1">
        <v>38936</v>
      </c>
      <c r="I3744" t="str">
        <f>"30"</f>
        <v>30</v>
      </c>
      <c r="J3744" t="s">
        <v>50</v>
      </c>
      <c r="K3744" t="s">
        <v>25</v>
      </c>
      <c r="L3744" t="s">
        <v>26</v>
      </c>
      <c r="M3744" t="s">
        <v>27</v>
      </c>
      <c r="N3744" s="1">
        <v>18629</v>
      </c>
      <c r="O3744">
        <v>0</v>
      </c>
      <c r="P3744">
        <v>0</v>
      </c>
      <c r="Q3744" t="s">
        <v>37</v>
      </c>
      <c r="R3744" t="s">
        <v>51</v>
      </c>
      <c r="S3744" s="2" t="s">
        <v>3406</v>
      </c>
      <c r="T3744" t="s">
        <v>3407</v>
      </c>
    </row>
    <row r="3745" spans="1:20" x14ac:dyDescent="0.25">
      <c r="A3745" t="s">
        <v>8890</v>
      </c>
      <c r="B3745" t="str">
        <f>"2149"</f>
        <v>2149</v>
      </c>
      <c r="C3745" t="str">
        <f>"281722149"</f>
        <v>281722149</v>
      </c>
      <c r="D3745" t="s">
        <v>4366</v>
      </c>
      <c r="E3745" t="s">
        <v>8891</v>
      </c>
      <c r="F3745" t="s">
        <v>28</v>
      </c>
      <c r="G3745" s="1">
        <v>25952</v>
      </c>
      <c r="H3745" s="1">
        <v>38936</v>
      </c>
      <c r="I3745" t="str">
        <f>"30"</f>
        <v>30</v>
      </c>
      <c r="J3745" t="s">
        <v>50</v>
      </c>
      <c r="K3745" t="s">
        <v>25</v>
      </c>
      <c r="L3745" t="s">
        <v>26</v>
      </c>
      <c r="M3745" t="s">
        <v>27</v>
      </c>
      <c r="N3745" s="1">
        <v>18629</v>
      </c>
      <c r="O3745">
        <v>0</v>
      </c>
      <c r="P3745">
        <v>0</v>
      </c>
      <c r="Q3745" t="s">
        <v>37</v>
      </c>
      <c r="R3745" t="s">
        <v>51</v>
      </c>
      <c r="S3745" s="2" t="s">
        <v>198</v>
      </c>
      <c r="T3745" t="s">
        <v>199</v>
      </c>
    </row>
    <row r="3746" spans="1:20" x14ac:dyDescent="0.25">
      <c r="A3746" t="s">
        <v>8892</v>
      </c>
      <c r="B3746" t="str">
        <f>"3652"</f>
        <v>3652</v>
      </c>
      <c r="C3746" t="str">
        <f>"286543652"</f>
        <v>286543652</v>
      </c>
      <c r="D3746" t="s">
        <v>8893</v>
      </c>
      <c r="E3746" t="s">
        <v>2917</v>
      </c>
      <c r="F3746" t="s">
        <v>28</v>
      </c>
      <c r="G3746" s="1">
        <v>19309</v>
      </c>
      <c r="H3746" s="1">
        <v>38936</v>
      </c>
      <c r="I3746" t="str">
        <f>"30"</f>
        <v>30</v>
      </c>
      <c r="J3746" t="s">
        <v>50</v>
      </c>
      <c r="K3746" t="s">
        <v>25</v>
      </c>
      <c r="L3746" t="s">
        <v>26</v>
      </c>
      <c r="M3746" t="s">
        <v>27</v>
      </c>
      <c r="N3746" s="1">
        <v>18629</v>
      </c>
      <c r="O3746">
        <v>0</v>
      </c>
      <c r="P3746">
        <v>0</v>
      </c>
      <c r="Q3746" t="s">
        <v>37</v>
      </c>
      <c r="R3746" t="s">
        <v>71</v>
      </c>
      <c r="S3746" t="s">
        <v>373</v>
      </c>
      <c r="T3746" t="s">
        <v>374</v>
      </c>
    </row>
    <row r="3747" spans="1:20" x14ac:dyDescent="0.25">
      <c r="A3747" t="s">
        <v>8894</v>
      </c>
      <c r="B3747" t="str">
        <f>"6991"</f>
        <v>6991</v>
      </c>
      <c r="C3747" t="str">
        <f>"293566991"</f>
        <v>293566991</v>
      </c>
      <c r="D3747" t="s">
        <v>8895</v>
      </c>
      <c r="E3747" t="s">
        <v>8896</v>
      </c>
      <c r="F3747" t="s">
        <v>264</v>
      </c>
      <c r="G3747" s="1">
        <v>20112</v>
      </c>
      <c r="H3747" s="1">
        <v>38936</v>
      </c>
      <c r="I3747" t="str">
        <f>"05"</f>
        <v>05</v>
      </c>
      <c r="J3747" t="s">
        <v>58</v>
      </c>
      <c r="K3747" t="s">
        <v>175</v>
      </c>
      <c r="L3747" t="s">
        <v>37</v>
      </c>
      <c r="M3747" t="s">
        <v>257</v>
      </c>
      <c r="N3747" s="1">
        <v>41617</v>
      </c>
      <c r="O3747">
        <v>11847.94</v>
      </c>
      <c r="P3747">
        <v>2961.92</v>
      </c>
      <c r="Q3747" t="s">
        <v>37</v>
      </c>
      <c r="R3747" t="s">
        <v>258</v>
      </c>
      <c r="S3747" t="s">
        <v>491</v>
      </c>
      <c r="T3747" t="s">
        <v>492</v>
      </c>
    </row>
    <row r="3748" spans="1:20" x14ac:dyDescent="0.25">
      <c r="A3748" t="s">
        <v>8897</v>
      </c>
      <c r="B3748" t="str">
        <f>"5806"</f>
        <v>5806</v>
      </c>
      <c r="C3748" t="str">
        <f>"273905806"</f>
        <v>273905806</v>
      </c>
      <c r="D3748" t="s">
        <v>8898</v>
      </c>
      <c r="E3748" t="s">
        <v>8899</v>
      </c>
      <c r="G3748" s="1">
        <v>30578</v>
      </c>
      <c r="H3748" s="1">
        <v>38915</v>
      </c>
      <c r="I3748" t="str">
        <f>"08"</f>
        <v>08</v>
      </c>
      <c r="J3748" t="s">
        <v>265</v>
      </c>
      <c r="K3748" t="s">
        <v>98</v>
      </c>
      <c r="L3748" t="s">
        <v>37</v>
      </c>
      <c r="M3748" t="s">
        <v>117</v>
      </c>
      <c r="N3748" s="1">
        <v>41617</v>
      </c>
      <c r="O3748">
        <v>4951.96</v>
      </c>
      <c r="P3748">
        <v>1237.8599999999999</v>
      </c>
      <c r="Q3748" t="s">
        <v>28</v>
      </c>
      <c r="R3748" t="s">
        <v>51</v>
      </c>
      <c r="S3748" t="s">
        <v>8900</v>
      </c>
      <c r="T3748" t="s">
        <v>8901</v>
      </c>
    </row>
    <row r="3749" spans="1:20" x14ac:dyDescent="0.25">
      <c r="A3749" t="s">
        <v>8902</v>
      </c>
      <c r="B3749" t="str">
        <f>"9041"</f>
        <v>9041</v>
      </c>
      <c r="C3749" t="str">
        <f>"275569041"</f>
        <v>275569041</v>
      </c>
      <c r="D3749" t="s">
        <v>6962</v>
      </c>
      <c r="E3749" t="s">
        <v>526</v>
      </c>
      <c r="G3749" s="1">
        <v>21277</v>
      </c>
      <c r="H3749" s="1">
        <v>38901</v>
      </c>
      <c r="I3749" t="str">
        <f>"12"</f>
        <v>12</v>
      </c>
      <c r="J3749" t="s">
        <v>245</v>
      </c>
      <c r="K3749" t="s">
        <v>98</v>
      </c>
      <c r="L3749" t="s">
        <v>37</v>
      </c>
      <c r="M3749" t="s">
        <v>257</v>
      </c>
      <c r="N3749" s="1">
        <v>41617</v>
      </c>
      <c r="O3749">
        <v>10753.08</v>
      </c>
      <c r="P3749">
        <v>2688.4</v>
      </c>
      <c r="Q3749" t="s">
        <v>37</v>
      </c>
      <c r="R3749" t="s">
        <v>110</v>
      </c>
      <c r="S3749" t="s">
        <v>1137</v>
      </c>
      <c r="T3749" t="s">
        <v>1138</v>
      </c>
    </row>
    <row r="3750" spans="1:20" x14ac:dyDescent="0.25">
      <c r="A3750" t="s">
        <v>8903</v>
      </c>
      <c r="B3750" t="str">
        <f>"9303"</f>
        <v>9303</v>
      </c>
      <c r="C3750" t="str">
        <f>"291569303"</f>
        <v>291569303</v>
      </c>
      <c r="D3750" t="s">
        <v>8904</v>
      </c>
      <c r="E3750" t="s">
        <v>1589</v>
      </c>
      <c r="F3750" t="s">
        <v>28</v>
      </c>
      <c r="G3750" s="1">
        <v>20546</v>
      </c>
      <c r="H3750" s="1">
        <v>38899</v>
      </c>
      <c r="I3750" t="str">
        <f>"33"</f>
        <v>33</v>
      </c>
      <c r="J3750" t="s">
        <v>45</v>
      </c>
      <c r="K3750" t="s">
        <v>25</v>
      </c>
      <c r="L3750" t="s">
        <v>26</v>
      </c>
      <c r="M3750" t="s">
        <v>27</v>
      </c>
      <c r="N3750" s="1">
        <v>18629</v>
      </c>
      <c r="O3750">
        <v>0</v>
      </c>
      <c r="P3750">
        <v>0</v>
      </c>
      <c r="Q3750" t="s">
        <v>37</v>
      </c>
      <c r="R3750" t="s">
        <v>71</v>
      </c>
      <c r="S3750" t="s">
        <v>955</v>
      </c>
      <c r="T3750" t="s">
        <v>956</v>
      </c>
    </row>
    <row r="3751" spans="1:20" x14ac:dyDescent="0.25">
      <c r="A3751" t="s">
        <v>8905</v>
      </c>
      <c r="B3751" t="str">
        <f>"8651"</f>
        <v>8651</v>
      </c>
      <c r="C3751" t="str">
        <f>"160408651"</f>
        <v>160408651</v>
      </c>
      <c r="D3751" t="s">
        <v>8906</v>
      </c>
      <c r="E3751" t="s">
        <v>2339</v>
      </c>
      <c r="F3751" t="s">
        <v>165</v>
      </c>
      <c r="G3751" s="1">
        <v>17279</v>
      </c>
      <c r="H3751" s="1">
        <v>38899</v>
      </c>
      <c r="I3751" t="str">
        <f>"51"</f>
        <v>51</v>
      </c>
      <c r="J3751" t="s">
        <v>471</v>
      </c>
      <c r="K3751" t="s">
        <v>25</v>
      </c>
      <c r="L3751" t="s">
        <v>26</v>
      </c>
      <c r="M3751" t="s">
        <v>27</v>
      </c>
      <c r="N3751" s="1">
        <v>18629</v>
      </c>
      <c r="O3751">
        <v>0</v>
      </c>
      <c r="P3751">
        <v>0</v>
      </c>
      <c r="Q3751" t="s">
        <v>37</v>
      </c>
      <c r="R3751" t="s">
        <v>51</v>
      </c>
      <c r="S3751" s="2" t="s">
        <v>2202</v>
      </c>
      <c r="T3751" t="s">
        <v>2203</v>
      </c>
    </row>
    <row r="3752" spans="1:20" x14ac:dyDescent="0.25">
      <c r="A3752" t="s">
        <v>8907</v>
      </c>
      <c r="B3752" t="str">
        <f>"2612"</f>
        <v>2612</v>
      </c>
      <c r="C3752" t="str">
        <f>"642322612"</f>
        <v>642322612</v>
      </c>
      <c r="D3752" t="s">
        <v>5354</v>
      </c>
      <c r="E3752" t="s">
        <v>8908</v>
      </c>
      <c r="G3752" s="1">
        <v>23391</v>
      </c>
      <c r="H3752" s="1">
        <v>38899</v>
      </c>
      <c r="I3752" t="str">
        <f>"33"</f>
        <v>33</v>
      </c>
      <c r="J3752" t="s">
        <v>45</v>
      </c>
      <c r="K3752" t="s">
        <v>25</v>
      </c>
      <c r="L3752" t="s">
        <v>26</v>
      </c>
      <c r="M3752" t="s">
        <v>27</v>
      </c>
      <c r="N3752" s="1">
        <v>18629</v>
      </c>
      <c r="O3752">
        <v>0</v>
      </c>
      <c r="P3752">
        <v>0</v>
      </c>
      <c r="Q3752" t="s">
        <v>37</v>
      </c>
      <c r="R3752" t="s">
        <v>51</v>
      </c>
      <c r="S3752" t="s">
        <v>795</v>
      </c>
      <c r="T3752" t="s">
        <v>796</v>
      </c>
    </row>
    <row r="3753" spans="1:20" x14ac:dyDescent="0.25">
      <c r="A3753" t="s">
        <v>8909</v>
      </c>
      <c r="B3753" t="str">
        <f>"5468"</f>
        <v>5468</v>
      </c>
      <c r="C3753" t="str">
        <f>"293585468"</f>
        <v>293585468</v>
      </c>
      <c r="D3753" t="s">
        <v>8910</v>
      </c>
      <c r="E3753" t="s">
        <v>194</v>
      </c>
      <c r="F3753" t="s">
        <v>329</v>
      </c>
      <c r="G3753" s="1">
        <v>20558</v>
      </c>
      <c r="H3753" s="1">
        <v>38887</v>
      </c>
      <c r="I3753" t="str">
        <f>"03"</f>
        <v>03</v>
      </c>
      <c r="J3753" t="s">
        <v>70</v>
      </c>
      <c r="K3753" t="s">
        <v>98</v>
      </c>
      <c r="L3753" t="s">
        <v>37</v>
      </c>
      <c r="M3753" t="s">
        <v>257</v>
      </c>
      <c r="N3753" s="1">
        <v>41617</v>
      </c>
      <c r="O3753">
        <v>10753.08</v>
      </c>
      <c r="P3753">
        <v>2688.4</v>
      </c>
      <c r="Q3753" t="s">
        <v>37</v>
      </c>
      <c r="R3753" t="s">
        <v>29</v>
      </c>
      <c r="S3753" t="s">
        <v>251</v>
      </c>
      <c r="T3753" t="s">
        <v>252</v>
      </c>
    </row>
    <row r="3754" spans="1:20" x14ac:dyDescent="0.25">
      <c r="A3754" t="s">
        <v>8911</v>
      </c>
      <c r="B3754" t="str">
        <f>"9024"</f>
        <v>9024</v>
      </c>
      <c r="C3754" t="str">
        <f>"342409024"</f>
        <v>342409024</v>
      </c>
      <c r="D3754" t="s">
        <v>8912</v>
      </c>
      <c r="E3754" t="s">
        <v>8913</v>
      </c>
      <c r="F3754" t="s">
        <v>26</v>
      </c>
      <c r="G3754" s="1">
        <v>17972</v>
      </c>
      <c r="H3754" s="1">
        <v>38867</v>
      </c>
      <c r="I3754" t="str">
        <f>"50"</f>
        <v>50</v>
      </c>
      <c r="J3754" t="s">
        <v>208</v>
      </c>
      <c r="K3754" t="s">
        <v>25</v>
      </c>
      <c r="L3754" t="s">
        <v>26</v>
      </c>
      <c r="M3754" t="s">
        <v>27</v>
      </c>
      <c r="N3754" s="1">
        <v>18629</v>
      </c>
      <c r="O3754">
        <v>0</v>
      </c>
      <c r="P3754">
        <v>0</v>
      </c>
      <c r="Q3754" t="s">
        <v>28</v>
      </c>
      <c r="R3754" t="s">
        <v>71</v>
      </c>
      <c r="S3754" t="s">
        <v>3419</v>
      </c>
      <c r="T3754" t="s">
        <v>3420</v>
      </c>
    </row>
    <row r="3755" spans="1:20" x14ac:dyDescent="0.25">
      <c r="A3755" t="s">
        <v>8914</v>
      </c>
      <c r="B3755" t="str">
        <f>"8710"</f>
        <v>8710</v>
      </c>
      <c r="C3755" t="str">
        <f>"272788710"</f>
        <v>272788710</v>
      </c>
      <c r="D3755" t="s">
        <v>8915</v>
      </c>
      <c r="E3755" t="s">
        <v>8916</v>
      </c>
      <c r="F3755" t="s">
        <v>44</v>
      </c>
      <c r="G3755" s="1">
        <v>29453</v>
      </c>
      <c r="H3755" s="1">
        <v>38867</v>
      </c>
      <c r="I3755" t="str">
        <f>"51"</f>
        <v>51</v>
      </c>
      <c r="J3755" t="s">
        <v>471</v>
      </c>
      <c r="K3755" t="s">
        <v>25</v>
      </c>
      <c r="L3755" t="s">
        <v>26</v>
      </c>
      <c r="M3755" t="s">
        <v>27</v>
      </c>
      <c r="N3755" s="1">
        <v>18629</v>
      </c>
      <c r="O3755">
        <v>0</v>
      </c>
      <c r="P3755">
        <v>0</v>
      </c>
      <c r="Q3755" t="s">
        <v>37</v>
      </c>
      <c r="R3755" t="s">
        <v>29</v>
      </c>
      <c r="S3755" t="s">
        <v>1204</v>
      </c>
      <c r="T3755" t="s">
        <v>1205</v>
      </c>
    </row>
    <row r="3756" spans="1:20" x14ac:dyDescent="0.25">
      <c r="A3756" t="s">
        <v>8917</v>
      </c>
      <c r="B3756" t="str">
        <f>"4701"</f>
        <v>4701</v>
      </c>
      <c r="C3756" t="str">
        <f>"292644701"</f>
        <v>292644701</v>
      </c>
      <c r="D3756" t="s">
        <v>8918</v>
      </c>
      <c r="E3756" t="s">
        <v>609</v>
      </c>
      <c r="F3756" t="s">
        <v>219</v>
      </c>
      <c r="G3756" s="1">
        <v>24694</v>
      </c>
      <c r="H3756" s="1">
        <v>38845</v>
      </c>
      <c r="I3756" t="str">
        <f>"30"</f>
        <v>30</v>
      </c>
      <c r="J3756" t="s">
        <v>50</v>
      </c>
      <c r="K3756" t="s">
        <v>25</v>
      </c>
      <c r="L3756" t="s">
        <v>26</v>
      </c>
      <c r="M3756" t="s">
        <v>27</v>
      </c>
      <c r="N3756" s="1">
        <v>18629</v>
      </c>
      <c r="O3756">
        <v>0</v>
      </c>
      <c r="P3756">
        <v>0</v>
      </c>
      <c r="Q3756" t="s">
        <v>28</v>
      </c>
      <c r="R3756" t="s">
        <v>29</v>
      </c>
      <c r="S3756" t="s">
        <v>3986</v>
      </c>
      <c r="T3756" t="s">
        <v>3987</v>
      </c>
    </row>
    <row r="3757" spans="1:20" x14ac:dyDescent="0.25">
      <c r="A3757" t="s">
        <v>8919</v>
      </c>
      <c r="B3757" t="str">
        <f>"5028"</f>
        <v>5028</v>
      </c>
      <c r="C3757" t="str">
        <f>"302605028"</f>
        <v>302605028</v>
      </c>
      <c r="D3757" t="s">
        <v>8157</v>
      </c>
      <c r="E3757" t="s">
        <v>518</v>
      </c>
      <c r="G3757" s="1">
        <v>22694</v>
      </c>
      <c r="H3757" s="1">
        <v>38845</v>
      </c>
      <c r="I3757" t="str">
        <f>"30"</f>
        <v>30</v>
      </c>
      <c r="J3757" t="s">
        <v>50</v>
      </c>
      <c r="K3757" t="s">
        <v>25</v>
      </c>
      <c r="L3757" t="s">
        <v>26</v>
      </c>
      <c r="M3757" t="s">
        <v>27</v>
      </c>
      <c r="N3757" s="1">
        <v>18629</v>
      </c>
      <c r="O3757">
        <v>0</v>
      </c>
      <c r="P3757">
        <v>0</v>
      </c>
      <c r="Q3757" t="s">
        <v>37</v>
      </c>
      <c r="R3757" t="s">
        <v>29</v>
      </c>
      <c r="S3757" t="s">
        <v>3986</v>
      </c>
      <c r="T3757" t="s">
        <v>3987</v>
      </c>
    </row>
    <row r="3758" spans="1:20" x14ac:dyDescent="0.25">
      <c r="A3758" t="s">
        <v>8920</v>
      </c>
      <c r="B3758" t="str">
        <f>"2707"</f>
        <v>2707</v>
      </c>
      <c r="C3758" t="str">
        <f>"390822707"</f>
        <v>390822707</v>
      </c>
      <c r="D3758" t="s">
        <v>8921</v>
      </c>
      <c r="E3758" t="s">
        <v>35</v>
      </c>
      <c r="F3758" t="s">
        <v>165</v>
      </c>
      <c r="G3758" s="1">
        <v>24157</v>
      </c>
      <c r="H3758" s="1">
        <v>38838</v>
      </c>
      <c r="I3758" t="str">
        <f>"01"</f>
        <v>01</v>
      </c>
      <c r="J3758" t="s">
        <v>116</v>
      </c>
      <c r="K3758" t="s">
        <v>98</v>
      </c>
      <c r="L3758" t="s">
        <v>37</v>
      </c>
      <c r="M3758" t="s">
        <v>99</v>
      </c>
      <c r="N3758" s="1">
        <v>41617</v>
      </c>
      <c r="O3758">
        <v>14801.8</v>
      </c>
      <c r="P3758">
        <v>3700.32</v>
      </c>
      <c r="Q3758" t="s">
        <v>28</v>
      </c>
      <c r="R3758" t="s">
        <v>29</v>
      </c>
      <c r="S3758" t="s">
        <v>630</v>
      </c>
      <c r="T3758" t="s">
        <v>631</v>
      </c>
    </row>
    <row r="3759" spans="1:20" x14ac:dyDescent="0.25">
      <c r="A3759" t="s">
        <v>8922</v>
      </c>
      <c r="B3759" t="str">
        <f>"4032"</f>
        <v>4032</v>
      </c>
      <c r="C3759" t="str">
        <f>"299644032"</f>
        <v>299644032</v>
      </c>
      <c r="D3759" t="s">
        <v>6661</v>
      </c>
      <c r="E3759" t="s">
        <v>825</v>
      </c>
      <c r="F3759" t="s">
        <v>97</v>
      </c>
      <c r="G3759" s="1">
        <v>23538</v>
      </c>
      <c r="H3759" s="1">
        <v>38838</v>
      </c>
      <c r="I3759" t="str">
        <f>"03"</f>
        <v>03</v>
      </c>
      <c r="J3759" t="s">
        <v>70</v>
      </c>
      <c r="L3759" t="s">
        <v>37</v>
      </c>
      <c r="M3759" t="s">
        <v>143</v>
      </c>
      <c r="N3759" s="1">
        <v>41617</v>
      </c>
      <c r="O3759">
        <v>185.9</v>
      </c>
      <c r="P3759">
        <v>-185.9</v>
      </c>
      <c r="Q3759" t="s">
        <v>28</v>
      </c>
      <c r="R3759" t="s">
        <v>29</v>
      </c>
      <c r="S3759" t="s">
        <v>2066</v>
      </c>
      <c r="T3759" t="s">
        <v>2067</v>
      </c>
    </row>
    <row r="3760" spans="1:20" x14ac:dyDescent="0.25">
      <c r="A3760" t="s">
        <v>8923</v>
      </c>
      <c r="B3760" t="str">
        <f>"8813"</f>
        <v>8813</v>
      </c>
      <c r="C3760" t="str">
        <f>"521338813"</f>
        <v>521338813</v>
      </c>
      <c r="D3760" t="s">
        <v>8052</v>
      </c>
      <c r="E3760" t="s">
        <v>304</v>
      </c>
      <c r="F3760" t="s">
        <v>197</v>
      </c>
      <c r="G3760" s="1">
        <v>24382</v>
      </c>
      <c r="H3760" s="1">
        <v>38831</v>
      </c>
      <c r="I3760" t="str">
        <f>"01"</f>
        <v>01</v>
      </c>
      <c r="J3760" t="s">
        <v>116</v>
      </c>
      <c r="K3760" t="s">
        <v>98</v>
      </c>
      <c r="L3760" t="s">
        <v>37</v>
      </c>
      <c r="M3760" t="s">
        <v>99</v>
      </c>
      <c r="N3760" s="1">
        <v>41617</v>
      </c>
      <c r="O3760">
        <v>14801.8</v>
      </c>
      <c r="P3760">
        <v>3700.32</v>
      </c>
      <c r="Q3760" t="s">
        <v>28</v>
      </c>
      <c r="R3760" t="s">
        <v>110</v>
      </c>
      <c r="S3760" t="s">
        <v>3667</v>
      </c>
      <c r="T3760" t="s">
        <v>3668</v>
      </c>
    </row>
    <row r="3761" spans="1:20" x14ac:dyDescent="0.25">
      <c r="A3761" t="s">
        <v>8924</v>
      </c>
      <c r="B3761" t="str">
        <f>"9240"</f>
        <v>9240</v>
      </c>
      <c r="C3761" t="str">
        <f>"286549240"</f>
        <v>286549240</v>
      </c>
      <c r="D3761" t="s">
        <v>8925</v>
      </c>
      <c r="E3761" t="s">
        <v>3646</v>
      </c>
      <c r="F3761" t="s">
        <v>264</v>
      </c>
      <c r="G3761" s="1">
        <v>20573</v>
      </c>
      <c r="H3761" s="1">
        <v>38831</v>
      </c>
      <c r="I3761" t="str">
        <f>"08"</f>
        <v>08</v>
      </c>
      <c r="J3761" t="s">
        <v>265</v>
      </c>
      <c r="K3761" t="s">
        <v>175</v>
      </c>
      <c r="L3761" t="s">
        <v>37</v>
      </c>
      <c r="M3761" t="s">
        <v>257</v>
      </c>
      <c r="N3761" s="1">
        <v>41617</v>
      </c>
      <c r="O3761">
        <v>11847.94</v>
      </c>
      <c r="P3761">
        <v>2961.92</v>
      </c>
      <c r="Q3761" t="s">
        <v>28</v>
      </c>
      <c r="R3761" t="s">
        <v>71</v>
      </c>
      <c r="S3761" t="s">
        <v>570</v>
      </c>
      <c r="T3761" t="s">
        <v>571</v>
      </c>
    </row>
    <row r="3762" spans="1:20" x14ac:dyDescent="0.25">
      <c r="A3762" t="s">
        <v>8926</v>
      </c>
      <c r="B3762" t="str">
        <f>"1174"</f>
        <v>1174</v>
      </c>
      <c r="C3762" t="str">
        <f>"278821174"</f>
        <v>278821174</v>
      </c>
      <c r="D3762" t="s">
        <v>1087</v>
      </c>
      <c r="E3762" t="s">
        <v>8927</v>
      </c>
      <c r="F3762" t="s">
        <v>7189</v>
      </c>
      <c r="G3762" s="1">
        <v>25014</v>
      </c>
      <c r="H3762" s="1">
        <v>38817</v>
      </c>
      <c r="I3762" t="str">
        <f>"05"</f>
        <v>05</v>
      </c>
      <c r="J3762" t="s">
        <v>58</v>
      </c>
      <c r="K3762" t="s">
        <v>98</v>
      </c>
      <c r="L3762" t="s">
        <v>37</v>
      </c>
      <c r="M3762" t="s">
        <v>117</v>
      </c>
      <c r="N3762" s="1">
        <v>41617</v>
      </c>
      <c r="O3762">
        <v>4951.96</v>
      </c>
      <c r="P3762">
        <v>1237.8599999999999</v>
      </c>
      <c r="Q3762" t="s">
        <v>37</v>
      </c>
      <c r="R3762" t="s">
        <v>29</v>
      </c>
      <c r="S3762" t="s">
        <v>3275</v>
      </c>
      <c r="T3762" t="s">
        <v>3276</v>
      </c>
    </row>
    <row r="3763" spans="1:20" x14ac:dyDescent="0.25">
      <c r="A3763" t="s">
        <v>8928</v>
      </c>
      <c r="B3763" t="str">
        <f>"0301"</f>
        <v>0301</v>
      </c>
      <c r="C3763" t="str">
        <f>"275660301"</f>
        <v>275660301</v>
      </c>
      <c r="D3763" t="s">
        <v>2702</v>
      </c>
      <c r="E3763" t="s">
        <v>8929</v>
      </c>
      <c r="F3763" t="s">
        <v>414</v>
      </c>
      <c r="G3763" s="1">
        <v>24186</v>
      </c>
      <c r="H3763" s="1">
        <v>38815</v>
      </c>
      <c r="I3763" t="str">
        <f>"52"</f>
        <v>52</v>
      </c>
      <c r="J3763" t="s">
        <v>330</v>
      </c>
      <c r="K3763" t="s">
        <v>25</v>
      </c>
      <c r="L3763" t="s">
        <v>26</v>
      </c>
      <c r="M3763" t="s">
        <v>27</v>
      </c>
      <c r="N3763" s="1">
        <v>18629</v>
      </c>
      <c r="O3763">
        <v>0</v>
      </c>
      <c r="P3763">
        <v>0</v>
      </c>
      <c r="Q3763" t="s">
        <v>37</v>
      </c>
      <c r="R3763" t="s">
        <v>29</v>
      </c>
      <c r="S3763" t="s">
        <v>1761</v>
      </c>
      <c r="T3763" t="s">
        <v>1762</v>
      </c>
    </row>
    <row r="3764" spans="1:20" x14ac:dyDescent="0.25">
      <c r="A3764" t="s">
        <v>8930</v>
      </c>
      <c r="B3764" t="str">
        <f>"4132"</f>
        <v>4132</v>
      </c>
      <c r="C3764" t="str">
        <f>"298544132"</f>
        <v>298544132</v>
      </c>
      <c r="D3764" t="s">
        <v>1939</v>
      </c>
      <c r="E3764" t="s">
        <v>304</v>
      </c>
      <c r="F3764" t="s">
        <v>44</v>
      </c>
      <c r="G3764" s="1">
        <v>19490</v>
      </c>
      <c r="H3764" s="1">
        <v>38808</v>
      </c>
      <c r="I3764" t="str">
        <f>"42"</f>
        <v>42</v>
      </c>
      <c r="J3764" t="s">
        <v>367</v>
      </c>
      <c r="K3764" t="s">
        <v>25</v>
      </c>
      <c r="L3764" t="s">
        <v>26</v>
      </c>
      <c r="M3764" t="s">
        <v>27</v>
      </c>
      <c r="N3764" s="1">
        <v>18629</v>
      </c>
      <c r="O3764">
        <v>0</v>
      </c>
      <c r="P3764">
        <v>0</v>
      </c>
      <c r="Q3764" t="s">
        <v>28</v>
      </c>
      <c r="R3764" t="s">
        <v>51</v>
      </c>
      <c r="S3764" t="s">
        <v>1222</v>
      </c>
      <c r="T3764" t="s">
        <v>1223</v>
      </c>
    </row>
    <row r="3765" spans="1:20" x14ac:dyDescent="0.25">
      <c r="A3765" t="s">
        <v>8931</v>
      </c>
      <c r="B3765" t="str">
        <f>"8073"</f>
        <v>8073</v>
      </c>
      <c r="C3765" t="str">
        <f>"275488073"</f>
        <v>275488073</v>
      </c>
      <c r="D3765" t="s">
        <v>1798</v>
      </c>
      <c r="E3765" t="s">
        <v>7977</v>
      </c>
      <c r="F3765" t="s">
        <v>5889</v>
      </c>
      <c r="G3765" s="1">
        <v>20288</v>
      </c>
      <c r="H3765" s="1">
        <v>38808</v>
      </c>
      <c r="I3765" t="str">
        <f>"42"</f>
        <v>42</v>
      </c>
      <c r="J3765" t="s">
        <v>367</v>
      </c>
      <c r="K3765" t="s">
        <v>25</v>
      </c>
      <c r="L3765" t="s">
        <v>26</v>
      </c>
      <c r="M3765" t="s">
        <v>27</v>
      </c>
      <c r="N3765" s="1">
        <v>18629</v>
      </c>
      <c r="O3765">
        <v>0</v>
      </c>
      <c r="P3765">
        <v>0</v>
      </c>
      <c r="Q3765" t="s">
        <v>28</v>
      </c>
      <c r="R3765" t="s">
        <v>51</v>
      </c>
      <c r="S3765" t="s">
        <v>1222</v>
      </c>
      <c r="T3765" t="s">
        <v>1223</v>
      </c>
    </row>
    <row r="3766" spans="1:20" x14ac:dyDescent="0.25">
      <c r="A3766" t="s">
        <v>8932</v>
      </c>
      <c r="B3766" t="str">
        <f>"7382"</f>
        <v>7382</v>
      </c>
      <c r="C3766" t="str">
        <f>"524357382"</f>
        <v>524357382</v>
      </c>
      <c r="D3766" t="s">
        <v>8933</v>
      </c>
      <c r="E3766" t="s">
        <v>8934</v>
      </c>
      <c r="F3766" t="s">
        <v>329</v>
      </c>
      <c r="G3766" s="1">
        <v>24439</v>
      </c>
      <c r="H3766" s="1">
        <v>38803</v>
      </c>
      <c r="I3766" t="str">
        <f>"03"</f>
        <v>03</v>
      </c>
      <c r="J3766" t="s">
        <v>70</v>
      </c>
      <c r="K3766" t="s">
        <v>510</v>
      </c>
      <c r="L3766" t="s">
        <v>37</v>
      </c>
      <c r="M3766" t="s">
        <v>99</v>
      </c>
      <c r="N3766" s="1">
        <v>41617</v>
      </c>
      <c r="O3766">
        <v>19521.84</v>
      </c>
      <c r="P3766">
        <v>4880.46</v>
      </c>
      <c r="Q3766" t="s">
        <v>37</v>
      </c>
      <c r="R3766" t="s">
        <v>29</v>
      </c>
      <c r="S3766" t="s">
        <v>3719</v>
      </c>
      <c r="T3766" t="s">
        <v>3720</v>
      </c>
    </row>
    <row r="3767" spans="1:20" x14ac:dyDescent="0.25">
      <c r="A3767" t="s">
        <v>8935</v>
      </c>
      <c r="B3767" t="str">
        <f>"0953"</f>
        <v>0953</v>
      </c>
      <c r="C3767" t="str">
        <f>"140460953"</f>
        <v>140460953</v>
      </c>
      <c r="D3767" t="s">
        <v>8936</v>
      </c>
      <c r="E3767" t="s">
        <v>2385</v>
      </c>
      <c r="F3767" t="s">
        <v>97</v>
      </c>
      <c r="G3767" s="1">
        <v>18617</v>
      </c>
      <c r="H3767" s="1">
        <v>38803</v>
      </c>
      <c r="I3767" t="str">
        <f>"12"</f>
        <v>12</v>
      </c>
      <c r="J3767" t="s">
        <v>245</v>
      </c>
      <c r="K3767" t="s">
        <v>98</v>
      </c>
      <c r="L3767" t="s">
        <v>37</v>
      </c>
      <c r="M3767" t="s">
        <v>257</v>
      </c>
      <c r="N3767" s="1">
        <v>41617</v>
      </c>
      <c r="O3767">
        <v>10753.08</v>
      </c>
      <c r="P3767">
        <v>2688.4</v>
      </c>
      <c r="Q3767" t="s">
        <v>37</v>
      </c>
      <c r="R3767" t="s">
        <v>29</v>
      </c>
      <c r="S3767" t="s">
        <v>3090</v>
      </c>
      <c r="T3767" t="s">
        <v>3091</v>
      </c>
    </row>
    <row r="3768" spans="1:20" x14ac:dyDescent="0.25">
      <c r="A3768" t="s">
        <v>8937</v>
      </c>
      <c r="B3768" t="str">
        <f>"9009"</f>
        <v>9009</v>
      </c>
      <c r="C3768" t="str">
        <f>"293589009"</f>
        <v>293589009</v>
      </c>
      <c r="D3768" t="s">
        <v>8938</v>
      </c>
      <c r="E3768" t="s">
        <v>263</v>
      </c>
      <c r="F3768" t="s">
        <v>959</v>
      </c>
      <c r="G3768" s="1">
        <v>22961</v>
      </c>
      <c r="H3768" s="1">
        <v>38789</v>
      </c>
      <c r="I3768" t="str">
        <f>"12"</f>
        <v>12</v>
      </c>
      <c r="J3768" t="s">
        <v>245</v>
      </c>
      <c r="K3768" t="s">
        <v>98</v>
      </c>
      <c r="L3768" t="s">
        <v>37</v>
      </c>
      <c r="M3768" t="s">
        <v>117</v>
      </c>
      <c r="N3768" s="1">
        <v>41617</v>
      </c>
      <c r="O3768">
        <v>4951.96</v>
      </c>
      <c r="P3768">
        <v>1237.8599999999999</v>
      </c>
      <c r="Q3768" t="s">
        <v>28</v>
      </c>
      <c r="R3768" t="s">
        <v>71</v>
      </c>
      <c r="S3768" t="s">
        <v>477</v>
      </c>
      <c r="T3768" t="s">
        <v>478</v>
      </c>
    </row>
    <row r="3769" spans="1:20" x14ac:dyDescent="0.25">
      <c r="A3769" t="s">
        <v>8939</v>
      </c>
      <c r="B3769" t="str">
        <f>"2961"</f>
        <v>2961</v>
      </c>
      <c r="C3769" t="str">
        <f>"520022961"</f>
        <v>520022961</v>
      </c>
      <c r="D3769" t="s">
        <v>860</v>
      </c>
      <c r="E3769" t="s">
        <v>22</v>
      </c>
      <c r="F3769" t="s">
        <v>165</v>
      </c>
      <c r="G3769" s="1">
        <v>24866</v>
      </c>
      <c r="H3769" s="1">
        <v>38789</v>
      </c>
      <c r="I3769" t="str">
        <f>"03"</f>
        <v>03</v>
      </c>
      <c r="J3769" t="s">
        <v>70</v>
      </c>
      <c r="K3769" t="s">
        <v>98</v>
      </c>
      <c r="L3769" t="s">
        <v>37</v>
      </c>
      <c r="M3769" t="s">
        <v>257</v>
      </c>
      <c r="N3769" s="1">
        <v>41617</v>
      </c>
      <c r="O3769">
        <v>10753.08</v>
      </c>
      <c r="P3769">
        <v>2688.4</v>
      </c>
      <c r="Q3769" t="s">
        <v>28</v>
      </c>
      <c r="R3769" t="s">
        <v>71</v>
      </c>
      <c r="S3769" t="s">
        <v>4177</v>
      </c>
      <c r="T3769" t="s">
        <v>4178</v>
      </c>
    </row>
    <row r="3770" spans="1:20" x14ac:dyDescent="0.25">
      <c r="A3770" t="s">
        <v>8940</v>
      </c>
      <c r="B3770" t="str">
        <f>"3185"</f>
        <v>3185</v>
      </c>
      <c r="C3770" t="str">
        <f>"300623185"</f>
        <v>300623185</v>
      </c>
      <c r="D3770" t="s">
        <v>8705</v>
      </c>
      <c r="E3770" t="s">
        <v>430</v>
      </c>
      <c r="G3770" s="1">
        <v>22260</v>
      </c>
      <c r="H3770" s="1">
        <v>38779</v>
      </c>
      <c r="I3770" t="str">
        <f>"52"</f>
        <v>52</v>
      </c>
      <c r="J3770" t="s">
        <v>330</v>
      </c>
      <c r="K3770" t="s">
        <v>25</v>
      </c>
      <c r="L3770" t="s">
        <v>26</v>
      </c>
      <c r="M3770" t="s">
        <v>27</v>
      </c>
      <c r="N3770" s="1">
        <v>18629</v>
      </c>
      <c r="O3770">
        <v>0</v>
      </c>
      <c r="P3770">
        <v>0</v>
      </c>
      <c r="Q3770" t="s">
        <v>28</v>
      </c>
      <c r="R3770" t="s">
        <v>258</v>
      </c>
      <c r="S3770" t="s">
        <v>331</v>
      </c>
      <c r="T3770" t="s">
        <v>332</v>
      </c>
    </row>
    <row r="3771" spans="1:20" x14ac:dyDescent="0.25">
      <c r="A3771" t="s">
        <v>8941</v>
      </c>
      <c r="B3771" t="str">
        <f>"2786"</f>
        <v>2786</v>
      </c>
      <c r="C3771" t="str">
        <f>"302482786"</f>
        <v>302482786</v>
      </c>
      <c r="D3771" t="s">
        <v>3894</v>
      </c>
      <c r="E3771" t="s">
        <v>4566</v>
      </c>
      <c r="F3771" t="s">
        <v>264</v>
      </c>
      <c r="G3771" s="1">
        <v>18489</v>
      </c>
      <c r="H3771" s="1">
        <v>38775</v>
      </c>
      <c r="I3771" t="str">
        <f>"03"</f>
        <v>03</v>
      </c>
      <c r="J3771" t="s">
        <v>70</v>
      </c>
      <c r="K3771" t="s">
        <v>98</v>
      </c>
      <c r="L3771" t="s">
        <v>37</v>
      </c>
      <c r="M3771" t="s">
        <v>257</v>
      </c>
      <c r="N3771" s="1">
        <v>41715</v>
      </c>
      <c r="O3771">
        <v>10753.08</v>
      </c>
      <c r="P3771">
        <v>2688.4</v>
      </c>
      <c r="Q3771" t="s">
        <v>37</v>
      </c>
      <c r="R3771" t="s">
        <v>110</v>
      </c>
      <c r="S3771" t="s">
        <v>1963</v>
      </c>
      <c r="T3771" t="s">
        <v>1964</v>
      </c>
    </row>
    <row r="3772" spans="1:20" x14ac:dyDescent="0.25">
      <c r="A3772" t="s">
        <v>8942</v>
      </c>
      <c r="B3772" t="str">
        <f>"9729"</f>
        <v>9729</v>
      </c>
      <c r="C3772" t="str">
        <f>"171309729"</f>
        <v>171309729</v>
      </c>
      <c r="D3772" t="s">
        <v>8943</v>
      </c>
      <c r="E3772" t="s">
        <v>317</v>
      </c>
      <c r="F3772" t="s">
        <v>93</v>
      </c>
      <c r="G3772" s="1">
        <v>14123</v>
      </c>
      <c r="H3772" s="1">
        <v>38761</v>
      </c>
      <c r="I3772" t="str">
        <f>"33"</f>
        <v>33</v>
      </c>
      <c r="J3772" t="s">
        <v>45</v>
      </c>
      <c r="K3772" t="s">
        <v>25</v>
      </c>
      <c r="L3772" t="s">
        <v>26</v>
      </c>
      <c r="M3772" t="s">
        <v>27</v>
      </c>
      <c r="N3772" s="1">
        <v>18629</v>
      </c>
      <c r="O3772">
        <v>0</v>
      </c>
      <c r="P3772">
        <v>0</v>
      </c>
      <c r="Q3772" t="s">
        <v>37</v>
      </c>
      <c r="R3772" t="s">
        <v>346</v>
      </c>
      <c r="S3772" t="s">
        <v>955</v>
      </c>
      <c r="T3772" t="s">
        <v>956</v>
      </c>
    </row>
    <row r="3773" spans="1:20" x14ac:dyDescent="0.25">
      <c r="A3773" t="s">
        <v>8944</v>
      </c>
      <c r="B3773" t="str">
        <f>"5320"</f>
        <v>5320</v>
      </c>
      <c r="C3773" t="str">
        <f>"297525320"</f>
        <v>297525320</v>
      </c>
      <c r="D3773" t="s">
        <v>8945</v>
      </c>
      <c r="E3773" t="s">
        <v>22</v>
      </c>
      <c r="F3773" t="s">
        <v>26</v>
      </c>
      <c r="G3773" s="1">
        <v>20032</v>
      </c>
      <c r="H3773" s="1">
        <v>38761</v>
      </c>
      <c r="I3773" t="str">
        <f>"33"</f>
        <v>33</v>
      </c>
      <c r="J3773" t="s">
        <v>45</v>
      </c>
      <c r="K3773" t="s">
        <v>25</v>
      </c>
      <c r="L3773" t="s">
        <v>26</v>
      </c>
      <c r="M3773" t="s">
        <v>27</v>
      </c>
      <c r="N3773" s="1">
        <v>18629</v>
      </c>
      <c r="O3773">
        <v>0</v>
      </c>
      <c r="P3773">
        <v>0</v>
      </c>
      <c r="Q3773" t="s">
        <v>28</v>
      </c>
      <c r="R3773" t="s">
        <v>71</v>
      </c>
      <c r="S3773" t="s">
        <v>955</v>
      </c>
      <c r="T3773" t="s">
        <v>956</v>
      </c>
    </row>
    <row r="3774" spans="1:20" x14ac:dyDescent="0.25">
      <c r="A3774" t="s">
        <v>8946</v>
      </c>
      <c r="B3774" t="str">
        <f>"7301"</f>
        <v>7301</v>
      </c>
      <c r="C3774" t="str">
        <f>"285607301"</f>
        <v>285607301</v>
      </c>
      <c r="D3774" t="s">
        <v>609</v>
      </c>
      <c r="E3774" t="s">
        <v>619</v>
      </c>
      <c r="F3774" t="s">
        <v>97</v>
      </c>
      <c r="G3774" s="1">
        <v>26334</v>
      </c>
      <c r="H3774" s="1">
        <v>38754</v>
      </c>
      <c r="I3774" t="str">
        <f>"05"</f>
        <v>05</v>
      </c>
      <c r="J3774" t="s">
        <v>58</v>
      </c>
      <c r="K3774" t="s">
        <v>175</v>
      </c>
      <c r="L3774" t="s">
        <v>37</v>
      </c>
      <c r="M3774" t="s">
        <v>99</v>
      </c>
      <c r="N3774" s="1">
        <v>41617</v>
      </c>
      <c r="O3774">
        <v>16411.72</v>
      </c>
      <c r="P3774">
        <v>4102.8</v>
      </c>
      <c r="Q3774" t="s">
        <v>37</v>
      </c>
      <c r="R3774" t="s">
        <v>51</v>
      </c>
      <c r="S3774" t="s">
        <v>487</v>
      </c>
      <c r="T3774" t="s">
        <v>488</v>
      </c>
    </row>
    <row r="3775" spans="1:20" x14ac:dyDescent="0.25">
      <c r="A3775" t="s">
        <v>8947</v>
      </c>
      <c r="B3775" t="str">
        <f>"8001"</f>
        <v>8001</v>
      </c>
      <c r="C3775" t="str">
        <f>"295488001"</f>
        <v>295488001</v>
      </c>
      <c r="D3775" t="s">
        <v>8948</v>
      </c>
      <c r="E3775" t="s">
        <v>35</v>
      </c>
      <c r="F3775" t="s">
        <v>93</v>
      </c>
      <c r="G3775" s="1">
        <v>18204</v>
      </c>
      <c r="H3775" s="1">
        <v>38747</v>
      </c>
      <c r="I3775" t="str">
        <f>"51"</f>
        <v>51</v>
      </c>
      <c r="J3775" t="s">
        <v>471</v>
      </c>
      <c r="K3775" t="s">
        <v>25</v>
      </c>
      <c r="L3775" t="s">
        <v>26</v>
      </c>
      <c r="M3775" t="s">
        <v>27</v>
      </c>
      <c r="N3775" s="1">
        <v>18629</v>
      </c>
      <c r="O3775">
        <v>0</v>
      </c>
      <c r="P3775">
        <v>0</v>
      </c>
      <c r="Q3775" t="s">
        <v>28</v>
      </c>
      <c r="R3775" t="s">
        <v>71</v>
      </c>
      <c r="S3775" t="s">
        <v>2825</v>
      </c>
      <c r="T3775" t="s">
        <v>2826</v>
      </c>
    </row>
    <row r="3776" spans="1:20" x14ac:dyDescent="0.25">
      <c r="A3776" t="s">
        <v>8949</v>
      </c>
      <c r="B3776" t="str">
        <f>"5571"</f>
        <v>5571</v>
      </c>
      <c r="C3776" t="str">
        <f>"277525571"</f>
        <v>277525571</v>
      </c>
      <c r="D3776" t="s">
        <v>8950</v>
      </c>
      <c r="E3776" t="s">
        <v>1248</v>
      </c>
      <c r="G3776" s="1">
        <v>20925</v>
      </c>
      <c r="H3776" s="1">
        <v>38747</v>
      </c>
      <c r="I3776" t="str">
        <f>"12"</f>
        <v>12</v>
      </c>
      <c r="J3776" t="s">
        <v>245</v>
      </c>
      <c r="K3776" t="s">
        <v>175</v>
      </c>
      <c r="L3776" t="s">
        <v>37</v>
      </c>
      <c r="M3776" t="s">
        <v>117</v>
      </c>
      <c r="N3776" s="1">
        <v>41617</v>
      </c>
      <c r="O3776">
        <v>5288.66</v>
      </c>
      <c r="P3776">
        <v>1322.1</v>
      </c>
      <c r="Q3776" t="s">
        <v>37</v>
      </c>
      <c r="R3776" t="s">
        <v>51</v>
      </c>
      <c r="S3776" s="2" t="s">
        <v>52</v>
      </c>
      <c r="T3776" t="s">
        <v>53</v>
      </c>
    </row>
    <row r="3777" spans="1:20" x14ac:dyDescent="0.25">
      <c r="A3777" t="s">
        <v>8951</v>
      </c>
      <c r="B3777" t="str">
        <f>"3910"</f>
        <v>3910</v>
      </c>
      <c r="C3777" t="str">
        <f>"238353910"</f>
        <v>238353910</v>
      </c>
      <c r="D3777" t="s">
        <v>8952</v>
      </c>
      <c r="E3777" t="s">
        <v>48</v>
      </c>
      <c r="F3777" t="s">
        <v>438</v>
      </c>
      <c r="G3777" s="1">
        <v>23771</v>
      </c>
      <c r="H3777" s="1">
        <v>38747</v>
      </c>
      <c r="I3777" t="str">
        <f>"20"</f>
        <v>20</v>
      </c>
      <c r="J3777" t="s">
        <v>123</v>
      </c>
      <c r="K3777" t="s">
        <v>98</v>
      </c>
      <c r="L3777" t="s">
        <v>37</v>
      </c>
      <c r="M3777" t="s">
        <v>99</v>
      </c>
      <c r="N3777" s="1">
        <v>41631</v>
      </c>
      <c r="O3777">
        <v>14801.82</v>
      </c>
      <c r="P3777">
        <v>3700.4</v>
      </c>
      <c r="Q3777" t="s">
        <v>37</v>
      </c>
      <c r="R3777" t="s">
        <v>71</v>
      </c>
      <c r="S3777" t="s">
        <v>209</v>
      </c>
      <c r="T3777" t="s">
        <v>210</v>
      </c>
    </row>
    <row r="3778" spans="1:20" x14ac:dyDescent="0.25">
      <c r="A3778" t="s">
        <v>8953</v>
      </c>
      <c r="B3778" t="str">
        <f>"0143"</f>
        <v>0143</v>
      </c>
      <c r="C3778" t="str">
        <f>"297520143"</f>
        <v>297520143</v>
      </c>
      <c r="D3778" t="s">
        <v>6872</v>
      </c>
      <c r="E3778" t="s">
        <v>1353</v>
      </c>
      <c r="F3778" t="s">
        <v>69</v>
      </c>
      <c r="G3778" s="1">
        <v>19138</v>
      </c>
      <c r="H3778" s="1">
        <v>38747</v>
      </c>
      <c r="I3778" t="str">
        <f>"51"</f>
        <v>51</v>
      </c>
      <c r="J3778" t="s">
        <v>471</v>
      </c>
      <c r="K3778" t="s">
        <v>25</v>
      </c>
      <c r="L3778" t="s">
        <v>26</v>
      </c>
      <c r="M3778" t="s">
        <v>27</v>
      </c>
      <c r="N3778" s="1">
        <v>18629</v>
      </c>
      <c r="O3778">
        <v>0</v>
      </c>
      <c r="P3778">
        <v>0</v>
      </c>
      <c r="Q3778" t="s">
        <v>37</v>
      </c>
      <c r="R3778" t="s">
        <v>51</v>
      </c>
      <c r="S3778" s="2" t="s">
        <v>2202</v>
      </c>
      <c r="T3778" t="s">
        <v>2203</v>
      </c>
    </row>
    <row r="3779" spans="1:20" x14ac:dyDescent="0.25">
      <c r="A3779" t="s">
        <v>8954</v>
      </c>
      <c r="B3779" t="str">
        <f>"9201"</f>
        <v>9201</v>
      </c>
      <c r="C3779" t="str">
        <f>"263399201"</f>
        <v>263399201</v>
      </c>
      <c r="D3779" t="s">
        <v>7996</v>
      </c>
      <c r="E3779" t="s">
        <v>922</v>
      </c>
      <c r="G3779" s="1">
        <v>22408</v>
      </c>
      <c r="H3779" s="1">
        <v>38747</v>
      </c>
      <c r="I3779" t="str">
        <f>"05"</f>
        <v>05</v>
      </c>
      <c r="J3779" t="s">
        <v>58</v>
      </c>
      <c r="K3779" t="s">
        <v>98</v>
      </c>
      <c r="L3779" t="s">
        <v>37</v>
      </c>
      <c r="M3779" t="s">
        <v>257</v>
      </c>
      <c r="N3779" s="1">
        <v>41617</v>
      </c>
      <c r="O3779">
        <v>10753.08</v>
      </c>
      <c r="P3779">
        <v>2688.4</v>
      </c>
      <c r="Q3779" t="s">
        <v>37</v>
      </c>
      <c r="R3779" t="s">
        <v>71</v>
      </c>
      <c r="S3779" t="s">
        <v>5842</v>
      </c>
      <c r="T3779" t="s">
        <v>5843</v>
      </c>
    </row>
    <row r="3780" spans="1:20" x14ac:dyDescent="0.25">
      <c r="A3780" t="s">
        <v>8955</v>
      </c>
      <c r="B3780" t="str">
        <f>"9632"</f>
        <v>9632</v>
      </c>
      <c r="C3780" t="str">
        <f>"282389632"</f>
        <v>282389632</v>
      </c>
      <c r="D3780" t="s">
        <v>8956</v>
      </c>
      <c r="E3780" t="s">
        <v>1533</v>
      </c>
      <c r="F3780" t="s">
        <v>28</v>
      </c>
      <c r="G3780" s="1">
        <v>15389</v>
      </c>
      <c r="H3780" s="1">
        <v>38740</v>
      </c>
      <c r="I3780" t="str">
        <f>"33"</f>
        <v>33</v>
      </c>
      <c r="J3780" t="s">
        <v>45</v>
      </c>
      <c r="K3780" t="s">
        <v>25</v>
      </c>
      <c r="L3780" t="s">
        <v>26</v>
      </c>
      <c r="M3780" t="s">
        <v>27</v>
      </c>
      <c r="N3780" s="1">
        <v>18629</v>
      </c>
      <c r="O3780">
        <v>0</v>
      </c>
      <c r="P3780">
        <v>0</v>
      </c>
      <c r="Q3780" t="s">
        <v>37</v>
      </c>
      <c r="R3780" t="s">
        <v>258</v>
      </c>
      <c r="S3780" t="s">
        <v>157</v>
      </c>
      <c r="T3780" t="s">
        <v>158</v>
      </c>
    </row>
    <row r="3781" spans="1:20" x14ac:dyDescent="0.25">
      <c r="A3781" t="s">
        <v>8957</v>
      </c>
      <c r="B3781" t="str">
        <f>"7398"</f>
        <v>7398</v>
      </c>
      <c r="C3781" t="str">
        <f>"294727398"</f>
        <v>294727398</v>
      </c>
      <c r="D3781" t="s">
        <v>8958</v>
      </c>
      <c r="E3781" t="s">
        <v>322</v>
      </c>
      <c r="G3781" s="1">
        <v>24599</v>
      </c>
      <c r="H3781" s="1">
        <v>38740</v>
      </c>
      <c r="I3781" t="str">
        <f>"33"</f>
        <v>33</v>
      </c>
      <c r="J3781" t="s">
        <v>45</v>
      </c>
      <c r="K3781" t="s">
        <v>25</v>
      </c>
      <c r="L3781" t="s">
        <v>26</v>
      </c>
      <c r="M3781" t="s">
        <v>27</v>
      </c>
      <c r="N3781" s="1">
        <v>18629</v>
      </c>
      <c r="O3781">
        <v>0</v>
      </c>
      <c r="P3781">
        <v>0</v>
      </c>
      <c r="Q3781" t="s">
        <v>37</v>
      </c>
      <c r="R3781" t="s">
        <v>51</v>
      </c>
      <c r="S3781" s="2" t="s">
        <v>8959</v>
      </c>
      <c r="T3781" t="s">
        <v>8960</v>
      </c>
    </row>
    <row r="3782" spans="1:20" x14ac:dyDescent="0.25">
      <c r="A3782" t="s">
        <v>8961</v>
      </c>
      <c r="B3782" t="str">
        <f>"2381"</f>
        <v>2381</v>
      </c>
      <c r="C3782" t="str">
        <f>"290502381"</f>
        <v>290502381</v>
      </c>
      <c r="D3782" t="s">
        <v>5046</v>
      </c>
      <c r="E3782" t="s">
        <v>8962</v>
      </c>
      <c r="F3782" t="s">
        <v>93</v>
      </c>
      <c r="G3782" s="1">
        <v>19255</v>
      </c>
      <c r="H3782" s="1">
        <v>38740</v>
      </c>
      <c r="I3782" t="str">
        <f>"51"</f>
        <v>51</v>
      </c>
      <c r="J3782" t="s">
        <v>471</v>
      </c>
      <c r="K3782" t="s">
        <v>25</v>
      </c>
      <c r="L3782" t="s">
        <v>26</v>
      </c>
      <c r="M3782" t="s">
        <v>27</v>
      </c>
      <c r="N3782" s="1">
        <v>18629</v>
      </c>
      <c r="O3782">
        <v>0</v>
      </c>
      <c r="P3782">
        <v>0</v>
      </c>
      <c r="Q3782" t="s">
        <v>37</v>
      </c>
      <c r="R3782" t="s">
        <v>258</v>
      </c>
      <c r="S3782" t="s">
        <v>960</v>
      </c>
      <c r="T3782" t="s">
        <v>314</v>
      </c>
    </row>
    <row r="3783" spans="1:20" x14ac:dyDescent="0.25">
      <c r="A3783" t="s">
        <v>8963</v>
      </c>
      <c r="B3783" t="str">
        <f>"8236"</f>
        <v>8236</v>
      </c>
      <c r="C3783" t="str">
        <f>"295568236"</f>
        <v>295568236</v>
      </c>
      <c r="D3783" t="s">
        <v>4611</v>
      </c>
      <c r="E3783" t="s">
        <v>3160</v>
      </c>
      <c r="G3783" s="1">
        <v>20997</v>
      </c>
      <c r="H3783" s="1">
        <v>38734</v>
      </c>
      <c r="I3783" t="str">
        <f>"08"</f>
        <v>08</v>
      </c>
      <c r="J3783" t="s">
        <v>265</v>
      </c>
      <c r="K3783" t="s">
        <v>98</v>
      </c>
      <c r="L3783" t="s">
        <v>37</v>
      </c>
      <c r="M3783" t="s">
        <v>257</v>
      </c>
      <c r="N3783" s="1">
        <v>41617</v>
      </c>
      <c r="O3783">
        <v>10753.08</v>
      </c>
      <c r="P3783">
        <v>2688.4</v>
      </c>
      <c r="Q3783" t="s">
        <v>28</v>
      </c>
      <c r="R3783" t="s">
        <v>29</v>
      </c>
      <c r="S3783" t="s">
        <v>982</v>
      </c>
      <c r="T3783" t="s">
        <v>983</v>
      </c>
    </row>
    <row r="3784" spans="1:20" x14ac:dyDescent="0.25">
      <c r="A3784" t="s">
        <v>8964</v>
      </c>
      <c r="B3784" t="str">
        <f>"3272"</f>
        <v>3272</v>
      </c>
      <c r="C3784" t="str">
        <f>"293603272"</f>
        <v>293603272</v>
      </c>
      <c r="D3784" t="s">
        <v>8965</v>
      </c>
      <c r="E3784" t="s">
        <v>227</v>
      </c>
      <c r="F3784" t="s">
        <v>69</v>
      </c>
      <c r="G3784" s="1">
        <v>26089</v>
      </c>
      <c r="H3784" s="1">
        <v>38734</v>
      </c>
      <c r="I3784" t="str">
        <f>"30"</f>
        <v>30</v>
      </c>
      <c r="J3784" t="s">
        <v>50</v>
      </c>
      <c r="K3784" t="s">
        <v>25</v>
      </c>
      <c r="L3784" t="s">
        <v>26</v>
      </c>
      <c r="M3784" t="s">
        <v>27</v>
      </c>
      <c r="N3784" s="1">
        <v>18629</v>
      </c>
      <c r="O3784">
        <v>0</v>
      </c>
      <c r="P3784">
        <v>0</v>
      </c>
      <c r="Q3784" t="s">
        <v>28</v>
      </c>
      <c r="R3784" t="s">
        <v>51</v>
      </c>
      <c r="S3784" s="2" t="s">
        <v>198</v>
      </c>
      <c r="T3784" t="s">
        <v>199</v>
      </c>
    </row>
    <row r="3785" spans="1:20" x14ac:dyDescent="0.25">
      <c r="A3785" t="s">
        <v>8966</v>
      </c>
      <c r="B3785" t="str">
        <f>"4451"</f>
        <v>4451</v>
      </c>
      <c r="C3785" t="str">
        <f>"301684451"</f>
        <v>301684451</v>
      </c>
      <c r="D3785" t="s">
        <v>4568</v>
      </c>
      <c r="E3785" t="s">
        <v>106</v>
      </c>
      <c r="F3785" t="s">
        <v>28</v>
      </c>
      <c r="G3785" s="1">
        <v>23552</v>
      </c>
      <c r="H3785" s="1">
        <v>38734</v>
      </c>
      <c r="I3785" t="str">
        <f>"08"</f>
        <v>08</v>
      </c>
      <c r="J3785" t="s">
        <v>265</v>
      </c>
      <c r="K3785" t="s">
        <v>98</v>
      </c>
      <c r="L3785" t="s">
        <v>37</v>
      </c>
      <c r="M3785" t="s">
        <v>117</v>
      </c>
      <c r="N3785" s="1">
        <v>41617</v>
      </c>
      <c r="O3785">
        <v>4951.96</v>
      </c>
      <c r="P3785">
        <v>1237.8599999999999</v>
      </c>
      <c r="Q3785" t="s">
        <v>28</v>
      </c>
      <c r="R3785" t="s">
        <v>29</v>
      </c>
      <c r="S3785" t="s">
        <v>982</v>
      </c>
      <c r="T3785" t="s">
        <v>983</v>
      </c>
    </row>
    <row r="3786" spans="1:20" x14ac:dyDescent="0.25">
      <c r="A3786" t="s">
        <v>8967</v>
      </c>
      <c r="B3786" t="str">
        <f>"7464"</f>
        <v>7464</v>
      </c>
      <c r="C3786" t="str">
        <f>"299807464"</f>
        <v>299807464</v>
      </c>
      <c r="D3786" t="s">
        <v>8968</v>
      </c>
      <c r="E3786" t="s">
        <v>1067</v>
      </c>
      <c r="F3786" t="s">
        <v>219</v>
      </c>
      <c r="G3786" s="1">
        <v>25371</v>
      </c>
      <c r="H3786" s="1">
        <v>38734</v>
      </c>
      <c r="I3786" t="str">
        <f>"08"</f>
        <v>08</v>
      </c>
      <c r="J3786" t="s">
        <v>265</v>
      </c>
      <c r="K3786" t="s">
        <v>98</v>
      </c>
      <c r="L3786" t="s">
        <v>37</v>
      </c>
      <c r="M3786" t="s">
        <v>99</v>
      </c>
      <c r="N3786" s="1">
        <v>41617</v>
      </c>
      <c r="O3786">
        <v>14801.8</v>
      </c>
      <c r="P3786">
        <v>3700.32</v>
      </c>
      <c r="Q3786" t="s">
        <v>28</v>
      </c>
      <c r="R3786" t="s">
        <v>51</v>
      </c>
      <c r="S3786" t="s">
        <v>993</v>
      </c>
      <c r="T3786" t="s">
        <v>994</v>
      </c>
    </row>
    <row r="3787" spans="1:20" x14ac:dyDescent="0.25">
      <c r="A3787" t="s">
        <v>8969</v>
      </c>
      <c r="B3787" t="str">
        <f>"1783"</f>
        <v>1783</v>
      </c>
      <c r="C3787" t="str">
        <f>"299421783"</f>
        <v>299421783</v>
      </c>
      <c r="D3787" t="s">
        <v>5744</v>
      </c>
      <c r="E3787" t="s">
        <v>1711</v>
      </c>
      <c r="F3787" t="s">
        <v>44</v>
      </c>
      <c r="G3787" s="1">
        <v>19593</v>
      </c>
      <c r="H3787" s="1">
        <v>38733</v>
      </c>
      <c r="I3787" t="str">
        <f>"20"</f>
        <v>20</v>
      </c>
      <c r="J3787" t="s">
        <v>123</v>
      </c>
      <c r="K3787" t="s">
        <v>98</v>
      </c>
      <c r="L3787" t="s">
        <v>37</v>
      </c>
      <c r="M3787" t="s">
        <v>117</v>
      </c>
      <c r="N3787" s="1">
        <v>41631</v>
      </c>
      <c r="O3787">
        <v>4951.9799999999996</v>
      </c>
      <c r="P3787">
        <v>1237.94</v>
      </c>
      <c r="Q3787" t="s">
        <v>37</v>
      </c>
      <c r="R3787" t="s">
        <v>71</v>
      </c>
      <c r="S3787" t="s">
        <v>305</v>
      </c>
      <c r="T3787" t="s">
        <v>306</v>
      </c>
    </row>
    <row r="3788" spans="1:20" x14ac:dyDescent="0.25">
      <c r="A3788" t="s">
        <v>8970</v>
      </c>
      <c r="B3788" t="str">
        <f>"4987"</f>
        <v>4987</v>
      </c>
      <c r="C3788" t="str">
        <f>"281464987"</f>
        <v>281464987</v>
      </c>
      <c r="D3788" t="s">
        <v>1812</v>
      </c>
      <c r="E3788" t="s">
        <v>1726</v>
      </c>
      <c r="F3788" t="s">
        <v>556</v>
      </c>
      <c r="G3788" s="1">
        <v>17826</v>
      </c>
      <c r="H3788" s="1">
        <v>38730</v>
      </c>
      <c r="I3788" t="str">
        <f t="shared" ref="I3788:I3803" si="84">"51"</f>
        <v>51</v>
      </c>
      <c r="J3788" t="s">
        <v>471</v>
      </c>
      <c r="K3788" t="s">
        <v>25</v>
      </c>
      <c r="L3788" t="s">
        <v>26</v>
      </c>
      <c r="M3788" t="s">
        <v>27</v>
      </c>
      <c r="N3788" s="1">
        <v>18629</v>
      </c>
      <c r="O3788">
        <v>0</v>
      </c>
      <c r="P3788">
        <v>0</v>
      </c>
      <c r="Q3788" t="s">
        <v>37</v>
      </c>
      <c r="R3788" t="s">
        <v>29</v>
      </c>
      <c r="S3788" t="s">
        <v>1422</v>
      </c>
      <c r="T3788" t="s">
        <v>1423</v>
      </c>
    </row>
    <row r="3789" spans="1:20" x14ac:dyDescent="0.25">
      <c r="A3789" t="s">
        <v>8971</v>
      </c>
      <c r="B3789" t="str">
        <f>"3302"</f>
        <v>3302</v>
      </c>
      <c r="C3789" t="str">
        <f>"270463302"</f>
        <v>270463302</v>
      </c>
      <c r="D3789" t="s">
        <v>2321</v>
      </c>
      <c r="E3789" t="s">
        <v>1854</v>
      </c>
      <c r="F3789" t="s">
        <v>97</v>
      </c>
      <c r="G3789" s="1">
        <v>17635</v>
      </c>
      <c r="H3789" s="1">
        <v>38730</v>
      </c>
      <c r="I3789" t="str">
        <f t="shared" si="84"/>
        <v>51</v>
      </c>
      <c r="J3789" t="s">
        <v>471</v>
      </c>
      <c r="K3789" t="s">
        <v>25</v>
      </c>
      <c r="L3789" t="s">
        <v>26</v>
      </c>
      <c r="M3789" t="s">
        <v>27</v>
      </c>
      <c r="N3789" s="1">
        <v>18629</v>
      </c>
      <c r="O3789">
        <v>0</v>
      </c>
      <c r="P3789">
        <v>0</v>
      </c>
      <c r="Q3789" t="s">
        <v>28</v>
      </c>
      <c r="R3789" t="s">
        <v>51</v>
      </c>
      <c r="S3789" s="2" t="s">
        <v>1568</v>
      </c>
      <c r="T3789" t="s">
        <v>1569</v>
      </c>
    </row>
    <row r="3790" spans="1:20" x14ac:dyDescent="0.25">
      <c r="A3790" t="s">
        <v>8972</v>
      </c>
      <c r="B3790" t="str">
        <f>"6006"</f>
        <v>6006</v>
      </c>
      <c r="C3790" t="str">
        <f>"324666006"</f>
        <v>324666006</v>
      </c>
      <c r="D3790" t="s">
        <v>8973</v>
      </c>
      <c r="E3790" t="s">
        <v>430</v>
      </c>
      <c r="F3790" t="s">
        <v>345</v>
      </c>
      <c r="G3790" s="1">
        <v>25086</v>
      </c>
      <c r="H3790" s="1">
        <v>38730</v>
      </c>
      <c r="I3790" t="str">
        <f t="shared" si="84"/>
        <v>51</v>
      </c>
      <c r="J3790" t="s">
        <v>471</v>
      </c>
      <c r="K3790" t="s">
        <v>25</v>
      </c>
      <c r="L3790" t="s">
        <v>26</v>
      </c>
      <c r="M3790" t="s">
        <v>27</v>
      </c>
      <c r="N3790" s="1">
        <v>18629</v>
      </c>
      <c r="O3790">
        <v>0</v>
      </c>
      <c r="P3790">
        <v>0</v>
      </c>
      <c r="Q3790" t="s">
        <v>28</v>
      </c>
      <c r="R3790" t="s">
        <v>71</v>
      </c>
      <c r="S3790" s="2" t="s">
        <v>2202</v>
      </c>
      <c r="T3790" t="s">
        <v>2203</v>
      </c>
    </row>
    <row r="3791" spans="1:20" x14ac:dyDescent="0.25">
      <c r="A3791" t="s">
        <v>8974</v>
      </c>
      <c r="B3791" t="str">
        <f>"1658"</f>
        <v>1658</v>
      </c>
      <c r="C3791" t="str">
        <f>"279361658"</f>
        <v>279361658</v>
      </c>
      <c r="D3791" t="s">
        <v>8975</v>
      </c>
      <c r="E3791" t="s">
        <v>1381</v>
      </c>
      <c r="F3791" t="s">
        <v>629</v>
      </c>
      <c r="G3791" s="1">
        <v>15122</v>
      </c>
      <c r="H3791" s="1">
        <v>38730</v>
      </c>
      <c r="I3791" t="str">
        <f t="shared" si="84"/>
        <v>51</v>
      </c>
      <c r="J3791" t="s">
        <v>471</v>
      </c>
      <c r="K3791" t="s">
        <v>25</v>
      </c>
      <c r="L3791" t="s">
        <v>26</v>
      </c>
      <c r="M3791" t="s">
        <v>27</v>
      </c>
      <c r="N3791" s="1">
        <v>18629</v>
      </c>
      <c r="O3791">
        <v>0</v>
      </c>
      <c r="P3791">
        <v>0</v>
      </c>
      <c r="Q3791" t="s">
        <v>28</v>
      </c>
      <c r="R3791" t="s">
        <v>71</v>
      </c>
      <c r="S3791" t="s">
        <v>871</v>
      </c>
      <c r="T3791" t="s">
        <v>872</v>
      </c>
    </row>
    <row r="3792" spans="1:20" x14ac:dyDescent="0.25">
      <c r="A3792" t="s">
        <v>8976</v>
      </c>
      <c r="B3792" t="str">
        <f>"2928"</f>
        <v>2928</v>
      </c>
      <c r="C3792" t="str">
        <f>"270602928"</f>
        <v>270602928</v>
      </c>
      <c r="D3792" t="s">
        <v>8977</v>
      </c>
      <c r="E3792" t="s">
        <v>1049</v>
      </c>
      <c r="F3792" t="s">
        <v>190</v>
      </c>
      <c r="G3792" s="1">
        <v>21190</v>
      </c>
      <c r="H3792" s="1">
        <v>38730</v>
      </c>
      <c r="I3792" t="str">
        <f t="shared" si="84"/>
        <v>51</v>
      </c>
      <c r="J3792" t="s">
        <v>471</v>
      </c>
      <c r="K3792" t="s">
        <v>25</v>
      </c>
      <c r="L3792" t="s">
        <v>26</v>
      </c>
      <c r="M3792" t="s">
        <v>27</v>
      </c>
      <c r="N3792" s="1">
        <v>18629</v>
      </c>
      <c r="O3792">
        <v>0</v>
      </c>
      <c r="P3792">
        <v>0</v>
      </c>
      <c r="Q3792" t="s">
        <v>28</v>
      </c>
      <c r="R3792" t="s">
        <v>71</v>
      </c>
      <c r="S3792" t="s">
        <v>2190</v>
      </c>
      <c r="T3792" t="s">
        <v>2191</v>
      </c>
    </row>
    <row r="3793" spans="1:20" x14ac:dyDescent="0.25">
      <c r="A3793" t="s">
        <v>8978</v>
      </c>
      <c r="B3793" t="str">
        <f>"5683"</f>
        <v>5683</v>
      </c>
      <c r="C3793" t="str">
        <f>"269545683"</f>
        <v>269545683</v>
      </c>
      <c r="D3793" t="s">
        <v>8979</v>
      </c>
      <c r="E3793" t="s">
        <v>1981</v>
      </c>
      <c r="F3793" t="s">
        <v>93</v>
      </c>
      <c r="G3793" s="1">
        <v>19304</v>
      </c>
      <c r="H3793" s="1">
        <v>38730</v>
      </c>
      <c r="I3793" t="str">
        <f t="shared" si="84"/>
        <v>51</v>
      </c>
      <c r="J3793" t="s">
        <v>471</v>
      </c>
      <c r="K3793" t="s">
        <v>25</v>
      </c>
      <c r="L3793" t="s">
        <v>26</v>
      </c>
      <c r="M3793" t="s">
        <v>27</v>
      </c>
      <c r="N3793" s="1">
        <v>18629</v>
      </c>
      <c r="O3793">
        <v>0</v>
      </c>
      <c r="P3793">
        <v>0</v>
      </c>
      <c r="Q3793" t="s">
        <v>37</v>
      </c>
      <c r="R3793" t="s">
        <v>71</v>
      </c>
      <c r="S3793" t="s">
        <v>2634</v>
      </c>
      <c r="T3793" t="s">
        <v>2635</v>
      </c>
    </row>
    <row r="3794" spans="1:20" x14ac:dyDescent="0.25">
      <c r="A3794" t="s">
        <v>8980</v>
      </c>
      <c r="B3794" t="str">
        <f>"1529"</f>
        <v>1529</v>
      </c>
      <c r="C3794" t="str">
        <f>"087401529"</f>
        <v>087401529</v>
      </c>
      <c r="D3794" t="s">
        <v>8981</v>
      </c>
      <c r="E3794" t="s">
        <v>628</v>
      </c>
      <c r="F3794" t="s">
        <v>165</v>
      </c>
      <c r="G3794" s="1">
        <v>17974</v>
      </c>
      <c r="H3794" s="1">
        <v>38730</v>
      </c>
      <c r="I3794" t="str">
        <f t="shared" si="84"/>
        <v>51</v>
      </c>
      <c r="J3794" t="s">
        <v>471</v>
      </c>
      <c r="K3794" t="s">
        <v>25</v>
      </c>
      <c r="L3794" t="s">
        <v>26</v>
      </c>
      <c r="M3794" t="s">
        <v>27</v>
      </c>
      <c r="N3794" s="1">
        <v>18629</v>
      </c>
      <c r="O3794">
        <v>0</v>
      </c>
      <c r="P3794">
        <v>0</v>
      </c>
      <c r="Q3794" t="s">
        <v>37</v>
      </c>
      <c r="R3794" t="s">
        <v>51</v>
      </c>
      <c r="S3794" t="s">
        <v>1427</v>
      </c>
      <c r="T3794" t="s">
        <v>1428</v>
      </c>
    </row>
    <row r="3795" spans="1:20" x14ac:dyDescent="0.25">
      <c r="A3795" t="s">
        <v>8982</v>
      </c>
      <c r="B3795" t="str">
        <f>"7568"</f>
        <v>7568</v>
      </c>
      <c r="C3795" t="str">
        <f>"170627568"</f>
        <v>170627568</v>
      </c>
      <c r="D3795" t="s">
        <v>440</v>
      </c>
      <c r="E3795" t="s">
        <v>561</v>
      </c>
      <c r="F3795" t="s">
        <v>264</v>
      </c>
      <c r="G3795" s="1">
        <v>24924</v>
      </c>
      <c r="H3795" s="1">
        <v>38730</v>
      </c>
      <c r="I3795" t="str">
        <f t="shared" si="84"/>
        <v>51</v>
      </c>
      <c r="J3795" t="s">
        <v>471</v>
      </c>
      <c r="K3795" t="s">
        <v>25</v>
      </c>
      <c r="L3795" t="s">
        <v>26</v>
      </c>
      <c r="M3795" t="s">
        <v>27</v>
      </c>
      <c r="N3795" s="1">
        <v>18629</v>
      </c>
      <c r="O3795">
        <v>0</v>
      </c>
      <c r="P3795">
        <v>0</v>
      </c>
      <c r="Q3795" t="s">
        <v>37</v>
      </c>
      <c r="R3795" t="s">
        <v>71</v>
      </c>
      <c r="S3795" t="s">
        <v>157</v>
      </c>
      <c r="T3795" t="s">
        <v>158</v>
      </c>
    </row>
    <row r="3796" spans="1:20" x14ac:dyDescent="0.25">
      <c r="A3796" t="s">
        <v>8983</v>
      </c>
      <c r="B3796" t="str">
        <f>"7982"</f>
        <v>7982</v>
      </c>
      <c r="C3796" t="str">
        <f>"296707982"</f>
        <v>296707982</v>
      </c>
      <c r="D3796" t="s">
        <v>8984</v>
      </c>
      <c r="E3796" t="s">
        <v>33</v>
      </c>
      <c r="F3796" t="s">
        <v>832</v>
      </c>
      <c r="G3796" s="1">
        <v>24944</v>
      </c>
      <c r="H3796" s="1">
        <v>38730</v>
      </c>
      <c r="I3796" t="str">
        <f t="shared" si="84"/>
        <v>51</v>
      </c>
      <c r="J3796" t="s">
        <v>471</v>
      </c>
      <c r="K3796" t="s">
        <v>25</v>
      </c>
      <c r="L3796" t="s">
        <v>26</v>
      </c>
      <c r="M3796" t="s">
        <v>27</v>
      </c>
      <c r="N3796" s="1">
        <v>18629</v>
      </c>
      <c r="O3796">
        <v>0</v>
      </c>
      <c r="P3796">
        <v>0</v>
      </c>
      <c r="Q3796" t="s">
        <v>28</v>
      </c>
      <c r="R3796" t="s">
        <v>71</v>
      </c>
      <c r="S3796" s="2" t="s">
        <v>2202</v>
      </c>
      <c r="T3796" t="s">
        <v>2203</v>
      </c>
    </row>
    <row r="3797" spans="1:20" x14ac:dyDescent="0.25">
      <c r="A3797" t="s">
        <v>8985</v>
      </c>
      <c r="B3797" t="str">
        <f>"1461"</f>
        <v>1461</v>
      </c>
      <c r="C3797" t="str">
        <f>"161741461"</f>
        <v>161741461</v>
      </c>
      <c r="D3797" t="s">
        <v>8986</v>
      </c>
      <c r="E3797" t="s">
        <v>6795</v>
      </c>
      <c r="F3797" t="s">
        <v>28</v>
      </c>
      <c r="G3797" s="1">
        <v>27979</v>
      </c>
      <c r="H3797" s="1">
        <v>38730</v>
      </c>
      <c r="I3797" t="str">
        <f t="shared" si="84"/>
        <v>51</v>
      </c>
      <c r="J3797" t="s">
        <v>471</v>
      </c>
      <c r="K3797" t="s">
        <v>25</v>
      </c>
      <c r="L3797" t="s">
        <v>26</v>
      </c>
      <c r="M3797" t="s">
        <v>27</v>
      </c>
      <c r="N3797" s="1">
        <v>18629</v>
      </c>
      <c r="O3797">
        <v>0</v>
      </c>
      <c r="P3797">
        <v>0</v>
      </c>
      <c r="Q3797" t="s">
        <v>37</v>
      </c>
      <c r="R3797" t="s">
        <v>29</v>
      </c>
      <c r="S3797" t="s">
        <v>138</v>
      </c>
      <c r="T3797" t="s">
        <v>139</v>
      </c>
    </row>
    <row r="3798" spans="1:20" x14ac:dyDescent="0.25">
      <c r="A3798" t="s">
        <v>8987</v>
      </c>
      <c r="B3798" t="str">
        <f>"4599"</f>
        <v>4599</v>
      </c>
      <c r="C3798" t="str">
        <f>"283724599"</f>
        <v>283724599</v>
      </c>
      <c r="D3798" t="s">
        <v>6659</v>
      </c>
      <c r="E3798" t="s">
        <v>8988</v>
      </c>
      <c r="F3798" t="s">
        <v>97</v>
      </c>
      <c r="G3798" s="1">
        <v>27394</v>
      </c>
      <c r="H3798" s="1">
        <v>38730</v>
      </c>
      <c r="I3798" t="str">
        <f t="shared" si="84"/>
        <v>51</v>
      </c>
      <c r="J3798" t="s">
        <v>471</v>
      </c>
      <c r="K3798" t="s">
        <v>25</v>
      </c>
      <c r="L3798" t="s">
        <v>26</v>
      </c>
      <c r="M3798" t="s">
        <v>27</v>
      </c>
      <c r="N3798" s="1">
        <v>18629</v>
      </c>
      <c r="O3798">
        <v>0</v>
      </c>
      <c r="P3798">
        <v>0</v>
      </c>
      <c r="Q3798" t="s">
        <v>37</v>
      </c>
      <c r="R3798" t="s">
        <v>71</v>
      </c>
      <c r="S3798" t="s">
        <v>808</v>
      </c>
      <c r="T3798" t="s">
        <v>809</v>
      </c>
    </row>
    <row r="3799" spans="1:20" x14ac:dyDescent="0.25">
      <c r="A3799" t="s">
        <v>8989</v>
      </c>
      <c r="B3799" t="str">
        <f>"2292"</f>
        <v>2292</v>
      </c>
      <c r="C3799" t="str">
        <f>"269662292"</f>
        <v>269662292</v>
      </c>
      <c r="D3799" t="s">
        <v>8990</v>
      </c>
      <c r="E3799" t="s">
        <v>8991</v>
      </c>
      <c r="G3799" s="1">
        <v>21261</v>
      </c>
      <c r="H3799" s="1">
        <v>38730</v>
      </c>
      <c r="I3799" t="str">
        <f t="shared" si="84"/>
        <v>51</v>
      </c>
      <c r="J3799" t="s">
        <v>471</v>
      </c>
      <c r="K3799" t="s">
        <v>25</v>
      </c>
      <c r="L3799" t="s">
        <v>26</v>
      </c>
      <c r="M3799" t="s">
        <v>27</v>
      </c>
      <c r="N3799" s="1">
        <v>18629</v>
      </c>
      <c r="O3799">
        <v>0</v>
      </c>
      <c r="P3799">
        <v>0</v>
      </c>
      <c r="Q3799" t="s">
        <v>37</v>
      </c>
      <c r="R3799" t="s">
        <v>71</v>
      </c>
      <c r="S3799" t="s">
        <v>72</v>
      </c>
      <c r="T3799" t="s">
        <v>73</v>
      </c>
    </row>
    <row r="3800" spans="1:20" x14ac:dyDescent="0.25">
      <c r="A3800" t="s">
        <v>8992</v>
      </c>
      <c r="B3800" t="str">
        <f>"3468"</f>
        <v>3468</v>
      </c>
      <c r="C3800" t="str">
        <f>"234213468"</f>
        <v>234213468</v>
      </c>
      <c r="D3800" t="s">
        <v>8993</v>
      </c>
      <c r="E3800" t="s">
        <v>1639</v>
      </c>
      <c r="F3800" t="s">
        <v>190</v>
      </c>
      <c r="G3800" s="1">
        <v>25624</v>
      </c>
      <c r="H3800" s="1">
        <v>38730</v>
      </c>
      <c r="I3800" t="str">
        <f t="shared" si="84"/>
        <v>51</v>
      </c>
      <c r="J3800" t="s">
        <v>471</v>
      </c>
      <c r="K3800" t="s">
        <v>25</v>
      </c>
      <c r="L3800" t="s">
        <v>26</v>
      </c>
      <c r="M3800" t="s">
        <v>27</v>
      </c>
      <c r="N3800" s="1">
        <v>18629</v>
      </c>
      <c r="O3800">
        <v>0</v>
      </c>
      <c r="P3800">
        <v>0</v>
      </c>
      <c r="Q3800" t="s">
        <v>28</v>
      </c>
      <c r="R3800" t="s">
        <v>71</v>
      </c>
      <c r="S3800" t="s">
        <v>2634</v>
      </c>
      <c r="T3800" t="s">
        <v>2635</v>
      </c>
    </row>
    <row r="3801" spans="1:20" x14ac:dyDescent="0.25">
      <c r="A3801" t="s">
        <v>8994</v>
      </c>
      <c r="B3801" t="str">
        <f>"5152"</f>
        <v>5152</v>
      </c>
      <c r="C3801" t="str">
        <f>"289265152"</f>
        <v>289265152</v>
      </c>
      <c r="D3801" t="s">
        <v>71</v>
      </c>
      <c r="E3801" t="s">
        <v>304</v>
      </c>
      <c r="F3801" t="s">
        <v>264</v>
      </c>
      <c r="G3801" s="1">
        <v>9653</v>
      </c>
      <c r="H3801" s="1">
        <v>38730</v>
      </c>
      <c r="I3801" t="str">
        <f t="shared" si="84"/>
        <v>51</v>
      </c>
      <c r="J3801" t="s">
        <v>471</v>
      </c>
      <c r="K3801" t="s">
        <v>25</v>
      </c>
      <c r="L3801" t="s">
        <v>26</v>
      </c>
      <c r="M3801" t="s">
        <v>27</v>
      </c>
      <c r="N3801" s="1">
        <v>18629</v>
      </c>
      <c r="O3801">
        <v>0</v>
      </c>
      <c r="P3801">
        <v>0</v>
      </c>
      <c r="Q3801" t="s">
        <v>28</v>
      </c>
      <c r="R3801" t="s">
        <v>29</v>
      </c>
      <c r="S3801" t="s">
        <v>1160</v>
      </c>
      <c r="T3801" t="s">
        <v>1161</v>
      </c>
    </row>
    <row r="3802" spans="1:20" x14ac:dyDescent="0.25">
      <c r="A3802" t="s">
        <v>8995</v>
      </c>
      <c r="B3802" t="str">
        <f>"5534"</f>
        <v>5534</v>
      </c>
      <c r="C3802" t="str">
        <f>"285745534"</f>
        <v>285745534</v>
      </c>
      <c r="D3802" t="s">
        <v>310</v>
      </c>
      <c r="E3802" t="s">
        <v>8996</v>
      </c>
      <c r="F3802" t="s">
        <v>49</v>
      </c>
      <c r="G3802" s="1">
        <v>26370</v>
      </c>
      <c r="H3802" s="1">
        <v>38730</v>
      </c>
      <c r="I3802" t="str">
        <f t="shared" si="84"/>
        <v>51</v>
      </c>
      <c r="J3802" t="s">
        <v>471</v>
      </c>
      <c r="K3802" t="s">
        <v>25</v>
      </c>
      <c r="L3802" t="s">
        <v>26</v>
      </c>
      <c r="M3802" t="s">
        <v>27</v>
      </c>
      <c r="N3802" s="1">
        <v>18629</v>
      </c>
      <c r="O3802">
        <v>0</v>
      </c>
      <c r="P3802">
        <v>0</v>
      </c>
      <c r="Q3802" t="s">
        <v>37</v>
      </c>
      <c r="R3802" t="s">
        <v>29</v>
      </c>
      <c r="S3802" t="s">
        <v>138</v>
      </c>
      <c r="T3802" t="s">
        <v>139</v>
      </c>
    </row>
    <row r="3803" spans="1:20" x14ac:dyDescent="0.25">
      <c r="A3803" t="s">
        <v>8997</v>
      </c>
      <c r="B3803" t="str">
        <f>"9103"</f>
        <v>9103</v>
      </c>
      <c r="C3803" t="str">
        <f>"293809103"</f>
        <v>293809103</v>
      </c>
      <c r="D3803" t="s">
        <v>8998</v>
      </c>
      <c r="E3803" t="s">
        <v>4556</v>
      </c>
      <c r="F3803" t="s">
        <v>49</v>
      </c>
      <c r="G3803" s="1">
        <v>27438</v>
      </c>
      <c r="H3803" s="1">
        <v>38730</v>
      </c>
      <c r="I3803" t="str">
        <f t="shared" si="84"/>
        <v>51</v>
      </c>
      <c r="J3803" t="s">
        <v>471</v>
      </c>
      <c r="K3803" t="s">
        <v>25</v>
      </c>
      <c r="L3803" t="s">
        <v>26</v>
      </c>
      <c r="M3803" t="s">
        <v>27</v>
      </c>
      <c r="N3803" s="1">
        <v>18629</v>
      </c>
      <c r="O3803">
        <v>0</v>
      </c>
      <c r="P3803">
        <v>0</v>
      </c>
      <c r="Q3803" t="s">
        <v>37</v>
      </c>
      <c r="R3803" t="s">
        <v>29</v>
      </c>
      <c r="S3803" t="s">
        <v>8999</v>
      </c>
      <c r="T3803" t="s">
        <v>9000</v>
      </c>
    </row>
    <row r="3804" spans="1:20" x14ac:dyDescent="0.25">
      <c r="A3804" t="s">
        <v>9001</v>
      </c>
      <c r="B3804" t="str">
        <f>"9119"</f>
        <v>9119</v>
      </c>
      <c r="C3804" t="str">
        <f>"281469119"</f>
        <v>281469119</v>
      </c>
      <c r="D3804" t="s">
        <v>9002</v>
      </c>
      <c r="E3804" t="s">
        <v>9003</v>
      </c>
      <c r="F3804" t="s">
        <v>9004</v>
      </c>
      <c r="G3804" s="1">
        <v>17171</v>
      </c>
      <c r="H3804" s="1">
        <v>38726</v>
      </c>
      <c r="I3804" t="str">
        <f>"50"</f>
        <v>50</v>
      </c>
      <c r="J3804" t="s">
        <v>208</v>
      </c>
      <c r="K3804" t="s">
        <v>25</v>
      </c>
      <c r="L3804" t="s">
        <v>26</v>
      </c>
      <c r="M3804" t="s">
        <v>27</v>
      </c>
      <c r="N3804" s="1">
        <v>18629</v>
      </c>
      <c r="O3804">
        <v>0</v>
      </c>
      <c r="P3804">
        <v>0</v>
      </c>
      <c r="Q3804" t="s">
        <v>37</v>
      </c>
      <c r="R3804" t="s">
        <v>29</v>
      </c>
      <c r="S3804" t="s">
        <v>185</v>
      </c>
      <c r="T3804" t="s">
        <v>186</v>
      </c>
    </row>
    <row r="3805" spans="1:20" x14ac:dyDescent="0.25">
      <c r="A3805" t="s">
        <v>9005</v>
      </c>
      <c r="B3805" t="str">
        <f>"6231"</f>
        <v>6231</v>
      </c>
      <c r="C3805" t="str">
        <f>"288446231"</f>
        <v>288446231</v>
      </c>
      <c r="D3805" t="s">
        <v>9006</v>
      </c>
      <c r="E3805" t="s">
        <v>463</v>
      </c>
      <c r="F3805" t="s">
        <v>282</v>
      </c>
      <c r="G3805" s="1">
        <v>21454</v>
      </c>
      <c r="H3805" s="1">
        <v>38723</v>
      </c>
      <c r="I3805" t="str">
        <f>"08"</f>
        <v>08</v>
      </c>
      <c r="J3805" t="s">
        <v>265</v>
      </c>
      <c r="K3805" t="s">
        <v>98</v>
      </c>
      <c r="L3805" t="s">
        <v>37</v>
      </c>
      <c r="M3805" t="s">
        <v>117</v>
      </c>
      <c r="N3805" s="1">
        <v>41617</v>
      </c>
      <c r="O3805">
        <v>4951.96</v>
      </c>
      <c r="P3805">
        <v>1237.8599999999999</v>
      </c>
      <c r="Q3805" t="s">
        <v>28</v>
      </c>
      <c r="R3805" t="s">
        <v>29</v>
      </c>
      <c r="S3805" t="s">
        <v>266</v>
      </c>
      <c r="T3805" t="s">
        <v>267</v>
      </c>
    </row>
    <row r="3806" spans="1:20" x14ac:dyDescent="0.25">
      <c r="A3806" t="s">
        <v>9007</v>
      </c>
      <c r="B3806" t="str">
        <f>"8481"</f>
        <v>8481</v>
      </c>
      <c r="C3806" t="str">
        <f>"295848481"</f>
        <v>295848481</v>
      </c>
      <c r="D3806" t="s">
        <v>9008</v>
      </c>
      <c r="E3806" t="s">
        <v>194</v>
      </c>
      <c r="F3806" t="s">
        <v>49</v>
      </c>
      <c r="G3806" s="1">
        <v>26586</v>
      </c>
      <c r="H3806" s="1">
        <v>38718</v>
      </c>
      <c r="I3806" t="str">
        <f>"41"</f>
        <v>41</v>
      </c>
      <c r="J3806" t="s">
        <v>24</v>
      </c>
      <c r="K3806" t="s">
        <v>25</v>
      </c>
      <c r="L3806" t="s">
        <v>26</v>
      </c>
      <c r="M3806" t="s">
        <v>27</v>
      </c>
      <c r="N3806" s="1">
        <v>18629</v>
      </c>
      <c r="O3806">
        <v>0</v>
      </c>
      <c r="P3806">
        <v>0</v>
      </c>
      <c r="Q3806" t="s">
        <v>37</v>
      </c>
      <c r="R3806" t="s">
        <v>51</v>
      </c>
      <c r="S3806" s="2" t="s">
        <v>64</v>
      </c>
      <c r="T3806" t="s">
        <v>65</v>
      </c>
    </row>
    <row r="3807" spans="1:20" x14ac:dyDescent="0.25">
      <c r="A3807" t="s">
        <v>9009</v>
      </c>
      <c r="B3807" t="str">
        <f>"2651"</f>
        <v>2651</v>
      </c>
      <c r="C3807" t="str">
        <f>"296582651"</f>
        <v>296582651</v>
      </c>
      <c r="D3807" t="s">
        <v>9010</v>
      </c>
      <c r="E3807" t="s">
        <v>1181</v>
      </c>
      <c r="F3807" t="s">
        <v>26</v>
      </c>
      <c r="G3807" s="1">
        <v>21535</v>
      </c>
      <c r="H3807" s="1">
        <v>38705</v>
      </c>
      <c r="I3807" t="str">
        <f>"12"</f>
        <v>12</v>
      </c>
      <c r="J3807" t="s">
        <v>245</v>
      </c>
      <c r="K3807" t="s">
        <v>98</v>
      </c>
      <c r="L3807" t="s">
        <v>37</v>
      </c>
      <c r="M3807" t="s">
        <v>257</v>
      </c>
      <c r="N3807" s="1">
        <v>41617</v>
      </c>
      <c r="O3807">
        <v>10753.08</v>
      </c>
      <c r="P3807">
        <v>2688.4</v>
      </c>
      <c r="Q3807" t="s">
        <v>37</v>
      </c>
      <c r="R3807" t="s">
        <v>29</v>
      </c>
      <c r="S3807" t="s">
        <v>1828</v>
      </c>
      <c r="T3807" t="s">
        <v>1829</v>
      </c>
    </row>
    <row r="3808" spans="1:20" x14ac:dyDescent="0.25">
      <c r="A3808" t="s">
        <v>9011</v>
      </c>
      <c r="B3808" t="str">
        <f>"1508"</f>
        <v>1508</v>
      </c>
      <c r="C3808" t="str">
        <f>"289561508"</f>
        <v>289561508</v>
      </c>
      <c r="D3808" t="s">
        <v>2146</v>
      </c>
      <c r="E3808" t="s">
        <v>499</v>
      </c>
      <c r="F3808" t="s">
        <v>28</v>
      </c>
      <c r="G3808" s="1">
        <v>25563</v>
      </c>
      <c r="H3808" s="1">
        <v>38692</v>
      </c>
      <c r="I3808" t="str">
        <f>"52"</f>
        <v>52</v>
      </c>
      <c r="J3808" t="s">
        <v>330</v>
      </c>
      <c r="K3808" t="s">
        <v>25</v>
      </c>
      <c r="L3808" t="s">
        <v>26</v>
      </c>
      <c r="M3808" t="s">
        <v>27</v>
      </c>
      <c r="N3808" s="1">
        <v>18629</v>
      </c>
      <c r="O3808">
        <v>0</v>
      </c>
      <c r="P3808">
        <v>0</v>
      </c>
      <c r="Q3808" t="s">
        <v>28</v>
      </c>
      <c r="R3808" t="s">
        <v>258</v>
      </c>
      <c r="S3808" t="s">
        <v>331</v>
      </c>
      <c r="T3808" t="s">
        <v>332</v>
      </c>
    </row>
    <row r="3809" spans="1:20" x14ac:dyDescent="0.25">
      <c r="A3809" t="s">
        <v>9012</v>
      </c>
      <c r="B3809" t="str">
        <f>"4517"</f>
        <v>4517</v>
      </c>
      <c r="C3809" t="str">
        <f>"231294517"</f>
        <v>231294517</v>
      </c>
      <c r="D3809" t="s">
        <v>9013</v>
      </c>
      <c r="E3809" t="s">
        <v>9014</v>
      </c>
      <c r="F3809" t="s">
        <v>93</v>
      </c>
      <c r="G3809" s="1">
        <v>29611</v>
      </c>
      <c r="H3809" s="1">
        <v>38691</v>
      </c>
      <c r="I3809" t="str">
        <f>"05"</f>
        <v>05</v>
      </c>
      <c r="J3809" t="s">
        <v>58</v>
      </c>
      <c r="K3809" t="s">
        <v>175</v>
      </c>
      <c r="L3809" t="s">
        <v>37</v>
      </c>
      <c r="M3809" t="s">
        <v>257</v>
      </c>
      <c r="N3809" s="1">
        <v>41617</v>
      </c>
      <c r="O3809">
        <v>11847.94</v>
      </c>
      <c r="P3809">
        <v>2961.92</v>
      </c>
      <c r="Q3809" t="s">
        <v>28</v>
      </c>
      <c r="R3809" t="s">
        <v>29</v>
      </c>
      <c r="S3809" t="s">
        <v>9015</v>
      </c>
      <c r="T3809" t="s">
        <v>9016</v>
      </c>
    </row>
    <row r="3810" spans="1:20" x14ac:dyDescent="0.25">
      <c r="A3810" t="s">
        <v>9017</v>
      </c>
      <c r="B3810" t="str">
        <f>"9394"</f>
        <v>9394</v>
      </c>
      <c r="C3810" t="str">
        <f>"271609394"</f>
        <v>271609394</v>
      </c>
      <c r="D3810" t="s">
        <v>9018</v>
      </c>
      <c r="E3810" t="s">
        <v>9019</v>
      </c>
      <c r="G3810" s="1">
        <v>20345</v>
      </c>
      <c r="H3810" s="1">
        <v>38687</v>
      </c>
      <c r="I3810" t="str">
        <f>"03"</f>
        <v>03</v>
      </c>
      <c r="J3810" t="s">
        <v>70</v>
      </c>
      <c r="L3810" t="s">
        <v>37</v>
      </c>
      <c r="M3810" t="s">
        <v>143</v>
      </c>
      <c r="N3810" s="1">
        <v>41617</v>
      </c>
      <c r="O3810">
        <v>185.9</v>
      </c>
      <c r="P3810">
        <v>-185.9</v>
      </c>
      <c r="Q3810" t="s">
        <v>37</v>
      </c>
      <c r="R3810" t="s">
        <v>29</v>
      </c>
      <c r="S3810" t="s">
        <v>1795</v>
      </c>
      <c r="T3810" t="s">
        <v>1796</v>
      </c>
    </row>
    <row r="3811" spans="1:20" x14ac:dyDescent="0.25">
      <c r="A3811" t="s">
        <v>9020</v>
      </c>
      <c r="B3811" t="str">
        <f>"3465"</f>
        <v>3465</v>
      </c>
      <c r="C3811" t="str">
        <f>"286503465"</f>
        <v>286503465</v>
      </c>
      <c r="D3811" t="s">
        <v>9021</v>
      </c>
      <c r="E3811" t="s">
        <v>35</v>
      </c>
      <c r="F3811" t="s">
        <v>97</v>
      </c>
      <c r="G3811" s="1">
        <v>22891</v>
      </c>
      <c r="H3811" s="1">
        <v>38687</v>
      </c>
      <c r="I3811" t="str">
        <f>"01"</f>
        <v>01</v>
      </c>
      <c r="J3811" t="s">
        <v>116</v>
      </c>
      <c r="K3811" t="s">
        <v>98</v>
      </c>
      <c r="L3811" t="s">
        <v>37</v>
      </c>
      <c r="M3811" t="s">
        <v>117</v>
      </c>
      <c r="N3811" s="1">
        <v>41617</v>
      </c>
      <c r="O3811">
        <v>4951.96</v>
      </c>
      <c r="P3811">
        <v>1237.8599999999999</v>
      </c>
      <c r="Q3811" t="s">
        <v>28</v>
      </c>
      <c r="R3811" t="s">
        <v>29</v>
      </c>
      <c r="S3811" t="s">
        <v>8399</v>
      </c>
      <c r="T3811" t="s">
        <v>8400</v>
      </c>
    </row>
    <row r="3812" spans="1:20" x14ac:dyDescent="0.25">
      <c r="A3812" t="s">
        <v>9022</v>
      </c>
      <c r="B3812" t="str">
        <f>"0224"</f>
        <v>0224</v>
      </c>
      <c r="C3812" t="str">
        <f>"339420224"</f>
        <v>339420224</v>
      </c>
      <c r="D3812" t="s">
        <v>9023</v>
      </c>
      <c r="E3812" t="s">
        <v>1104</v>
      </c>
      <c r="F3812" t="s">
        <v>9024</v>
      </c>
      <c r="G3812" s="1">
        <v>20817</v>
      </c>
      <c r="H3812" s="1">
        <v>38687</v>
      </c>
      <c r="I3812" t="str">
        <f>"03"</f>
        <v>03</v>
      </c>
      <c r="J3812" t="s">
        <v>70</v>
      </c>
      <c r="K3812" t="s">
        <v>98</v>
      </c>
      <c r="L3812" t="s">
        <v>37</v>
      </c>
      <c r="M3812" t="s">
        <v>99</v>
      </c>
      <c r="N3812" s="1">
        <v>41617</v>
      </c>
      <c r="O3812">
        <v>14801.8</v>
      </c>
      <c r="P3812">
        <v>3700.32</v>
      </c>
      <c r="Q3812" t="s">
        <v>28</v>
      </c>
      <c r="R3812" t="s">
        <v>29</v>
      </c>
      <c r="S3812" t="s">
        <v>8399</v>
      </c>
      <c r="T3812" t="s">
        <v>8400</v>
      </c>
    </row>
    <row r="3813" spans="1:20" x14ac:dyDescent="0.25">
      <c r="A3813" t="s">
        <v>9025</v>
      </c>
      <c r="B3813" t="str">
        <f>"7726"</f>
        <v>7726</v>
      </c>
      <c r="C3813" t="str">
        <f>"274587726"</f>
        <v>274587726</v>
      </c>
      <c r="D3813" t="s">
        <v>6113</v>
      </c>
      <c r="E3813" t="s">
        <v>9026</v>
      </c>
      <c r="F3813" t="s">
        <v>165</v>
      </c>
      <c r="G3813" s="1">
        <v>20317</v>
      </c>
      <c r="H3813" s="1">
        <v>38657</v>
      </c>
      <c r="I3813" t="str">
        <f>"03"</f>
        <v>03</v>
      </c>
      <c r="J3813" t="s">
        <v>70</v>
      </c>
      <c r="L3813" t="s">
        <v>37</v>
      </c>
      <c r="M3813" t="s">
        <v>143</v>
      </c>
      <c r="N3813" s="1">
        <v>41617</v>
      </c>
      <c r="O3813">
        <v>185.9</v>
      </c>
      <c r="P3813">
        <v>-185.9</v>
      </c>
      <c r="Q3813" t="s">
        <v>28</v>
      </c>
      <c r="R3813" t="s">
        <v>71</v>
      </c>
      <c r="S3813" t="s">
        <v>402</v>
      </c>
      <c r="T3813" t="s">
        <v>403</v>
      </c>
    </row>
    <row r="3814" spans="1:20" x14ac:dyDescent="0.25">
      <c r="A3814" t="s">
        <v>9027</v>
      </c>
      <c r="B3814" t="str">
        <f>"1742"</f>
        <v>1742</v>
      </c>
      <c r="C3814" t="str">
        <f>"567331742"</f>
        <v>567331742</v>
      </c>
      <c r="D3814" t="s">
        <v>9028</v>
      </c>
      <c r="E3814" t="s">
        <v>1722</v>
      </c>
      <c r="G3814" s="1">
        <v>21334</v>
      </c>
      <c r="H3814" s="1">
        <v>38657</v>
      </c>
      <c r="I3814" t="str">
        <f>"12"</f>
        <v>12</v>
      </c>
      <c r="J3814" t="s">
        <v>245</v>
      </c>
      <c r="K3814" t="s">
        <v>175</v>
      </c>
      <c r="L3814" t="s">
        <v>37</v>
      </c>
      <c r="M3814" t="s">
        <v>117</v>
      </c>
      <c r="N3814" s="1">
        <v>41617</v>
      </c>
      <c r="O3814">
        <v>5288.66</v>
      </c>
      <c r="P3814">
        <v>1322.1</v>
      </c>
      <c r="Q3814" t="s">
        <v>37</v>
      </c>
      <c r="R3814" t="s">
        <v>29</v>
      </c>
      <c r="S3814" t="s">
        <v>3251</v>
      </c>
      <c r="T3814" t="s">
        <v>3252</v>
      </c>
    </row>
    <row r="3815" spans="1:20" x14ac:dyDescent="0.25">
      <c r="A3815" t="s">
        <v>9029</v>
      </c>
      <c r="B3815" t="str">
        <f>"3296"</f>
        <v>3296</v>
      </c>
      <c r="C3815" t="str">
        <f>"290203296"</f>
        <v>290203296</v>
      </c>
      <c r="D3815" t="s">
        <v>6129</v>
      </c>
      <c r="E3815" t="s">
        <v>1074</v>
      </c>
      <c r="F3815" t="s">
        <v>1478</v>
      </c>
      <c r="G3815" s="1">
        <v>10457</v>
      </c>
      <c r="H3815" s="1">
        <v>38649</v>
      </c>
      <c r="I3815" t="str">
        <f>"51"</f>
        <v>51</v>
      </c>
      <c r="J3815" t="s">
        <v>471</v>
      </c>
      <c r="K3815" t="s">
        <v>25</v>
      </c>
      <c r="L3815" t="s">
        <v>26</v>
      </c>
      <c r="M3815" t="s">
        <v>27</v>
      </c>
      <c r="N3815" s="1">
        <v>18629</v>
      </c>
      <c r="O3815">
        <v>0</v>
      </c>
      <c r="P3815">
        <v>0</v>
      </c>
      <c r="Q3815" t="s">
        <v>37</v>
      </c>
      <c r="R3815" t="s">
        <v>29</v>
      </c>
      <c r="S3815" t="s">
        <v>1555</v>
      </c>
      <c r="T3815" t="s">
        <v>1556</v>
      </c>
    </row>
    <row r="3816" spans="1:20" x14ac:dyDescent="0.25">
      <c r="A3816" t="s">
        <v>9030</v>
      </c>
      <c r="B3816" t="str">
        <f>"2767"</f>
        <v>2767</v>
      </c>
      <c r="C3816" t="str">
        <f>"290862767"</f>
        <v>290862767</v>
      </c>
      <c r="D3816" t="s">
        <v>9031</v>
      </c>
      <c r="E3816" t="s">
        <v>2060</v>
      </c>
      <c r="F3816" t="s">
        <v>26</v>
      </c>
      <c r="G3816" s="1">
        <v>28927</v>
      </c>
      <c r="H3816" s="1">
        <v>38649</v>
      </c>
      <c r="I3816" t="str">
        <f>"12"</f>
        <v>12</v>
      </c>
      <c r="J3816" t="s">
        <v>245</v>
      </c>
      <c r="K3816" t="s">
        <v>98</v>
      </c>
      <c r="L3816" t="s">
        <v>37</v>
      </c>
      <c r="M3816" t="s">
        <v>117</v>
      </c>
      <c r="N3816" s="1">
        <v>41617</v>
      </c>
      <c r="O3816">
        <v>4951.96</v>
      </c>
      <c r="P3816">
        <v>1237.8599999999999</v>
      </c>
      <c r="Q3816" t="s">
        <v>28</v>
      </c>
      <c r="R3816" t="s">
        <v>599</v>
      </c>
      <c r="S3816" t="s">
        <v>600</v>
      </c>
      <c r="T3816" t="s">
        <v>601</v>
      </c>
    </row>
    <row r="3817" spans="1:20" x14ac:dyDescent="0.25">
      <c r="A3817" t="s">
        <v>9032</v>
      </c>
      <c r="B3817" t="str">
        <f>"4181"</f>
        <v>4181</v>
      </c>
      <c r="C3817" t="str">
        <f>"277664181"</f>
        <v>277664181</v>
      </c>
      <c r="D3817" t="s">
        <v>7476</v>
      </c>
      <c r="E3817" t="s">
        <v>1381</v>
      </c>
      <c r="F3817" t="s">
        <v>22</v>
      </c>
      <c r="G3817" s="1">
        <v>22285</v>
      </c>
      <c r="H3817" s="1">
        <v>38642</v>
      </c>
      <c r="I3817" t="str">
        <f>"07"</f>
        <v>07</v>
      </c>
      <c r="J3817" t="s">
        <v>1018</v>
      </c>
      <c r="K3817" t="s">
        <v>98</v>
      </c>
      <c r="L3817" t="s">
        <v>37</v>
      </c>
      <c r="M3817" t="s">
        <v>257</v>
      </c>
      <c r="N3817" s="1">
        <v>41617</v>
      </c>
      <c r="O3817">
        <v>10753.08</v>
      </c>
      <c r="P3817">
        <v>2688.4</v>
      </c>
      <c r="Q3817" t="s">
        <v>28</v>
      </c>
      <c r="R3817" t="s">
        <v>29</v>
      </c>
      <c r="S3817" t="s">
        <v>368</v>
      </c>
      <c r="T3817" t="s">
        <v>369</v>
      </c>
    </row>
    <row r="3818" spans="1:20" x14ac:dyDescent="0.25">
      <c r="A3818" t="s">
        <v>9033</v>
      </c>
      <c r="B3818" t="str">
        <f>"6917"</f>
        <v>6917</v>
      </c>
      <c r="C3818" t="str">
        <f>"294786917"</f>
        <v>294786917</v>
      </c>
      <c r="D3818" t="s">
        <v>9034</v>
      </c>
      <c r="E3818" t="s">
        <v>1381</v>
      </c>
      <c r="F3818" t="s">
        <v>704</v>
      </c>
      <c r="G3818" s="1">
        <v>27226</v>
      </c>
      <c r="H3818" s="1">
        <v>38641</v>
      </c>
      <c r="I3818" t="str">
        <f>"52"</f>
        <v>52</v>
      </c>
      <c r="J3818" t="s">
        <v>330</v>
      </c>
      <c r="K3818" t="s">
        <v>25</v>
      </c>
      <c r="L3818" t="s">
        <v>26</v>
      </c>
      <c r="M3818" t="s">
        <v>27</v>
      </c>
      <c r="N3818" s="1">
        <v>18629</v>
      </c>
      <c r="O3818">
        <v>0</v>
      </c>
      <c r="P3818">
        <v>0</v>
      </c>
      <c r="Q3818" t="s">
        <v>28</v>
      </c>
      <c r="R3818" t="s">
        <v>258</v>
      </c>
      <c r="S3818" t="s">
        <v>336</v>
      </c>
      <c r="T3818" t="s">
        <v>337</v>
      </c>
    </row>
    <row r="3819" spans="1:20" x14ac:dyDescent="0.25">
      <c r="A3819" t="s">
        <v>9035</v>
      </c>
      <c r="B3819" t="str">
        <f>"3303"</f>
        <v>3303</v>
      </c>
      <c r="C3819" t="str">
        <f>"272703303"</f>
        <v>272703303</v>
      </c>
      <c r="D3819" t="s">
        <v>9036</v>
      </c>
      <c r="E3819" t="s">
        <v>1081</v>
      </c>
      <c r="F3819" t="s">
        <v>93</v>
      </c>
      <c r="G3819" s="1">
        <v>22992</v>
      </c>
      <c r="H3819" s="1">
        <v>38636</v>
      </c>
      <c r="I3819" t="str">
        <f>"52"</f>
        <v>52</v>
      </c>
      <c r="J3819" t="s">
        <v>330</v>
      </c>
      <c r="K3819" t="s">
        <v>25</v>
      </c>
      <c r="L3819" t="s">
        <v>26</v>
      </c>
      <c r="M3819" t="s">
        <v>27</v>
      </c>
      <c r="N3819" s="1">
        <v>18629</v>
      </c>
      <c r="O3819">
        <v>0</v>
      </c>
      <c r="P3819">
        <v>0</v>
      </c>
      <c r="Q3819" t="s">
        <v>28</v>
      </c>
      <c r="R3819" t="s">
        <v>346</v>
      </c>
      <c r="S3819" t="s">
        <v>1235</v>
      </c>
      <c r="T3819" t="s">
        <v>1236</v>
      </c>
    </row>
    <row r="3820" spans="1:20" x14ac:dyDescent="0.25">
      <c r="A3820" t="s">
        <v>9037</v>
      </c>
      <c r="B3820" t="str">
        <f>"6736"</f>
        <v>6736</v>
      </c>
      <c r="C3820" t="str">
        <f>"273526736"</f>
        <v>273526736</v>
      </c>
      <c r="D3820" t="s">
        <v>9038</v>
      </c>
      <c r="E3820" t="s">
        <v>106</v>
      </c>
      <c r="G3820" s="1">
        <v>19930</v>
      </c>
      <c r="H3820" s="1">
        <v>38635</v>
      </c>
      <c r="I3820" t="str">
        <f>"52"</f>
        <v>52</v>
      </c>
      <c r="J3820" t="s">
        <v>330</v>
      </c>
      <c r="K3820" t="s">
        <v>25</v>
      </c>
      <c r="L3820" t="s">
        <v>26</v>
      </c>
      <c r="M3820" t="s">
        <v>27</v>
      </c>
      <c r="N3820" s="1">
        <v>18629</v>
      </c>
      <c r="O3820">
        <v>0</v>
      </c>
      <c r="P3820">
        <v>0</v>
      </c>
      <c r="Q3820" t="s">
        <v>28</v>
      </c>
      <c r="R3820" t="s">
        <v>258</v>
      </c>
      <c r="S3820" t="s">
        <v>533</v>
      </c>
      <c r="T3820" t="s">
        <v>534</v>
      </c>
    </row>
    <row r="3821" spans="1:20" x14ac:dyDescent="0.25">
      <c r="A3821" t="s">
        <v>9039</v>
      </c>
      <c r="B3821" t="str">
        <f>"0943"</f>
        <v>0943</v>
      </c>
      <c r="C3821" t="str">
        <f>"299660943"</f>
        <v>299660943</v>
      </c>
      <c r="D3821" t="s">
        <v>3174</v>
      </c>
      <c r="E3821" t="s">
        <v>430</v>
      </c>
      <c r="F3821" t="s">
        <v>28</v>
      </c>
      <c r="G3821" s="1">
        <v>27390</v>
      </c>
      <c r="H3821" s="1">
        <v>38635</v>
      </c>
      <c r="I3821" t="str">
        <f>"08"</f>
        <v>08</v>
      </c>
      <c r="J3821" t="s">
        <v>265</v>
      </c>
      <c r="L3821" t="s">
        <v>37</v>
      </c>
      <c r="M3821" t="s">
        <v>143</v>
      </c>
      <c r="N3821" s="1">
        <v>41617</v>
      </c>
      <c r="O3821">
        <v>185.9</v>
      </c>
      <c r="P3821">
        <v>-185.9</v>
      </c>
      <c r="Q3821" t="s">
        <v>28</v>
      </c>
      <c r="R3821" t="s">
        <v>100</v>
      </c>
      <c r="S3821" t="s">
        <v>3959</v>
      </c>
      <c r="T3821" t="s">
        <v>3960</v>
      </c>
    </row>
    <row r="3822" spans="1:20" x14ac:dyDescent="0.25">
      <c r="A3822" t="s">
        <v>9040</v>
      </c>
      <c r="B3822" t="str">
        <f>"1059"</f>
        <v>1059</v>
      </c>
      <c r="C3822" t="str">
        <f>"273481059"</f>
        <v>273481059</v>
      </c>
      <c r="D3822" t="s">
        <v>9041</v>
      </c>
      <c r="E3822" t="s">
        <v>8288</v>
      </c>
      <c r="G3822" s="1">
        <v>18048</v>
      </c>
      <c r="H3822" s="1">
        <v>38635</v>
      </c>
      <c r="I3822" t="str">
        <f>"30"</f>
        <v>30</v>
      </c>
      <c r="J3822" t="s">
        <v>50</v>
      </c>
      <c r="K3822" t="s">
        <v>25</v>
      </c>
      <c r="L3822" t="s">
        <v>26</v>
      </c>
      <c r="M3822" t="s">
        <v>27</v>
      </c>
      <c r="N3822" s="1">
        <v>18629</v>
      </c>
      <c r="O3822">
        <v>0</v>
      </c>
      <c r="P3822">
        <v>0</v>
      </c>
      <c r="Q3822" t="s">
        <v>37</v>
      </c>
      <c r="R3822" t="s">
        <v>29</v>
      </c>
      <c r="S3822" t="s">
        <v>240</v>
      </c>
      <c r="T3822" t="s">
        <v>241</v>
      </c>
    </row>
    <row r="3823" spans="1:20" x14ac:dyDescent="0.25">
      <c r="A3823" t="s">
        <v>9042</v>
      </c>
      <c r="B3823" t="str">
        <f>"3562"</f>
        <v>3562</v>
      </c>
      <c r="C3823" t="str">
        <f>"277683562"</f>
        <v>277683562</v>
      </c>
      <c r="D3823" t="s">
        <v>9043</v>
      </c>
      <c r="E3823" t="s">
        <v>1074</v>
      </c>
      <c r="G3823" s="1">
        <v>21748</v>
      </c>
      <c r="H3823" s="1">
        <v>38635</v>
      </c>
      <c r="I3823" t="str">
        <f>"03"</f>
        <v>03</v>
      </c>
      <c r="J3823" t="s">
        <v>70</v>
      </c>
      <c r="K3823" t="s">
        <v>98</v>
      </c>
      <c r="L3823" t="s">
        <v>37</v>
      </c>
      <c r="M3823" t="s">
        <v>257</v>
      </c>
      <c r="N3823" s="1">
        <v>41617</v>
      </c>
      <c r="O3823">
        <v>10753.08</v>
      </c>
      <c r="P3823">
        <v>2688.4</v>
      </c>
      <c r="Q3823" t="s">
        <v>37</v>
      </c>
      <c r="R3823" t="s">
        <v>51</v>
      </c>
      <c r="S3823" s="2" t="s">
        <v>64</v>
      </c>
      <c r="T3823" t="s">
        <v>65</v>
      </c>
    </row>
    <row r="3824" spans="1:20" x14ac:dyDescent="0.25">
      <c r="A3824" t="s">
        <v>9044</v>
      </c>
      <c r="B3824" t="str">
        <f>"3666"</f>
        <v>3666</v>
      </c>
      <c r="C3824" t="str">
        <f>"280883666"</f>
        <v>280883666</v>
      </c>
      <c r="D3824" t="s">
        <v>9045</v>
      </c>
      <c r="E3824" t="s">
        <v>9046</v>
      </c>
      <c r="F3824" t="s">
        <v>219</v>
      </c>
      <c r="G3824" s="1">
        <v>26638</v>
      </c>
      <c r="H3824" s="1">
        <v>38626</v>
      </c>
      <c r="I3824" t="str">
        <f>"51"</f>
        <v>51</v>
      </c>
      <c r="J3824" t="s">
        <v>471</v>
      </c>
      <c r="K3824" t="s">
        <v>25</v>
      </c>
      <c r="L3824" t="s">
        <v>26</v>
      </c>
      <c r="M3824" t="s">
        <v>27</v>
      </c>
      <c r="N3824" s="1">
        <v>18629</v>
      </c>
      <c r="O3824">
        <v>0</v>
      </c>
      <c r="P3824">
        <v>0</v>
      </c>
      <c r="Q3824" t="s">
        <v>37</v>
      </c>
      <c r="R3824" t="s">
        <v>71</v>
      </c>
      <c r="S3824" t="s">
        <v>9047</v>
      </c>
      <c r="T3824" t="s">
        <v>9048</v>
      </c>
    </row>
    <row r="3825" spans="1:20" x14ac:dyDescent="0.25">
      <c r="A3825" t="s">
        <v>9049</v>
      </c>
      <c r="B3825" t="str">
        <f>"4191"</f>
        <v>4191</v>
      </c>
      <c r="C3825" t="str">
        <f>"270564191"</f>
        <v>270564191</v>
      </c>
      <c r="D3825" t="s">
        <v>9050</v>
      </c>
      <c r="E3825" t="s">
        <v>1981</v>
      </c>
      <c r="G3825" s="1">
        <v>21589</v>
      </c>
      <c r="H3825" s="1">
        <v>38625</v>
      </c>
      <c r="I3825" t="str">
        <f>"05"</f>
        <v>05</v>
      </c>
      <c r="J3825" t="s">
        <v>58</v>
      </c>
      <c r="K3825" t="s">
        <v>98</v>
      </c>
      <c r="L3825" t="s">
        <v>37</v>
      </c>
      <c r="M3825" t="s">
        <v>117</v>
      </c>
      <c r="N3825" s="1">
        <v>41617</v>
      </c>
      <c r="O3825">
        <v>4951.96</v>
      </c>
      <c r="P3825">
        <v>1237.8599999999999</v>
      </c>
      <c r="Q3825" t="s">
        <v>37</v>
      </c>
      <c r="R3825" t="s">
        <v>29</v>
      </c>
      <c r="S3825" t="s">
        <v>185</v>
      </c>
      <c r="T3825" t="s">
        <v>186</v>
      </c>
    </row>
    <row r="3826" spans="1:20" x14ac:dyDescent="0.25">
      <c r="A3826" t="s">
        <v>9051</v>
      </c>
      <c r="B3826" t="str">
        <f>"0103"</f>
        <v>0103</v>
      </c>
      <c r="C3826" t="str">
        <f>"276640103"</f>
        <v>276640103</v>
      </c>
      <c r="D3826" t="s">
        <v>9052</v>
      </c>
      <c r="E3826" t="s">
        <v>7824</v>
      </c>
      <c r="F3826" t="s">
        <v>219</v>
      </c>
      <c r="G3826" s="1">
        <v>21728</v>
      </c>
      <c r="H3826" s="1">
        <v>38625</v>
      </c>
      <c r="I3826" t="str">
        <f>"05"</f>
        <v>05</v>
      </c>
      <c r="J3826" t="s">
        <v>58</v>
      </c>
      <c r="K3826" t="s">
        <v>98</v>
      </c>
      <c r="L3826" t="s">
        <v>37</v>
      </c>
      <c r="M3826" t="s">
        <v>117</v>
      </c>
      <c r="N3826" s="1">
        <v>41617</v>
      </c>
      <c r="O3826">
        <v>4951.96</v>
      </c>
      <c r="P3826">
        <v>1237.8599999999999</v>
      </c>
      <c r="Q3826" t="s">
        <v>37</v>
      </c>
      <c r="R3826" t="s">
        <v>29</v>
      </c>
      <c r="S3826" t="s">
        <v>259</v>
      </c>
      <c r="T3826" t="s">
        <v>260</v>
      </c>
    </row>
    <row r="3827" spans="1:20" x14ac:dyDescent="0.25">
      <c r="A3827" t="s">
        <v>9053</v>
      </c>
      <c r="B3827" t="str">
        <f>"5423"</f>
        <v>5423</v>
      </c>
      <c r="C3827" t="str">
        <f>"286605423"</f>
        <v>286605423</v>
      </c>
      <c r="D3827" t="s">
        <v>663</v>
      </c>
      <c r="E3827" t="s">
        <v>9054</v>
      </c>
      <c r="G3827" s="1">
        <v>22222</v>
      </c>
      <c r="H3827" s="1">
        <v>38625</v>
      </c>
      <c r="I3827" t="str">
        <f>"09"</f>
        <v>09</v>
      </c>
      <c r="J3827" t="s">
        <v>4483</v>
      </c>
      <c r="K3827" t="s">
        <v>175</v>
      </c>
      <c r="L3827" t="s">
        <v>37</v>
      </c>
      <c r="M3827" t="s">
        <v>117</v>
      </c>
      <c r="N3827" s="1">
        <v>41617</v>
      </c>
      <c r="O3827">
        <v>5288.66</v>
      </c>
      <c r="P3827">
        <v>1322.1</v>
      </c>
      <c r="Q3827" t="s">
        <v>37</v>
      </c>
      <c r="R3827" t="s">
        <v>29</v>
      </c>
      <c r="S3827" t="s">
        <v>3986</v>
      </c>
      <c r="T3827" t="s">
        <v>3987</v>
      </c>
    </row>
    <row r="3828" spans="1:20" x14ac:dyDescent="0.25">
      <c r="A3828" t="s">
        <v>9055</v>
      </c>
      <c r="B3828" t="str">
        <f>"1200"</f>
        <v>1200</v>
      </c>
      <c r="C3828" t="str">
        <f>"268641200"</f>
        <v>268641200</v>
      </c>
      <c r="D3828" t="s">
        <v>303</v>
      </c>
      <c r="E3828" t="s">
        <v>9056</v>
      </c>
      <c r="F3828" t="s">
        <v>28</v>
      </c>
      <c r="G3828" s="1">
        <v>21720</v>
      </c>
      <c r="H3828" s="1">
        <v>38625</v>
      </c>
      <c r="I3828" t="str">
        <f>"05"</f>
        <v>05</v>
      </c>
      <c r="J3828" t="s">
        <v>58</v>
      </c>
      <c r="K3828" t="s">
        <v>175</v>
      </c>
      <c r="L3828" t="s">
        <v>37</v>
      </c>
      <c r="M3828" t="s">
        <v>117</v>
      </c>
      <c r="N3828" s="1">
        <v>41617</v>
      </c>
      <c r="O3828">
        <v>5288.66</v>
      </c>
      <c r="P3828">
        <v>1322.1</v>
      </c>
      <c r="Q3828" t="s">
        <v>37</v>
      </c>
      <c r="R3828" t="s">
        <v>29</v>
      </c>
      <c r="S3828" t="s">
        <v>1443</v>
      </c>
      <c r="T3828" t="s">
        <v>1444</v>
      </c>
    </row>
    <row r="3829" spans="1:20" x14ac:dyDescent="0.25">
      <c r="A3829" t="s">
        <v>9057</v>
      </c>
      <c r="B3829" t="str">
        <f>"9493"</f>
        <v>9493</v>
      </c>
      <c r="C3829" t="str">
        <f>"270589493"</f>
        <v>270589493</v>
      </c>
      <c r="D3829" t="s">
        <v>9058</v>
      </c>
      <c r="E3829" t="s">
        <v>7170</v>
      </c>
      <c r="F3829" t="s">
        <v>438</v>
      </c>
      <c r="G3829" s="1">
        <v>21271</v>
      </c>
      <c r="H3829" s="1">
        <v>38624</v>
      </c>
      <c r="I3829" t="str">
        <f>"51"</f>
        <v>51</v>
      </c>
      <c r="J3829" t="s">
        <v>471</v>
      </c>
      <c r="K3829" t="s">
        <v>25</v>
      </c>
      <c r="L3829" t="s">
        <v>26</v>
      </c>
      <c r="M3829" t="s">
        <v>27</v>
      </c>
      <c r="N3829" s="1">
        <v>18629</v>
      </c>
      <c r="O3829">
        <v>0</v>
      </c>
      <c r="P3829">
        <v>0</v>
      </c>
      <c r="Q3829" t="s">
        <v>28</v>
      </c>
      <c r="R3829" t="s">
        <v>51</v>
      </c>
      <c r="S3829" s="2" t="s">
        <v>1656</v>
      </c>
      <c r="T3829" t="s">
        <v>1657</v>
      </c>
    </row>
    <row r="3830" spans="1:20" x14ac:dyDescent="0.25">
      <c r="A3830" t="s">
        <v>9059</v>
      </c>
      <c r="B3830" t="str">
        <f>"2989"</f>
        <v>2989</v>
      </c>
      <c r="C3830" t="str">
        <f>"272402989"</f>
        <v>272402989</v>
      </c>
      <c r="D3830" t="s">
        <v>2069</v>
      </c>
      <c r="E3830" t="s">
        <v>3663</v>
      </c>
      <c r="F3830" t="s">
        <v>5245</v>
      </c>
      <c r="G3830" s="1">
        <v>15952</v>
      </c>
      <c r="H3830" s="1">
        <v>38608</v>
      </c>
      <c r="I3830" t="str">
        <f>"52"</f>
        <v>52</v>
      </c>
      <c r="J3830" t="s">
        <v>330</v>
      </c>
      <c r="K3830" t="s">
        <v>25</v>
      </c>
      <c r="L3830" t="s">
        <v>26</v>
      </c>
      <c r="M3830" t="s">
        <v>27</v>
      </c>
      <c r="N3830" s="1">
        <v>18629</v>
      </c>
      <c r="O3830">
        <v>0</v>
      </c>
      <c r="P3830">
        <v>0</v>
      </c>
      <c r="Q3830" t="s">
        <v>28</v>
      </c>
      <c r="R3830" t="s">
        <v>258</v>
      </c>
      <c r="S3830" t="s">
        <v>1235</v>
      </c>
      <c r="T3830" t="s">
        <v>1236</v>
      </c>
    </row>
    <row r="3831" spans="1:20" x14ac:dyDescent="0.25">
      <c r="A3831" t="s">
        <v>9060</v>
      </c>
      <c r="B3831" t="str">
        <f>"2464"</f>
        <v>2464</v>
      </c>
      <c r="C3831" t="str">
        <f>"288402464"</f>
        <v>288402464</v>
      </c>
      <c r="D3831" t="s">
        <v>9061</v>
      </c>
      <c r="E3831" t="s">
        <v>2971</v>
      </c>
      <c r="F3831" t="s">
        <v>239</v>
      </c>
      <c r="G3831" s="1">
        <v>17085</v>
      </c>
      <c r="H3831" s="1">
        <v>38607</v>
      </c>
      <c r="I3831" t="str">
        <f>"50"</f>
        <v>50</v>
      </c>
      <c r="J3831" t="s">
        <v>208</v>
      </c>
      <c r="K3831" t="s">
        <v>25</v>
      </c>
      <c r="L3831" t="s">
        <v>26</v>
      </c>
      <c r="M3831" t="s">
        <v>27</v>
      </c>
      <c r="N3831" s="1">
        <v>18629</v>
      </c>
      <c r="O3831">
        <v>0</v>
      </c>
      <c r="P3831">
        <v>0</v>
      </c>
      <c r="Q3831" t="s">
        <v>37</v>
      </c>
      <c r="R3831" t="s">
        <v>71</v>
      </c>
      <c r="S3831" t="s">
        <v>209</v>
      </c>
      <c r="T3831" t="s">
        <v>210</v>
      </c>
    </row>
    <row r="3832" spans="1:20" x14ac:dyDescent="0.25">
      <c r="A3832" t="s">
        <v>9062</v>
      </c>
      <c r="B3832" t="str">
        <f>"0178"</f>
        <v>0178</v>
      </c>
      <c r="C3832" t="str">
        <f>"288460178"</f>
        <v>288460178</v>
      </c>
      <c r="D3832" t="s">
        <v>9063</v>
      </c>
      <c r="E3832" t="s">
        <v>179</v>
      </c>
      <c r="F3832" t="s">
        <v>44</v>
      </c>
      <c r="G3832" s="1">
        <v>17939</v>
      </c>
      <c r="H3832" s="1">
        <v>38603</v>
      </c>
      <c r="I3832" t="str">
        <f>"52"</f>
        <v>52</v>
      </c>
      <c r="J3832" t="s">
        <v>330</v>
      </c>
      <c r="K3832" t="s">
        <v>25</v>
      </c>
      <c r="L3832" t="s">
        <v>26</v>
      </c>
      <c r="M3832" t="s">
        <v>27</v>
      </c>
      <c r="N3832" s="1">
        <v>18629</v>
      </c>
      <c r="O3832">
        <v>0</v>
      </c>
      <c r="P3832">
        <v>0</v>
      </c>
      <c r="Q3832" t="s">
        <v>28</v>
      </c>
      <c r="R3832" t="s">
        <v>258</v>
      </c>
      <c r="S3832" t="s">
        <v>336</v>
      </c>
      <c r="T3832" t="s">
        <v>337</v>
      </c>
    </row>
    <row r="3833" spans="1:20" x14ac:dyDescent="0.25">
      <c r="A3833" t="s">
        <v>9064</v>
      </c>
      <c r="B3833" t="str">
        <f>"9593"</f>
        <v>9593</v>
      </c>
      <c r="C3833" t="str">
        <f>"287849593"</f>
        <v>287849593</v>
      </c>
      <c r="D3833" t="s">
        <v>9065</v>
      </c>
      <c r="E3833" t="s">
        <v>9066</v>
      </c>
      <c r="F3833" t="s">
        <v>97</v>
      </c>
      <c r="G3833" s="1">
        <v>25774</v>
      </c>
      <c r="H3833" s="1">
        <v>38601</v>
      </c>
      <c r="I3833" t="str">
        <f>"41"</f>
        <v>41</v>
      </c>
      <c r="J3833" t="s">
        <v>24</v>
      </c>
      <c r="K3833" t="s">
        <v>25</v>
      </c>
      <c r="L3833" t="s">
        <v>26</v>
      </c>
      <c r="M3833" t="s">
        <v>27</v>
      </c>
      <c r="N3833" s="1">
        <v>18629</v>
      </c>
      <c r="O3833">
        <v>0</v>
      </c>
      <c r="P3833">
        <v>0</v>
      </c>
      <c r="Q3833" t="s">
        <v>28</v>
      </c>
      <c r="R3833" t="s">
        <v>71</v>
      </c>
      <c r="S3833" t="s">
        <v>402</v>
      </c>
      <c r="T3833" t="s">
        <v>403</v>
      </c>
    </row>
    <row r="3834" spans="1:20" x14ac:dyDescent="0.25">
      <c r="A3834" t="s">
        <v>9067</v>
      </c>
      <c r="B3834" t="str">
        <f>"9007"</f>
        <v>9007</v>
      </c>
      <c r="C3834" t="str">
        <f>"284949007"</f>
        <v>284949007</v>
      </c>
      <c r="D3834" t="s">
        <v>9068</v>
      </c>
      <c r="E3834" t="s">
        <v>9069</v>
      </c>
      <c r="F3834" t="s">
        <v>28</v>
      </c>
      <c r="G3834" s="1">
        <v>19465</v>
      </c>
      <c r="H3834" s="1">
        <v>38593</v>
      </c>
      <c r="I3834" t="str">
        <f>"51"</f>
        <v>51</v>
      </c>
      <c r="J3834" t="s">
        <v>471</v>
      </c>
      <c r="K3834" t="s">
        <v>25</v>
      </c>
      <c r="L3834" t="s">
        <v>26</v>
      </c>
      <c r="M3834" t="s">
        <v>27</v>
      </c>
      <c r="N3834" s="1">
        <v>18629</v>
      </c>
      <c r="O3834">
        <v>0</v>
      </c>
      <c r="P3834">
        <v>0</v>
      </c>
      <c r="Q3834" t="s">
        <v>28</v>
      </c>
      <c r="R3834" t="s">
        <v>71</v>
      </c>
      <c r="S3834" t="s">
        <v>790</v>
      </c>
      <c r="T3834" t="s">
        <v>791</v>
      </c>
    </row>
    <row r="3835" spans="1:20" x14ac:dyDescent="0.25">
      <c r="A3835" t="s">
        <v>9070</v>
      </c>
      <c r="B3835" t="str">
        <f>"3864"</f>
        <v>3864</v>
      </c>
      <c r="C3835" t="str">
        <f>"302763864"</f>
        <v>302763864</v>
      </c>
      <c r="D3835" t="s">
        <v>5247</v>
      </c>
      <c r="E3835" t="s">
        <v>9071</v>
      </c>
      <c r="F3835" t="s">
        <v>44</v>
      </c>
      <c r="G3835" s="1">
        <v>26047</v>
      </c>
      <c r="H3835" s="1">
        <v>38593</v>
      </c>
      <c r="I3835" t="str">
        <f>"15"</f>
        <v>15</v>
      </c>
      <c r="J3835" t="s">
        <v>36</v>
      </c>
      <c r="K3835" t="s">
        <v>175</v>
      </c>
      <c r="L3835" t="s">
        <v>37</v>
      </c>
      <c r="M3835" t="s">
        <v>257</v>
      </c>
      <c r="N3835" s="1">
        <v>41617</v>
      </c>
      <c r="O3835">
        <v>11847.94</v>
      </c>
      <c r="P3835">
        <v>2961.92</v>
      </c>
      <c r="Q3835" t="s">
        <v>37</v>
      </c>
      <c r="R3835" t="s">
        <v>258</v>
      </c>
      <c r="S3835" t="s">
        <v>491</v>
      </c>
      <c r="T3835" t="s">
        <v>492</v>
      </c>
    </row>
    <row r="3836" spans="1:20" x14ac:dyDescent="0.25">
      <c r="A3836" t="s">
        <v>9072</v>
      </c>
      <c r="B3836" t="str">
        <f>"2388"</f>
        <v>2388</v>
      </c>
      <c r="C3836" t="str">
        <f>"285382388"</f>
        <v>285382388</v>
      </c>
      <c r="D3836" t="s">
        <v>2238</v>
      </c>
      <c r="E3836" t="s">
        <v>179</v>
      </c>
      <c r="F3836" t="s">
        <v>239</v>
      </c>
      <c r="G3836" s="1">
        <v>16095</v>
      </c>
      <c r="H3836" s="1">
        <v>38593</v>
      </c>
      <c r="I3836" t="str">
        <f>"51"</f>
        <v>51</v>
      </c>
      <c r="J3836" t="s">
        <v>471</v>
      </c>
      <c r="K3836" t="s">
        <v>25</v>
      </c>
      <c r="L3836" t="s">
        <v>26</v>
      </c>
      <c r="M3836" t="s">
        <v>27</v>
      </c>
      <c r="N3836" s="1">
        <v>18629</v>
      </c>
      <c r="O3836">
        <v>0</v>
      </c>
      <c r="P3836">
        <v>0</v>
      </c>
      <c r="Q3836" t="s">
        <v>28</v>
      </c>
      <c r="R3836" t="s">
        <v>29</v>
      </c>
      <c r="S3836" t="s">
        <v>1160</v>
      </c>
      <c r="T3836" t="s">
        <v>1161</v>
      </c>
    </row>
    <row r="3837" spans="1:20" x14ac:dyDescent="0.25">
      <c r="A3837" t="s">
        <v>9073</v>
      </c>
      <c r="B3837" t="str">
        <f>"6540"</f>
        <v>6540</v>
      </c>
      <c r="C3837" t="str">
        <f>"121386540"</f>
        <v>121386540</v>
      </c>
      <c r="D3837" t="s">
        <v>9074</v>
      </c>
      <c r="E3837" t="s">
        <v>179</v>
      </c>
      <c r="F3837" t="s">
        <v>69</v>
      </c>
      <c r="G3837" s="1">
        <v>16835</v>
      </c>
      <c r="H3837" s="1">
        <v>38593</v>
      </c>
      <c r="I3837" t="str">
        <f>"51"</f>
        <v>51</v>
      </c>
      <c r="J3837" t="s">
        <v>471</v>
      </c>
      <c r="K3837" t="s">
        <v>25</v>
      </c>
      <c r="L3837" t="s">
        <v>26</v>
      </c>
      <c r="M3837" t="s">
        <v>27</v>
      </c>
      <c r="N3837" s="1">
        <v>18629</v>
      </c>
      <c r="O3837">
        <v>0</v>
      </c>
      <c r="P3837">
        <v>0</v>
      </c>
      <c r="Q3837" t="s">
        <v>28</v>
      </c>
      <c r="R3837" t="s">
        <v>29</v>
      </c>
      <c r="S3837" t="s">
        <v>9075</v>
      </c>
      <c r="T3837" t="s">
        <v>9076</v>
      </c>
    </row>
    <row r="3838" spans="1:20" x14ac:dyDescent="0.25">
      <c r="A3838" t="s">
        <v>9077</v>
      </c>
      <c r="B3838" t="str">
        <f>"4053"</f>
        <v>4053</v>
      </c>
      <c r="C3838" t="str">
        <f>"274404053"</f>
        <v>274404053</v>
      </c>
      <c r="D3838" t="s">
        <v>9078</v>
      </c>
      <c r="E3838" t="s">
        <v>9079</v>
      </c>
      <c r="F3838" t="s">
        <v>28</v>
      </c>
      <c r="G3838" s="1">
        <v>16808</v>
      </c>
      <c r="H3838" s="1">
        <v>38593</v>
      </c>
      <c r="I3838" t="str">
        <f>"12"</f>
        <v>12</v>
      </c>
      <c r="J3838" t="s">
        <v>245</v>
      </c>
      <c r="K3838" t="s">
        <v>98</v>
      </c>
      <c r="L3838" t="s">
        <v>37</v>
      </c>
      <c r="M3838" t="s">
        <v>117</v>
      </c>
      <c r="N3838" s="1">
        <v>41617</v>
      </c>
      <c r="O3838">
        <v>4951.96</v>
      </c>
      <c r="P3838">
        <v>1237.8599999999999</v>
      </c>
      <c r="Q3838" t="s">
        <v>37</v>
      </c>
      <c r="R3838" t="s">
        <v>71</v>
      </c>
      <c r="S3838" t="s">
        <v>9080</v>
      </c>
      <c r="T3838" t="s">
        <v>9081</v>
      </c>
    </row>
    <row r="3839" spans="1:20" x14ac:dyDescent="0.25">
      <c r="A3839" t="s">
        <v>9082</v>
      </c>
      <c r="B3839" t="str">
        <f>"3539"</f>
        <v>3539</v>
      </c>
      <c r="C3839" t="str">
        <f>"280703539"</f>
        <v>280703539</v>
      </c>
      <c r="D3839" t="s">
        <v>8538</v>
      </c>
      <c r="E3839" t="s">
        <v>33</v>
      </c>
      <c r="F3839" t="s">
        <v>345</v>
      </c>
      <c r="G3839" s="1">
        <v>17643</v>
      </c>
      <c r="H3839" s="1">
        <v>38593</v>
      </c>
      <c r="I3839" t="str">
        <f>"51"</f>
        <v>51</v>
      </c>
      <c r="J3839" t="s">
        <v>471</v>
      </c>
      <c r="K3839" t="s">
        <v>25</v>
      </c>
      <c r="L3839" t="s">
        <v>26</v>
      </c>
      <c r="M3839" t="s">
        <v>27</v>
      </c>
      <c r="N3839" s="1">
        <v>18629</v>
      </c>
      <c r="O3839">
        <v>0</v>
      </c>
      <c r="P3839">
        <v>0</v>
      </c>
      <c r="Q3839" t="s">
        <v>28</v>
      </c>
      <c r="R3839" t="s">
        <v>29</v>
      </c>
      <c r="S3839" t="s">
        <v>1572</v>
      </c>
      <c r="T3839" t="s">
        <v>1573</v>
      </c>
    </row>
    <row r="3840" spans="1:20" x14ac:dyDescent="0.25">
      <c r="A3840" t="s">
        <v>9083</v>
      </c>
      <c r="B3840" t="str">
        <f>"8652"</f>
        <v>8652</v>
      </c>
      <c r="C3840" t="str">
        <f>"268708652"</f>
        <v>268708652</v>
      </c>
      <c r="D3840" t="s">
        <v>9084</v>
      </c>
      <c r="E3840" t="s">
        <v>35</v>
      </c>
      <c r="F3840" t="s">
        <v>93</v>
      </c>
      <c r="G3840" s="1">
        <v>27648</v>
      </c>
      <c r="H3840" s="1">
        <v>38593</v>
      </c>
      <c r="I3840" t="str">
        <f>"51"</f>
        <v>51</v>
      </c>
      <c r="J3840" t="s">
        <v>471</v>
      </c>
      <c r="K3840" t="s">
        <v>25</v>
      </c>
      <c r="L3840" t="s">
        <v>26</v>
      </c>
      <c r="M3840" t="s">
        <v>27</v>
      </c>
      <c r="N3840" s="1">
        <v>18629</v>
      </c>
      <c r="O3840">
        <v>0</v>
      </c>
      <c r="P3840">
        <v>0</v>
      </c>
      <c r="Q3840" t="s">
        <v>28</v>
      </c>
      <c r="R3840" t="s">
        <v>29</v>
      </c>
      <c r="S3840" t="s">
        <v>5022</v>
      </c>
      <c r="T3840" t="s">
        <v>5023</v>
      </c>
    </row>
    <row r="3841" spans="1:20" x14ac:dyDescent="0.25">
      <c r="A3841" t="s">
        <v>9085</v>
      </c>
      <c r="B3841" t="str">
        <f>"2283"</f>
        <v>2283</v>
      </c>
      <c r="C3841" t="str">
        <f>"282542283"</f>
        <v>282542283</v>
      </c>
      <c r="D3841" t="s">
        <v>9086</v>
      </c>
      <c r="E3841" t="s">
        <v>22</v>
      </c>
      <c r="F3841" t="s">
        <v>97</v>
      </c>
      <c r="G3841" s="1">
        <v>21412</v>
      </c>
      <c r="H3841" s="1">
        <v>38593</v>
      </c>
      <c r="I3841" t="str">
        <f>"51"</f>
        <v>51</v>
      </c>
      <c r="J3841" t="s">
        <v>471</v>
      </c>
      <c r="K3841" t="s">
        <v>25</v>
      </c>
      <c r="L3841" t="s">
        <v>26</v>
      </c>
      <c r="M3841" t="s">
        <v>27</v>
      </c>
      <c r="N3841" s="1">
        <v>18629</v>
      </c>
      <c r="O3841">
        <v>0</v>
      </c>
      <c r="P3841">
        <v>0</v>
      </c>
      <c r="Q3841" t="s">
        <v>28</v>
      </c>
      <c r="R3841" t="s">
        <v>71</v>
      </c>
      <c r="S3841" t="s">
        <v>157</v>
      </c>
      <c r="T3841" t="s">
        <v>158</v>
      </c>
    </row>
    <row r="3842" spans="1:20" x14ac:dyDescent="0.25">
      <c r="A3842" t="s">
        <v>9087</v>
      </c>
      <c r="B3842" t="str">
        <f>"4336"</f>
        <v>4336</v>
      </c>
      <c r="C3842" t="str">
        <f>"173604336"</f>
        <v>173604336</v>
      </c>
      <c r="D3842" t="s">
        <v>9088</v>
      </c>
      <c r="E3842" t="s">
        <v>1722</v>
      </c>
      <c r="F3842" t="s">
        <v>414</v>
      </c>
      <c r="G3842" s="1">
        <v>25963</v>
      </c>
      <c r="H3842" s="1">
        <v>38593</v>
      </c>
      <c r="I3842" t="str">
        <f>"51"</f>
        <v>51</v>
      </c>
      <c r="J3842" t="s">
        <v>471</v>
      </c>
      <c r="K3842" t="s">
        <v>25</v>
      </c>
      <c r="L3842" t="s">
        <v>26</v>
      </c>
      <c r="M3842" t="s">
        <v>27</v>
      </c>
      <c r="N3842" s="1">
        <v>18629</v>
      </c>
      <c r="O3842">
        <v>0</v>
      </c>
      <c r="P3842">
        <v>0</v>
      </c>
      <c r="Q3842" t="s">
        <v>37</v>
      </c>
      <c r="R3842" t="s">
        <v>29</v>
      </c>
      <c r="S3842" t="s">
        <v>3588</v>
      </c>
      <c r="T3842" t="s">
        <v>3589</v>
      </c>
    </row>
    <row r="3843" spans="1:20" x14ac:dyDescent="0.25">
      <c r="A3843" t="s">
        <v>9089</v>
      </c>
      <c r="B3843" t="str">
        <f>"3710"</f>
        <v>3710</v>
      </c>
      <c r="C3843" t="str">
        <f>"284963710"</f>
        <v>284963710</v>
      </c>
      <c r="D3843" t="s">
        <v>9090</v>
      </c>
      <c r="E3843" t="s">
        <v>4857</v>
      </c>
      <c r="G3843" s="1">
        <v>24364</v>
      </c>
      <c r="H3843" s="1">
        <v>38593</v>
      </c>
      <c r="I3843" t="str">
        <f>"15"</f>
        <v>15</v>
      </c>
      <c r="J3843" t="s">
        <v>36</v>
      </c>
      <c r="K3843" t="s">
        <v>98</v>
      </c>
      <c r="L3843" t="s">
        <v>37</v>
      </c>
      <c r="M3843" t="s">
        <v>257</v>
      </c>
      <c r="N3843" s="1">
        <v>41617</v>
      </c>
      <c r="O3843">
        <v>10753.08</v>
      </c>
      <c r="P3843">
        <v>2688.4</v>
      </c>
      <c r="Q3843" t="s">
        <v>37</v>
      </c>
      <c r="R3843" t="s">
        <v>51</v>
      </c>
      <c r="S3843" t="s">
        <v>477</v>
      </c>
      <c r="T3843" t="s">
        <v>478</v>
      </c>
    </row>
    <row r="3844" spans="1:20" x14ac:dyDescent="0.25">
      <c r="A3844" t="s">
        <v>9091</v>
      </c>
      <c r="B3844" t="str">
        <f>"5438"</f>
        <v>5438</v>
      </c>
      <c r="C3844" t="str">
        <f>"312605438"</f>
        <v>312605438</v>
      </c>
      <c r="D3844" t="s">
        <v>9092</v>
      </c>
      <c r="E3844" t="s">
        <v>1530</v>
      </c>
      <c r="G3844" s="1">
        <v>18700</v>
      </c>
      <c r="H3844" s="1">
        <v>38593</v>
      </c>
      <c r="I3844" t="str">
        <f>"51"</f>
        <v>51</v>
      </c>
      <c r="J3844" t="s">
        <v>471</v>
      </c>
      <c r="K3844" t="s">
        <v>25</v>
      </c>
      <c r="L3844" t="s">
        <v>26</v>
      </c>
      <c r="M3844" t="s">
        <v>27</v>
      </c>
      <c r="N3844" s="1">
        <v>18629</v>
      </c>
      <c r="O3844">
        <v>0</v>
      </c>
      <c r="P3844">
        <v>0</v>
      </c>
      <c r="Q3844" t="s">
        <v>37</v>
      </c>
      <c r="R3844" t="s">
        <v>29</v>
      </c>
      <c r="S3844" t="s">
        <v>1160</v>
      </c>
      <c r="T3844" t="s">
        <v>1161</v>
      </c>
    </row>
    <row r="3845" spans="1:20" x14ac:dyDescent="0.25">
      <c r="A3845" t="s">
        <v>9093</v>
      </c>
      <c r="B3845" t="str">
        <f>"6736"</f>
        <v>6736</v>
      </c>
      <c r="C3845" t="str">
        <f>"279486736"</f>
        <v>279486736</v>
      </c>
      <c r="D3845" t="s">
        <v>9094</v>
      </c>
      <c r="E3845" t="s">
        <v>1218</v>
      </c>
      <c r="F3845" t="s">
        <v>9095</v>
      </c>
      <c r="G3845" s="1">
        <v>18307</v>
      </c>
      <c r="H3845" s="1">
        <v>38593</v>
      </c>
      <c r="I3845" t="str">
        <f>"51"</f>
        <v>51</v>
      </c>
      <c r="J3845" t="s">
        <v>471</v>
      </c>
      <c r="K3845" t="s">
        <v>25</v>
      </c>
      <c r="L3845" t="s">
        <v>26</v>
      </c>
      <c r="M3845" t="s">
        <v>27</v>
      </c>
      <c r="N3845" s="1">
        <v>18629</v>
      </c>
      <c r="O3845">
        <v>0</v>
      </c>
      <c r="P3845">
        <v>0</v>
      </c>
      <c r="Q3845" t="s">
        <v>28</v>
      </c>
      <c r="R3845" t="s">
        <v>51</v>
      </c>
      <c r="S3845" s="2" t="s">
        <v>2333</v>
      </c>
      <c r="T3845" t="s">
        <v>2334</v>
      </c>
    </row>
    <row r="3846" spans="1:20" x14ac:dyDescent="0.25">
      <c r="A3846" t="s">
        <v>9096</v>
      </c>
      <c r="B3846" t="str">
        <f>"0776"</f>
        <v>0776</v>
      </c>
      <c r="C3846" t="str">
        <f>"351500776"</f>
        <v>351500776</v>
      </c>
      <c r="D3846" t="s">
        <v>9097</v>
      </c>
      <c r="E3846" t="s">
        <v>3747</v>
      </c>
      <c r="F3846" t="s">
        <v>28</v>
      </c>
      <c r="G3846" s="1">
        <v>21574</v>
      </c>
      <c r="H3846" s="1">
        <v>38593</v>
      </c>
      <c r="I3846" t="str">
        <f>"51"</f>
        <v>51</v>
      </c>
      <c r="J3846" t="s">
        <v>471</v>
      </c>
      <c r="K3846" t="s">
        <v>25</v>
      </c>
      <c r="L3846" t="s">
        <v>26</v>
      </c>
      <c r="M3846" t="s">
        <v>27</v>
      </c>
      <c r="N3846" s="1">
        <v>18629</v>
      </c>
      <c r="O3846">
        <v>0</v>
      </c>
      <c r="P3846">
        <v>0</v>
      </c>
      <c r="Q3846" t="s">
        <v>28</v>
      </c>
      <c r="R3846" t="s">
        <v>71</v>
      </c>
      <c r="S3846" t="s">
        <v>1681</v>
      </c>
      <c r="T3846" t="s">
        <v>1682</v>
      </c>
    </row>
    <row r="3847" spans="1:20" x14ac:dyDescent="0.25">
      <c r="A3847" t="s">
        <v>9098</v>
      </c>
      <c r="B3847" t="str">
        <f>"7779"</f>
        <v>7779</v>
      </c>
      <c r="C3847" t="str">
        <f>"321447779"</f>
        <v>321447779</v>
      </c>
      <c r="D3847" t="s">
        <v>9099</v>
      </c>
      <c r="E3847" t="s">
        <v>1372</v>
      </c>
      <c r="G3847" s="1">
        <v>18081</v>
      </c>
      <c r="H3847" s="1">
        <v>38593</v>
      </c>
      <c r="I3847" t="str">
        <f>"33"</f>
        <v>33</v>
      </c>
      <c r="J3847" t="s">
        <v>45</v>
      </c>
      <c r="K3847" t="s">
        <v>25</v>
      </c>
      <c r="L3847" t="s">
        <v>26</v>
      </c>
      <c r="M3847" t="s">
        <v>27</v>
      </c>
      <c r="N3847" s="1">
        <v>18629</v>
      </c>
      <c r="O3847">
        <v>0</v>
      </c>
      <c r="P3847">
        <v>0</v>
      </c>
      <c r="Q3847" t="s">
        <v>37</v>
      </c>
      <c r="R3847" t="s">
        <v>51</v>
      </c>
      <c r="S3847" s="2" t="s">
        <v>1568</v>
      </c>
      <c r="T3847" t="s">
        <v>1569</v>
      </c>
    </row>
    <row r="3848" spans="1:20" x14ac:dyDescent="0.25">
      <c r="A3848" t="s">
        <v>9100</v>
      </c>
      <c r="B3848" t="str">
        <f>"6517"</f>
        <v>6517</v>
      </c>
      <c r="C3848" t="str">
        <f>"286046517"</f>
        <v>286046517</v>
      </c>
      <c r="D3848" t="s">
        <v>9101</v>
      </c>
      <c r="E3848" t="s">
        <v>9102</v>
      </c>
      <c r="G3848" s="1">
        <v>23883</v>
      </c>
      <c r="H3848" s="1">
        <v>38593</v>
      </c>
      <c r="I3848" t="str">
        <f t="shared" ref="I3848:I3855" si="85">"51"</f>
        <v>51</v>
      </c>
      <c r="J3848" t="s">
        <v>471</v>
      </c>
      <c r="K3848" t="s">
        <v>25</v>
      </c>
      <c r="L3848" t="s">
        <v>26</v>
      </c>
      <c r="M3848" t="s">
        <v>27</v>
      </c>
      <c r="N3848" s="1">
        <v>18629</v>
      </c>
      <c r="O3848">
        <v>0</v>
      </c>
      <c r="P3848">
        <v>0</v>
      </c>
      <c r="Q3848" t="s">
        <v>28</v>
      </c>
      <c r="R3848" t="s">
        <v>29</v>
      </c>
      <c r="S3848" t="s">
        <v>1572</v>
      </c>
      <c r="T3848" t="s">
        <v>1573</v>
      </c>
    </row>
    <row r="3849" spans="1:20" x14ac:dyDescent="0.25">
      <c r="A3849" t="s">
        <v>9103</v>
      </c>
      <c r="B3849" t="str">
        <f>"4842"</f>
        <v>4842</v>
      </c>
      <c r="C3849" t="str">
        <f>"286504842"</f>
        <v>286504842</v>
      </c>
      <c r="D3849" t="s">
        <v>9104</v>
      </c>
      <c r="E3849" t="s">
        <v>304</v>
      </c>
      <c r="F3849" t="s">
        <v>93</v>
      </c>
      <c r="G3849" s="1">
        <v>19251</v>
      </c>
      <c r="H3849" s="1">
        <v>38593</v>
      </c>
      <c r="I3849" t="str">
        <f t="shared" si="85"/>
        <v>51</v>
      </c>
      <c r="J3849" t="s">
        <v>471</v>
      </c>
      <c r="K3849" t="s">
        <v>25</v>
      </c>
      <c r="L3849" t="s">
        <v>26</v>
      </c>
      <c r="M3849" t="s">
        <v>27</v>
      </c>
      <c r="N3849" s="1">
        <v>18629</v>
      </c>
      <c r="O3849">
        <v>0</v>
      </c>
      <c r="P3849">
        <v>0</v>
      </c>
      <c r="Q3849" t="s">
        <v>28</v>
      </c>
      <c r="R3849" t="s">
        <v>71</v>
      </c>
      <c r="S3849" t="s">
        <v>9105</v>
      </c>
      <c r="T3849" t="s">
        <v>9106</v>
      </c>
    </row>
    <row r="3850" spans="1:20" x14ac:dyDescent="0.25">
      <c r="A3850" t="s">
        <v>9107</v>
      </c>
      <c r="B3850" t="str">
        <f>"9677"</f>
        <v>9677</v>
      </c>
      <c r="C3850" t="str">
        <f>"272449677"</f>
        <v>272449677</v>
      </c>
      <c r="D3850" t="s">
        <v>470</v>
      </c>
      <c r="E3850" t="s">
        <v>4720</v>
      </c>
      <c r="F3850" t="s">
        <v>28</v>
      </c>
      <c r="G3850" s="1">
        <v>18027</v>
      </c>
      <c r="H3850" s="1">
        <v>38593</v>
      </c>
      <c r="I3850" t="str">
        <f t="shared" si="85"/>
        <v>51</v>
      </c>
      <c r="J3850" t="s">
        <v>471</v>
      </c>
      <c r="K3850" t="s">
        <v>25</v>
      </c>
      <c r="L3850" t="s">
        <v>26</v>
      </c>
      <c r="M3850" t="s">
        <v>27</v>
      </c>
      <c r="N3850" s="1">
        <v>18629</v>
      </c>
      <c r="O3850">
        <v>0</v>
      </c>
      <c r="P3850">
        <v>0</v>
      </c>
      <c r="Q3850" t="s">
        <v>28</v>
      </c>
      <c r="R3850" t="s">
        <v>71</v>
      </c>
      <c r="S3850" t="s">
        <v>1513</v>
      </c>
      <c r="T3850" t="s">
        <v>1514</v>
      </c>
    </row>
    <row r="3851" spans="1:20" x14ac:dyDescent="0.25">
      <c r="A3851" t="s">
        <v>9108</v>
      </c>
      <c r="B3851" t="str">
        <f>"6239"</f>
        <v>6239</v>
      </c>
      <c r="C3851" t="str">
        <f>"271686239"</f>
        <v>271686239</v>
      </c>
      <c r="D3851" t="s">
        <v>8694</v>
      </c>
      <c r="E3851" t="s">
        <v>1074</v>
      </c>
      <c r="F3851" t="s">
        <v>2229</v>
      </c>
      <c r="G3851" s="1">
        <v>24595</v>
      </c>
      <c r="H3851" s="1">
        <v>38593</v>
      </c>
      <c r="I3851" t="str">
        <f t="shared" si="85"/>
        <v>51</v>
      </c>
      <c r="J3851" t="s">
        <v>471</v>
      </c>
      <c r="K3851" t="s">
        <v>25</v>
      </c>
      <c r="L3851" t="s">
        <v>26</v>
      </c>
      <c r="M3851" t="s">
        <v>27</v>
      </c>
      <c r="N3851" s="1">
        <v>18629</v>
      </c>
      <c r="O3851">
        <v>0</v>
      </c>
      <c r="P3851">
        <v>0</v>
      </c>
      <c r="Q3851" t="s">
        <v>37</v>
      </c>
      <c r="R3851" t="s">
        <v>71</v>
      </c>
      <c r="S3851" t="s">
        <v>138</v>
      </c>
      <c r="T3851" t="s">
        <v>139</v>
      </c>
    </row>
    <row r="3852" spans="1:20" x14ac:dyDescent="0.25">
      <c r="A3852" t="s">
        <v>9109</v>
      </c>
      <c r="B3852" t="str">
        <f>"4346"</f>
        <v>4346</v>
      </c>
      <c r="C3852" t="str">
        <f>"293764346"</f>
        <v>293764346</v>
      </c>
      <c r="D3852" t="s">
        <v>9110</v>
      </c>
      <c r="E3852" t="s">
        <v>778</v>
      </c>
      <c r="G3852" s="1">
        <v>26855</v>
      </c>
      <c r="H3852" s="1">
        <v>38593</v>
      </c>
      <c r="I3852" t="str">
        <f t="shared" si="85"/>
        <v>51</v>
      </c>
      <c r="J3852" t="s">
        <v>471</v>
      </c>
      <c r="K3852" t="s">
        <v>25</v>
      </c>
      <c r="L3852" t="s">
        <v>26</v>
      </c>
      <c r="M3852" t="s">
        <v>27</v>
      </c>
      <c r="N3852" s="1">
        <v>18629</v>
      </c>
      <c r="O3852">
        <v>0</v>
      </c>
      <c r="P3852">
        <v>0</v>
      </c>
      <c r="Q3852" t="s">
        <v>37</v>
      </c>
      <c r="R3852" t="s">
        <v>51</v>
      </c>
      <c r="S3852" s="2" t="s">
        <v>5804</v>
      </c>
      <c r="T3852" t="s">
        <v>5805</v>
      </c>
    </row>
    <row r="3853" spans="1:20" x14ac:dyDescent="0.25">
      <c r="A3853" t="s">
        <v>9111</v>
      </c>
      <c r="B3853" t="str">
        <f>"5096"</f>
        <v>5096</v>
      </c>
      <c r="C3853" t="str">
        <f>"276765096"</f>
        <v>276765096</v>
      </c>
      <c r="D3853" t="s">
        <v>9112</v>
      </c>
      <c r="E3853" t="s">
        <v>1055</v>
      </c>
      <c r="F3853" t="s">
        <v>629</v>
      </c>
      <c r="G3853" s="1">
        <v>23379</v>
      </c>
      <c r="H3853" s="1">
        <v>38593</v>
      </c>
      <c r="I3853" t="str">
        <f t="shared" si="85"/>
        <v>51</v>
      </c>
      <c r="J3853" t="s">
        <v>471</v>
      </c>
      <c r="K3853" t="s">
        <v>25</v>
      </c>
      <c r="L3853" t="s">
        <v>26</v>
      </c>
      <c r="M3853" t="s">
        <v>27</v>
      </c>
      <c r="N3853" s="1">
        <v>18629</v>
      </c>
      <c r="O3853">
        <v>0</v>
      </c>
      <c r="P3853">
        <v>0</v>
      </c>
      <c r="Q3853" t="s">
        <v>28</v>
      </c>
      <c r="R3853" t="s">
        <v>29</v>
      </c>
      <c r="S3853" t="s">
        <v>589</v>
      </c>
      <c r="T3853" t="s">
        <v>590</v>
      </c>
    </row>
    <row r="3854" spans="1:20" x14ac:dyDescent="0.25">
      <c r="A3854" t="s">
        <v>9113</v>
      </c>
      <c r="B3854" t="str">
        <f>"5875"</f>
        <v>5875</v>
      </c>
      <c r="C3854" t="str">
        <f>"292625875"</f>
        <v>292625875</v>
      </c>
      <c r="D3854" t="s">
        <v>9114</v>
      </c>
      <c r="E3854" t="s">
        <v>194</v>
      </c>
      <c r="G3854" s="1">
        <v>25908</v>
      </c>
      <c r="H3854" s="1">
        <v>38593</v>
      </c>
      <c r="I3854" t="str">
        <f t="shared" si="85"/>
        <v>51</v>
      </c>
      <c r="J3854" t="s">
        <v>471</v>
      </c>
      <c r="K3854" t="s">
        <v>25</v>
      </c>
      <c r="L3854" t="s">
        <v>26</v>
      </c>
      <c r="M3854" t="s">
        <v>27</v>
      </c>
      <c r="N3854" s="1">
        <v>18629</v>
      </c>
      <c r="O3854">
        <v>0</v>
      </c>
      <c r="P3854">
        <v>0</v>
      </c>
      <c r="Q3854" t="s">
        <v>37</v>
      </c>
      <c r="R3854" t="s">
        <v>51</v>
      </c>
      <c r="S3854" s="2" t="s">
        <v>1568</v>
      </c>
      <c r="T3854" t="s">
        <v>1569</v>
      </c>
    </row>
    <row r="3855" spans="1:20" x14ac:dyDescent="0.25">
      <c r="A3855" t="s">
        <v>9115</v>
      </c>
      <c r="B3855" t="str">
        <f>"0418"</f>
        <v>0418</v>
      </c>
      <c r="C3855" t="str">
        <f>"299800418"</f>
        <v>299800418</v>
      </c>
      <c r="D3855" t="s">
        <v>9116</v>
      </c>
      <c r="E3855" t="s">
        <v>9117</v>
      </c>
      <c r="G3855" s="1">
        <v>29430</v>
      </c>
      <c r="H3855" s="1">
        <v>38593</v>
      </c>
      <c r="I3855" t="str">
        <f t="shared" si="85"/>
        <v>51</v>
      </c>
      <c r="J3855" t="s">
        <v>471</v>
      </c>
      <c r="K3855" t="s">
        <v>25</v>
      </c>
      <c r="L3855" t="s">
        <v>26</v>
      </c>
      <c r="M3855" t="s">
        <v>27</v>
      </c>
      <c r="N3855" s="1">
        <v>18629</v>
      </c>
      <c r="O3855">
        <v>0</v>
      </c>
      <c r="P3855">
        <v>0</v>
      </c>
      <c r="Q3855" t="s">
        <v>37</v>
      </c>
      <c r="R3855" t="s">
        <v>51</v>
      </c>
      <c r="S3855" s="2" t="s">
        <v>1568</v>
      </c>
      <c r="T3855" t="s">
        <v>1569</v>
      </c>
    </row>
    <row r="3856" spans="1:20" x14ac:dyDescent="0.25">
      <c r="A3856" t="s">
        <v>9118</v>
      </c>
      <c r="B3856" t="str">
        <f>"1705"</f>
        <v>1705</v>
      </c>
      <c r="C3856" t="str">
        <f>"288561705"</f>
        <v>288561705</v>
      </c>
      <c r="D3856" t="s">
        <v>366</v>
      </c>
      <c r="E3856" t="s">
        <v>933</v>
      </c>
      <c r="F3856" t="s">
        <v>430</v>
      </c>
      <c r="G3856" s="1">
        <v>20339</v>
      </c>
      <c r="H3856" s="1">
        <v>38593</v>
      </c>
      <c r="I3856" t="str">
        <f>"12"</f>
        <v>12</v>
      </c>
      <c r="J3856" t="s">
        <v>245</v>
      </c>
      <c r="K3856" t="s">
        <v>98</v>
      </c>
      <c r="L3856" t="s">
        <v>37</v>
      </c>
      <c r="M3856" t="s">
        <v>117</v>
      </c>
      <c r="N3856" s="1">
        <v>41617</v>
      </c>
      <c r="O3856">
        <v>4951.96</v>
      </c>
      <c r="P3856">
        <v>1237.8599999999999</v>
      </c>
      <c r="Q3856" t="s">
        <v>28</v>
      </c>
      <c r="R3856" t="s">
        <v>51</v>
      </c>
      <c r="S3856" t="s">
        <v>477</v>
      </c>
      <c r="T3856" t="s">
        <v>478</v>
      </c>
    </row>
    <row r="3857" spans="1:20" x14ac:dyDescent="0.25">
      <c r="A3857" t="s">
        <v>9119</v>
      </c>
      <c r="B3857" t="str">
        <f>"9469"</f>
        <v>9469</v>
      </c>
      <c r="C3857" t="str">
        <f>"271509469"</f>
        <v>271509469</v>
      </c>
      <c r="D3857" t="s">
        <v>9120</v>
      </c>
      <c r="E3857" t="s">
        <v>179</v>
      </c>
      <c r="F3857" t="s">
        <v>44</v>
      </c>
      <c r="G3857" s="1">
        <v>18515</v>
      </c>
      <c r="H3857" s="1">
        <v>38593</v>
      </c>
      <c r="I3857" t="str">
        <f>"51"</f>
        <v>51</v>
      </c>
      <c r="J3857" t="s">
        <v>471</v>
      </c>
      <c r="K3857" t="s">
        <v>25</v>
      </c>
      <c r="L3857" t="s">
        <v>26</v>
      </c>
      <c r="M3857" t="s">
        <v>27</v>
      </c>
      <c r="N3857" s="1">
        <v>18629</v>
      </c>
      <c r="O3857">
        <v>0</v>
      </c>
      <c r="P3857">
        <v>0</v>
      </c>
      <c r="Q3857" t="s">
        <v>28</v>
      </c>
      <c r="R3857" t="s">
        <v>29</v>
      </c>
      <c r="S3857" t="s">
        <v>1494</v>
      </c>
      <c r="T3857" t="s">
        <v>1495</v>
      </c>
    </row>
    <row r="3858" spans="1:20" x14ac:dyDescent="0.25">
      <c r="A3858" t="s">
        <v>9121</v>
      </c>
      <c r="B3858" t="str">
        <f>"9749"</f>
        <v>9749</v>
      </c>
      <c r="C3858" t="str">
        <f>"274389749"</f>
        <v>274389749</v>
      </c>
      <c r="D3858" t="s">
        <v>9122</v>
      </c>
      <c r="E3858" t="s">
        <v>304</v>
      </c>
      <c r="F3858" t="s">
        <v>832</v>
      </c>
      <c r="G3858" s="1">
        <v>15542</v>
      </c>
      <c r="H3858" s="1">
        <v>38593</v>
      </c>
      <c r="I3858" t="str">
        <f>"51"</f>
        <v>51</v>
      </c>
      <c r="J3858" t="s">
        <v>471</v>
      </c>
      <c r="K3858" t="s">
        <v>25</v>
      </c>
      <c r="L3858" t="s">
        <v>26</v>
      </c>
      <c r="M3858" t="s">
        <v>27</v>
      </c>
      <c r="N3858" s="1">
        <v>18629</v>
      </c>
      <c r="O3858">
        <v>0</v>
      </c>
      <c r="P3858">
        <v>0</v>
      </c>
      <c r="Q3858" t="s">
        <v>28</v>
      </c>
      <c r="R3858" t="s">
        <v>29</v>
      </c>
      <c r="S3858" t="s">
        <v>1555</v>
      </c>
      <c r="T3858" t="s">
        <v>1556</v>
      </c>
    </row>
    <row r="3859" spans="1:20" x14ac:dyDescent="0.25">
      <c r="A3859" t="s">
        <v>9123</v>
      </c>
      <c r="B3859" t="str">
        <f>"9979"</f>
        <v>9979</v>
      </c>
      <c r="C3859" t="str">
        <f>"294629979"</f>
        <v>294629979</v>
      </c>
      <c r="D3859" t="s">
        <v>9124</v>
      </c>
      <c r="E3859" t="s">
        <v>2786</v>
      </c>
      <c r="F3859" t="s">
        <v>97</v>
      </c>
      <c r="G3859" s="1">
        <v>20920</v>
      </c>
      <c r="H3859" s="1">
        <v>38593</v>
      </c>
      <c r="I3859" t="str">
        <f>"51"</f>
        <v>51</v>
      </c>
      <c r="J3859" t="s">
        <v>471</v>
      </c>
      <c r="K3859" t="s">
        <v>25</v>
      </c>
      <c r="L3859" t="s">
        <v>26</v>
      </c>
      <c r="M3859" t="s">
        <v>27</v>
      </c>
      <c r="N3859" s="1">
        <v>18629</v>
      </c>
      <c r="O3859">
        <v>0</v>
      </c>
      <c r="P3859">
        <v>0</v>
      </c>
      <c r="Q3859" t="s">
        <v>37</v>
      </c>
      <c r="R3859" t="s">
        <v>71</v>
      </c>
      <c r="S3859" t="s">
        <v>138</v>
      </c>
      <c r="T3859" t="s">
        <v>139</v>
      </c>
    </row>
    <row r="3860" spans="1:20" x14ac:dyDescent="0.25">
      <c r="A3860" t="s">
        <v>9125</v>
      </c>
      <c r="B3860" t="str">
        <f>"8853"</f>
        <v>8853</v>
      </c>
      <c r="C3860" t="str">
        <f>"274828853"</f>
        <v>274828853</v>
      </c>
      <c r="D3860" t="s">
        <v>881</v>
      </c>
      <c r="E3860" t="s">
        <v>1666</v>
      </c>
      <c r="F3860" t="s">
        <v>93</v>
      </c>
      <c r="G3860" s="1">
        <v>27198</v>
      </c>
      <c r="H3860" s="1">
        <v>38593</v>
      </c>
      <c r="I3860" t="str">
        <f>"51"</f>
        <v>51</v>
      </c>
      <c r="J3860" t="s">
        <v>471</v>
      </c>
      <c r="K3860" t="s">
        <v>25</v>
      </c>
      <c r="L3860" t="s">
        <v>26</v>
      </c>
      <c r="M3860" t="s">
        <v>27</v>
      </c>
      <c r="N3860" s="1">
        <v>18629</v>
      </c>
      <c r="O3860">
        <v>0</v>
      </c>
      <c r="P3860">
        <v>0</v>
      </c>
      <c r="Q3860" t="s">
        <v>37</v>
      </c>
      <c r="R3860" t="s">
        <v>71</v>
      </c>
      <c r="S3860" t="s">
        <v>770</v>
      </c>
      <c r="T3860" t="s">
        <v>771</v>
      </c>
    </row>
    <row r="3861" spans="1:20" x14ac:dyDescent="0.25">
      <c r="A3861" t="s">
        <v>9126</v>
      </c>
      <c r="B3861" t="str">
        <f>"7465"</f>
        <v>7465</v>
      </c>
      <c r="C3861" t="str">
        <f>"296447465"</f>
        <v>296447465</v>
      </c>
      <c r="D3861" t="s">
        <v>2661</v>
      </c>
      <c r="E3861" t="s">
        <v>1589</v>
      </c>
      <c r="F3861" t="s">
        <v>44</v>
      </c>
      <c r="G3861" s="1">
        <v>18477</v>
      </c>
      <c r="H3861" s="1">
        <v>38593</v>
      </c>
      <c r="I3861" t="str">
        <f>"51"</f>
        <v>51</v>
      </c>
      <c r="J3861" t="s">
        <v>471</v>
      </c>
      <c r="K3861" t="s">
        <v>25</v>
      </c>
      <c r="L3861" t="s">
        <v>26</v>
      </c>
      <c r="M3861" t="s">
        <v>27</v>
      </c>
      <c r="N3861" s="1">
        <v>18629</v>
      </c>
      <c r="O3861">
        <v>0</v>
      </c>
      <c r="P3861">
        <v>0</v>
      </c>
      <c r="Q3861" t="s">
        <v>37</v>
      </c>
      <c r="R3861" t="s">
        <v>71</v>
      </c>
      <c r="S3861" s="2" t="s">
        <v>7993</v>
      </c>
      <c r="T3861" t="s">
        <v>7994</v>
      </c>
    </row>
    <row r="3862" spans="1:20" x14ac:dyDescent="0.25">
      <c r="A3862" t="s">
        <v>9127</v>
      </c>
      <c r="B3862" t="str">
        <f>"6476"</f>
        <v>6476</v>
      </c>
      <c r="C3862" t="str">
        <f>"285626476"</f>
        <v>285626476</v>
      </c>
      <c r="D3862" t="s">
        <v>9128</v>
      </c>
      <c r="E3862" t="s">
        <v>2027</v>
      </c>
      <c r="F3862" t="s">
        <v>28</v>
      </c>
      <c r="G3862" s="1">
        <v>21023</v>
      </c>
      <c r="H3862" s="1">
        <v>38586</v>
      </c>
      <c r="I3862" t="str">
        <f>"52"</f>
        <v>52</v>
      </c>
      <c r="J3862" t="s">
        <v>330</v>
      </c>
      <c r="K3862" t="s">
        <v>25</v>
      </c>
      <c r="L3862" t="s">
        <v>26</v>
      </c>
      <c r="M3862" t="s">
        <v>27</v>
      </c>
      <c r="N3862" s="1">
        <v>18629</v>
      </c>
      <c r="O3862">
        <v>0</v>
      </c>
      <c r="P3862">
        <v>0</v>
      </c>
      <c r="Q3862" t="s">
        <v>28</v>
      </c>
      <c r="R3862" t="s">
        <v>258</v>
      </c>
      <c r="S3862" t="s">
        <v>533</v>
      </c>
      <c r="T3862" t="s">
        <v>534</v>
      </c>
    </row>
    <row r="3863" spans="1:20" x14ac:dyDescent="0.25">
      <c r="A3863" t="s">
        <v>9129</v>
      </c>
      <c r="B3863" t="str">
        <f>"9947"</f>
        <v>9947</v>
      </c>
      <c r="C3863" t="str">
        <f>"299609947"</f>
        <v>299609947</v>
      </c>
      <c r="D3863" t="s">
        <v>1032</v>
      </c>
      <c r="E3863" t="s">
        <v>1813</v>
      </c>
      <c r="F3863" t="s">
        <v>414</v>
      </c>
      <c r="G3863" s="1">
        <v>22250</v>
      </c>
      <c r="H3863" s="1">
        <v>38579</v>
      </c>
      <c r="I3863" t="str">
        <f>"20"</f>
        <v>20</v>
      </c>
      <c r="J3863" t="s">
        <v>123</v>
      </c>
      <c r="K3863" t="s">
        <v>98</v>
      </c>
      <c r="L3863" t="s">
        <v>37</v>
      </c>
      <c r="M3863" t="s">
        <v>257</v>
      </c>
      <c r="N3863" s="1">
        <v>41631</v>
      </c>
      <c r="O3863">
        <v>10753.16</v>
      </c>
      <c r="P3863">
        <v>2688.4</v>
      </c>
      <c r="Q3863" t="s">
        <v>37</v>
      </c>
      <c r="R3863" t="s">
        <v>71</v>
      </c>
      <c r="S3863" t="s">
        <v>2297</v>
      </c>
      <c r="T3863" t="s">
        <v>2298</v>
      </c>
    </row>
    <row r="3864" spans="1:20" x14ac:dyDescent="0.25">
      <c r="A3864" t="s">
        <v>9130</v>
      </c>
      <c r="B3864" t="str">
        <f>"4578"</f>
        <v>4578</v>
      </c>
      <c r="C3864" t="str">
        <f>"274764578"</f>
        <v>274764578</v>
      </c>
      <c r="D3864" t="s">
        <v>9131</v>
      </c>
      <c r="E3864" t="s">
        <v>3598</v>
      </c>
      <c r="F3864" t="s">
        <v>44</v>
      </c>
      <c r="G3864" s="1">
        <v>24450</v>
      </c>
      <c r="H3864" s="1">
        <v>38579</v>
      </c>
      <c r="I3864" t="str">
        <f>"20"</f>
        <v>20</v>
      </c>
      <c r="J3864" t="s">
        <v>123</v>
      </c>
      <c r="K3864" t="s">
        <v>510</v>
      </c>
      <c r="L3864" t="s">
        <v>37</v>
      </c>
      <c r="M3864" t="s">
        <v>99</v>
      </c>
      <c r="N3864" s="1">
        <v>41631</v>
      </c>
      <c r="O3864">
        <v>19521.919999999998</v>
      </c>
      <c r="P3864">
        <v>4880.4799999999996</v>
      </c>
      <c r="Q3864" t="s">
        <v>37</v>
      </c>
      <c r="R3864" t="s">
        <v>29</v>
      </c>
      <c r="S3864" t="s">
        <v>1572</v>
      </c>
      <c r="T3864" t="s">
        <v>1573</v>
      </c>
    </row>
    <row r="3865" spans="1:20" x14ac:dyDescent="0.25">
      <c r="A3865" t="s">
        <v>9132</v>
      </c>
      <c r="B3865" t="str">
        <f>"8705"</f>
        <v>8705</v>
      </c>
      <c r="C3865" t="str">
        <f>"305688705"</f>
        <v>305688705</v>
      </c>
      <c r="D3865" t="s">
        <v>9133</v>
      </c>
      <c r="E3865" t="s">
        <v>33</v>
      </c>
      <c r="F3865" t="s">
        <v>165</v>
      </c>
      <c r="G3865" s="1">
        <v>20963</v>
      </c>
      <c r="H3865" s="1">
        <v>38579</v>
      </c>
      <c r="I3865" t="str">
        <f>"51"</f>
        <v>51</v>
      </c>
      <c r="J3865" t="s">
        <v>471</v>
      </c>
      <c r="K3865" t="s">
        <v>25</v>
      </c>
      <c r="L3865" t="s">
        <v>26</v>
      </c>
      <c r="M3865" t="s">
        <v>27</v>
      </c>
      <c r="N3865" s="1">
        <v>18629</v>
      </c>
      <c r="O3865">
        <v>0</v>
      </c>
      <c r="P3865">
        <v>0</v>
      </c>
      <c r="Q3865" t="s">
        <v>28</v>
      </c>
      <c r="R3865" t="s">
        <v>71</v>
      </c>
      <c r="S3865" t="s">
        <v>2458</v>
      </c>
      <c r="T3865" t="s">
        <v>2459</v>
      </c>
    </row>
    <row r="3866" spans="1:20" x14ac:dyDescent="0.25">
      <c r="A3866" t="s">
        <v>9134</v>
      </c>
      <c r="B3866" t="str">
        <f>"6968"</f>
        <v>6968</v>
      </c>
      <c r="C3866" t="str">
        <f>"286506968"</f>
        <v>286506968</v>
      </c>
      <c r="D3866" t="s">
        <v>9135</v>
      </c>
      <c r="E3866" t="s">
        <v>304</v>
      </c>
      <c r="F3866" t="s">
        <v>329</v>
      </c>
      <c r="G3866" s="1">
        <v>22133</v>
      </c>
      <c r="H3866" s="1">
        <v>38579</v>
      </c>
      <c r="I3866" t="str">
        <f>"20"</f>
        <v>20</v>
      </c>
      <c r="J3866" t="s">
        <v>123</v>
      </c>
      <c r="K3866" t="s">
        <v>98</v>
      </c>
      <c r="L3866" t="s">
        <v>37</v>
      </c>
      <c r="M3866" t="s">
        <v>117</v>
      </c>
      <c r="N3866" s="1">
        <v>41631</v>
      </c>
      <c r="O3866">
        <v>4951.9799999999996</v>
      </c>
      <c r="P3866">
        <v>1237.94</v>
      </c>
      <c r="Q3866" t="s">
        <v>28</v>
      </c>
      <c r="R3866" t="s">
        <v>29</v>
      </c>
      <c r="S3866" t="s">
        <v>3682</v>
      </c>
      <c r="T3866" t="s">
        <v>3683</v>
      </c>
    </row>
    <row r="3867" spans="1:20" x14ac:dyDescent="0.25">
      <c r="A3867" t="s">
        <v>9136</v>
      </c>
      <c r="B3867" t="str">
        <f>"6406"</f>
        <v>6406</v>
      </c>
      <c r="C3867" t="str">
        <f>"271786406"</f>
        <v>271786406</v>
      </c>
      <c r="D3867" t="s">
        <v>3919</v>
      </c>
      <c r="E3867" t="s">
        <v>173</v>
      </c>
      <c r="F3867" t="s">
        <v>28</v>
      </c>
      <c r="G3867" s="1">
        <v>27161</v>
      </c>
      <c r="H3867" s="1">
        <v>38579</v>
      </c>
      <c r="I3867" t="str">
        <f>"20"</f>
        <v>20</v>
      </c>
      <c r="J3867" t="s">
        <v>123</v>
      </c>
      <c r="K3867" t="s">
        <v>98</v>
      </c>
      <c r="L3867" t="s">
        <v>37</v>
      </c>
      <c r="M3867" t="s">
        <v>117</v>
      </c>
      <c r="N3867" s="1">
        <v>41631</v>
      </c>
      <c r="O3867">
        <v>4951.9799999999996</v>
      </c>
      <c r="P3867">
        <v>1237.94</v>
      </c>
      <c r="Q3867" t="s">
        <v>37</v>
      </c>
      <c r="R3867" t="s">
        <v>71</v>
      </c>
      <c r="S3867" t="s">
        <v>5022</v>
      </c>
      <c r="T3867" t="s">
        <v>5023</v>
      </c>
    </row>
    <row r="3868" spans="1:20" x14ac:dyDescent="0.25">
      <c r="A3868" t="s">
        <v>9137</v>
      </c>
      <c r="B3868" t="str">
        <f>"9757"</f>
        <v>9757</v>
      </c>
      <c r="C3868" t="str">
        <f>"276689757"</f>
        <v>276689757</v>
      </c>
      <c r="D3868" t="s">
        <v>452</v>
      </c>
      <c r="E3868" t="s">
        <v>9138</v>
      </c>
      <c r="F3868" t="s">
        <v>44</v>
      </c>
      <c r="G3868" s="1">
        <v>22189</v>
      </c>
      <c r="H3868" s="1">
        <v>38579</v>
      </c>
      <c r="I3868" t="str">
        <f>"42"</f>
        <v>42</v>
      </c>
      <c r="J3868" t="s">
        <v>367</v>
      </c>
      <c r="K3868" t="s">
        <v>25</v>
      </c>
      <c r="L3868" t="s">
        <v>26</v>
      </c>
      <c r="M3868" t="s">
        <v>27</v>
      </c>
      <c r="N3868" s="1">
        <v>18629</v>
      </c>
      <c r="O3868">
        <v>0</v>
      </c>
      <c r="P3868">
        <v>0</v>
      </c>
      <c r="Q3868" t="s">
        <v>28</v>
      </c>
      <c r="R3868" t="s">
        <v>29</v>
      </c>
      <c r="S3868" t="s">
        <v>885</v>
      </c>
      <c r="T3868" t="s">
        <v>886</v>
      </c>
    </row>
    <row r="3869" spans="1:20" x14ac:dyDescent="0.25">
      <c r="A3869" t="s">
        <v>9139</v>
      </c>
      <c r="B3869" t="str">
        <f>"7733"</f>
        <v>7733</v>
      </c>
      <c r="C3869" t="str">
        <f>"287447733"</f>
        <v>287447733</v>
      </c>
      <c r="D3869" t="s">
        <v>1049</v>
      </c>
      <c r="E3869" t="s">
        <v>5828</v>
      </c>
      <c r="F3869" t="s">
        <v>22</v>
      </c>
      <c r="G3869" s="1">
        <v>20227</v>
      </c>
      <c r="H3869" s="1">
        <v>38573</v>
      </c>
      <c r="I3869" t="str">
        <f>"52"</f>
        <v>52</v>
      </c>
      <c r="J3869" t="s">
        <v>330</v>
      </c>
      <c r="K3869" t="s">
        <v>25</v>
      </c>
      <c r="L3869" t="s">
        <v>26</v>
      </c>
      <c r="M3869" t="s">
        <v>27</v>
      </c>
      <c r="N3869" s="1">
        <v>18629</v>
      </c>
      <c r="O3869">
        <v>0</v>
      </c>
      <c r="P3869">
        <v>0</v>
      </c>
      <c r="Q3869" t="s">
        <v>28</v>
      </c>
      <c r="R3869" t="s">
        <v>258</v>
      </c>
      <c r="S3869" t="s">
        <v>1235</v>
      </c>
      <c r="T3869" t="s">
        <v>1236</v>
      </c>
    </row>
    <row r="3870" spans="1:20" x14ac:dyDescent="0.25">
      <c r="A3870" t="s">
        <v>9140</v>
      </c>
      <c r="B3870" t="str">
        <f>"7746"</f>
        <v>7746</v>
      </c>
      <c r="C3870" t="str">
        <f>"286447746"</f>
        <v>286447746</v>
      </c>
      <c r="D3870" t="s">
        <v>3623</v>
      </c>
      <c r="E3870" t="s">
        <v>358</v>
      </c>
      <c r="F3870" t="s">
        <v>414</v>
      </c>
      <c r="G3870" s="1">
        <v>18537</v>
      </c>
      <c r="H3870" s="1">
        <v>38565</v>
      </c>
      <c r="I3870" t="str">
        <f>"51"</f>
        <v>51</v>
      </c>
      <c r="J3870" t="s">
        <v>471</v>
      </c>
      <c r="K3870" t="s">
        <v>25</v>
      </c>
      <c r="L3870" t="s">
        <v>26</v>
      </c>
      <c r="M3870" t="s">
        <v>27</v>
      </c>
      <c r="N3870" s="1">
        <v>18629</v>
      </c>
      <c r="O3870">
        <v>0</v>
      </c>
      <c r="P3870">
        <v>0</v>
      </c>
      <c r="Q3870" t="s">
        <v>37</v>
      </c>
      <c r="R3870" t="s">
        <v>71</v>
      </c>
      <c r="S3870" t="s">
        <v>157</v>
      </c>
      <c r="T3870" t="s">
        <v>158</v>
      </c>
    </row>
    <row r="3871" spans="1:20" x14ac:dyDescent="0.25">
      <c r="A3871" t="s">
        <v>9141</v>
      </c>
      <c r="B3871" t="str">
        <f>"9939"</f>
        <v>9939</v>
      </c>
      <c r="C3871" t="str">
        <f>"283669939"</f>
        <v>283669939</v>
      </c>
      <c r="D3871" t="s">
        <v>881</v>
      </c>
      <c r="E3871" t="s">
        <v>2438</v>
      </c>
      <c r="F3871" t="s">
        <v>282</v>
      </c>
      <c r="G3871" s="1">
        <v>21836</v>
      </c>
      <c r="H3871" s="1">
        <v>38565</v>
      </c>
      <c r="I3871" t="str">
        <f>"20"</f>
        <v>20</v>
      </c>
      <c r="J3871" t="s">
        <v>123</v>
      </c>
      <c r="K3871" t="s">
        <v>98</v>
      </c>
      <c r="L3871" t="s">
        <v>37</v>
      </c>
      <c r="M3871" t="s">
        <v>117</v>
      </c>
      <c r="N3871" s="1">
        <v>41631</v>
      </c>
      <c r="O3871">
        <v>4951.9799999999996</v>
      </c>
      <c r="P3871">
        <v>1237.94</v>
      </c>
      <c r="Q3871" t="s">
        <v>28</v>
      </c>
      <c r="R3871" t="s">
        <v>29</v>
      </c>
      <c r="S3871" t="s">
        <v>1160</v>
      </c>
      <c r="T3871" t="s">
        <v>1161</v>
      </c>
    </row>
    <row r="3872" spans="1:20" x14ac:dyDescent="0.25">
      <c r="A3872" t="s">
        <v>9142</v>
      </c>
      <c r="B3872" t="str">
        <f>"0797"</f>
        <v>0797</v>
      </c>
      <c r="C3872" t="str">
        <f>"288460797"</f>
        <v>288460797</v>
      </c>
      <c r="D3872" t="s">
        <v>9143</v>
      </c>
      <c r="E3872" t="s">
        <v>1589</v>
      </c>
      <c r="G3872" s="1">
        <v>22129</v>
      </c>
      <c r="H3872" s="1">
        <v>38561</v>
      </c>
      <c r="I3872" t="str">
        <f>"52"</f>
        <v>52</v>
      </c>
      <c r="J3872" t="s">
        <v>330</v>
      </c>
      <c r="K3872" t="s">
        <v>25</v>
      </c>
      <c r="L3872" t="s">
        <v>26</v>
      </c>
      <c r="M3872" t="s">
        <v>27</v>
      </c>
      <c r="N3872" s="1">
        <v>18629</v>
      </c>
      <c r="O3872">
        <v>0</v>
      </c>
      <c r="P3872">
        <v>0</v>
      </c>
      <c r="Q3872" t="s">
        <v>37</v>
      </c>
      <c r="R3872" t="s">
        <v>258</v>
      </c>
      <c r="S3872" t="s">
        <v>336</v>
      </c>
      <c r="T3872" t="s">
        <v>337</v>
      </c>
    </row>
    <row r="3873" spans="1:20" x14ac:dyDescent="0.25">
      <c r="A3873" t="s">
        <v>9144</v>
      </c>
      <c r="B3873" t="str">
        <f>"7108"</f>
        <v>7108</v>
      </c>
      <c r="C3873" t="str">
        <f>"284807108"</f>
        <v>284807108</v>
      </c>
      <c r="D3873" t="s">
        <v>2757</v>
      </c>
      <c r="E3873" t="s">
        <v>1981</v>
      </c>
      <c r="F3873" t="s">
        <v>165</v>
      </c>
      <c r="G3873" s="1">
        <v>28347</v>
      </c>
      <c r="H3873" s="1">
        <v>38551</v>
      </c>
      <c r="I3873" t="str">
        <f>"05"</f>
        <v>05</v>
      </c>
      <c r="J3873" t="s">
        <v>58</v>
      </c>
      <c r="K3873" t="s">
        <v>98</v>
      </c>
      <c r="L3873" t="s">
        <v>37</v>
      </c>
      <c r="M3873" t="s">
        <v>257</v>
      </c>
      <c r="N3873" s="1">
        <v>41617</v>
      </c>
      <c r="O3873">
        <v>10753.08</v>
      </c>
      <c r="P3873">
        <v>2688.4</v>
      </c>
      <c r="Q3873" t="s">
        <v>37</v>
      </c>
      <c r="R3873" t="s">
        <v>258</v>
      </c>
      <c r="S3873" t="s">
        <v>491</v>
      </c>
      <c r="T3873" t="s">
        <v>492</v>
      </c>
    </row>
    <row r="3874" spans="1:20" x14ac:dyDescent="0.25">
      <c r="A3874" t="s">
        <v>9145</v>
      </c>
      <c r="B3874" t="str">
        <f>"4046"</f>
        <v>4046</v>
      </c>
      <c r="C3874" t="str">
        <f>"290604046"</f>
        <v>290604046</v>
      </c>
      <c r="D3874" t="s">
        <v>3291</v>
      </c>
      <c r="E3874" t="s">
        <v>35</v>
      </c>
      <c r="F3874" t="s">
        <v>93</v>
      </c>
      <c r="G3874" s="1">
        <v>28234</v>
      </c>
      <c r="H3874" s="1">
        <v>38538</v>
      </c>
      <c r="I3874" t="str">
        <f>"08"</f>
        <v>08</v>
      </c>
      <c r="J3874" t="s">
        <v>265</v>
      </c>
      <c r="K3874" t="s">
        <v>98</v>
      </c>
      <c r="L3874" t="s">
        <v>37</v>
      </c>
      <c r="M3874" t="s">
        <v>99</v>
      </c>
      <c r="N3874" s="1">
        <v>41617</v>
      </c>
      <c r="O3874">
        <v>14801.8</v>
      </c>
      <c r="P3874">
        <v>3700.32</v>
      </c>
      <c r="Q3874" t="s">
        <v>28</v>
      </c>
      <c r="R3874" t="s">
        <v>51</v>
      </c>
      <c r="S3874" t="s">
        <v>993</v>
      </c>
      <c r="T3874" t="s">
        <v>994</v>
      </c>
    </row>
    <row r="3875" spans="1:20" x14ac:dyDescent="0.25">
      <c r="A3875" t="s">
        <v>9146</v>
      </c>
      <c r="B3875" t="str">
        <f>"6097"</f>
        <v>6097</v>
      </c>
      <c r="C3875" t="str">
        <f>"293566097"</f>
        <v>293566097</v>
      </c>
      <c r="D3875" t="s">
        <v>9147</v>
      </c>
      <c r="E3875" t="s">
        <v>944</v>
      </c>
      <c r="F3875" t="s">
        <v>438</v>
      </c>
      <c r="G3875" s="1">
        <v>22527</v>
      </c>
      <c r="H3875" s="1">
        <v>38537</v>
      </c>
      <c r="I3875" t="str">
        <f>"01"</f>
        <v>01</v>
      </c>
      <c r="J3875" t="s">
        <v>116</v>
      </c>
      <c r="K3875" t="s">
        <v>98</v>
      </c>
      <c r="L3875" t="s">
        <v>37</v>
      </c>
      <c r="M3875" t="s">
        <v>117</v>
      </c>
      <c r="N3875" s="1">
        <v>41617</v>
      </c>
      <c r="O3875">
        <v>4951.96</v>
      </c>
      <c r="P3875">
        <v>1237.8599999999999</v>
      </c>
      <c r="Q3875" t="s">
        <v>28</v>
      </c>
      <c r="R3875" t="s">
        <v>51</v>
      </c>
      <c r="S3875" s="2" t="s">
        <v>52</v>
      </c>
      <c r="T3875" t="s">
        <v>53</v>
      </c>
    </row>
    <row r="3876" spans="1:20" x14ac:dyDescent="0.25">
      <c r="A3876" t="s">
        <v>9148</v>
      </c>
      <c r="B3876" t="str">
        <f>"6698"</f>
        <v>6698</v>
      </c>
      <c r="C3876" t="str">
        <f>"443646698"</f>
        <v>443646698</v>
      </c>
      <c r="D3876" t="s">
        <v>9149</v>
      </c>
      <c r="E3876" t="s">
        <v>9150</v>
      </c>
      <c r="F3876" t="s">
        <v>44</v>
      </c>
      <c r="G3876" s="1">
        <v>21987</v>
      </c>
      <c r="H3876" s="1">
        <v>38534</v>
      </c>
      <c r="I3876" t="str">
        <f>"51"</f>
        <v>51</v>
      </c>
      <c r="J3876" t="s">
        <v>471</v>
      </c>
      <c r="K3876" t="s">
        <v>25</v>
      </c>
      <c r="L3876" t="s">
        <v>26</v>
      </c>
      <c r="M3876" t="s">
        <v>27</v>
      </c>
      <c r="N3876" s="1">
        <v>18629</v>
      </c>
      <c r="O3876">
        <v>0</v>
      </c>
      <c r="P3876">
        <v>0</v>
      </c>
      <c r="Q3876" t="s">
        <v>28</v>
      </c>
      <c r="R3876" t="s">
        <v>71</v>
      </c>
      <c r="S3876" t="s">
        <v>1474</v>
      </c>
      <c r="T3876" t="s">
        <v>1475</v>
      </c>
    </row>
    <row r="3877" spans="1:20" x14ac:dyDescent="0.25">
      <c r="A3877" t="s">
        <v>9151</v>
      </c>
      <c r="B3877" t="str">
        <f>"8755"</f>
        <v>8755</v>
      </c>
      <c r="C3877" t="str">
        <f>"277468755"</f>
        <v>277468755</v>
      </c>
      <c r="D3877" t="s">
        <v>9152</v>
      </c>
      <c r="E3877" t="s">
        <v>9153</v>
      </c>
      <c r="F3877" t="s">
        <v>97</v>
      </c>
      <c r="G3877" s="1">
        <v>19256</v>
      </c>
      <c r="H3877" s="1">
        <v>38534</v>
      </c>
      <c r="I3877" t="str">
        <f>"51"</f>
        <v>51</v>
      </c>
      <c r="J3877" t="s">
        <v>471</v>
      </c>
      <c r="K3877" t="s">
        <v>25</v>
      </c>
      <c r="L3877" t="s">
        <v>26</v>
      </c>
      <c r="M3877" t="s">
        <v>27</v>
      </c>
      <c r="N3877" s="1">
        <v>18629</v>
      </c>
      <c r="O3877">
        <v>0</v>
      </c>
      <c r="P3877">
        <v>0</v>
      </c>
      <c r="Q3877" t="s">
        <v>37</v>
      </c>
      <c r="R3877" t="s">
        <v>71</v>
      </c>
      <c r="S3877" t="s">
        <v>2458</v>
      </c>
      <c r="T3877" t="s">
        <v>2459</v>
      </c>
    </row>
    <row r="3878" spans="1:20" x14ac:dyDescent="0.25">
      <c r="A3878" t="s">
        <v>9154</v>
      </c>
      <c r="B3878" t="str">
        <f>"3844"</f>
        <v>3844</v>
      </c>
      <c r="C3878" t="str">
        <f>"302703844"</f>
        <v>302703844</v>
      </c>
      <c r="D3878" t="s">
        <v>8046</v>
      </c>
      <c r="E3878" t="s">
        <v>289</v>
      </c>
      <c r="F3878" t="s">
        <v>317</v>
      </c>
      <c r="G3878" s="1">
        <v>27636</v>
      </c>
      <c r="H3878" s="1">
        <v>38534</v>
      </c>
      <c r="I3878" t="str">
        <f>"30"</f>
        <v>30</v>
      </c>
      <c r="J3878" t="s">
        <v>50</v>
      </c>
      <c r="K3878" t="s">
        <v>25</v>
      </c>
      <c r="L3878" t="s">
        <v>26</v>
      </c>
      <c r="M3878" t="s">
        <v>27</v>
      </c>
      <c r="N3878" s="1">
        <v>18629</v>
      </c>
      <c r="O3878">
        <v>0</v>
      </c>
      <c r="P3878">
        <v>0</v>
      </c>
      <c r="Q3878" t="s">
        <v>37</v>
      </c>
      <c r="R3878" t="s">
        <v>29</v>
      </c>
      <c r="S3878" t="s">
        <v>5068</v>
      </c>
      <c r="T3878" t="s">
        <v>5069</v>
      </c>
    </row>
    <row r="3879" spans="1:20" x14ac:dyDescent="0.25">
      <c r="A3879" t="s">
        <v>9155</v>
      </c>
      <c r="B3879" t="str">
        <f>"3390"</f>
        <v>3390</v>
      </c>
      <c r="C3879" t="str">
        <f>"300703390"</f>
        <v>300703390</v>
      </c>
      <c r="D3879" t="s">
        <v>9156</v>
      </c>
      <c r="E3879" t="s">
        <v>544</v>
      </c>
      <c r="F3879" t="s">
        <v>2110</v>
      </c>
      <c r="G3879" s="1">
        <v>23474</v>
      </c>
      <c r="H3879" s="1">
        <v>38534</v>
      </c>
      <c r="I3879" t="str">
        <f>"30"</f>
        <v>30</v>
      </c>
      <c r="J3879" t="s">
        <v>50</v>
      </c>
      <c r="K3879" t="s">
        <v>25</v>
      </c>
      <c r="L3879" t="s">
        <v>26</v>
      </c>
      <c r="M3879" t="s">
        <v>27</v>
      </c>
      <c r="N3879" s="1">
        <v>18629</v>
      </c>
      <c r="O3879">
        <v>0</v>
      </c>
      <c r="P3879">
        <v>0</v>
      </c>
      <c r="Q3879" t="s">
        <v>37</v>
      </c>
      <c r="R3879" t="s">
        <v>29</v>
      </c>
      <c r="S3879" t="s">
        <v>3986</v>
      </c>
      <c r="T3879" t="s">
        <v>3987</v>
      </c>
    </row>
    <row r="3880" spans="1:20" x14ac:dyDescent="0.25">
      <c r="A3880" t="s">
        <v>9157</v>
      </c>
      <c r="B3880" t="str">
        <f>"0808"</f>
        <v>0808</v>
      </c>
      <c r="C3880" t="str">
        <f>"285460808"</f>
        <v>285460808</v>
      </c>
      <c r="D3880" t="s">
        <v>9158</v>
      </c>
      <c r="E3880" t="s">
        <v>381</v>
      </c>
      <c r="F3880" t="s">
        <v>44</v>
      </c>
      <c r="G3880" s="1">
        <v>21576</v>
      </c>
      <c r="H3880" s="1">
        <v>38534</v>
      </c>
      <c r="I3880" t="str">
        <f>"50"</f>
        <v>50</v>
      </c>
      <c r="J3880" t="s">
        <v>208</v>
      </c>
      <c r="K3880" t="s">
        <v>25</v>
      </c>
      <c r="L3880" t="s">
        <v>26</v>
      </c>
      <c r="M3880" t="s">
        <v>27</v>
      </c>
      <c r="N3880" s="1">
        <v>18629</v>
      </c>
      <c r="O3880">
        <v>0</v>
      </c>
      <c r="P3880">
        <v>0</v>
      </c>
      <c r="Q3880" t="s">
        <v>37</v>
      </c>
      <c r="R3880" t="s">
        <v>258</v>
      </c>
      <c r="S3880" t="s">
        <v>960</v>
      </c>
      <c r="T3880" t="s">
        <v>314</v>
      </c>
    </row>
    <row r="3881" spans="1:20" x14ac:dyDescent="0.25">
      <c r="A3881" t="s">
        <v>9159</v>
      </c>
      <c r="B3881" t="str">
        <f>"7611"</f>
        <v>7611</v>
      </c>
      <c r="C3881" t="str">
        <f>"297047611"</f>
        <v>297047611</v>
      </c>
      <c r="D3881" t="s">
        <v>9160</v>
      </c>
      <c r="E3881" t="s">
        <v>9161</v>
      </c>
      <c r="G3881" s="1">
        <v>27174</v>
      </c>
      <c r="H3881" s="1">
        <v>38534</v>
      </c>
      <c r="I3881" t="str">
        <f>"50"</f>
        <v>50</v>
      </c>
      <c r="J3881" t="s">
        <v>208</v>
      </c>
      <c r="K3881" t="s">
        <v>25</v>
      </c>
      <c r="L3881" t="s">
        <v>26</v>
      </c>
      <c r="M3881" t="s">
        <v>27</v>
      </c>
      <c r="N3881" s="1">
        <v>18629</v>
      </c>
      <c r="O3881">
        <v>0</v>
      </c>
      <c r="P3881">
        <v>0</v>
      </c>
      <c r="Q3881" t="s">
        <v>37</v>
      </c>
      <c r="R3881" t="s">
        <v>258</v>
      </c>
      <c r="S3881" t="s">
        <v>1315</v>
      </c>
      <c r="T3881" t="s">
        <v>1316</v>
      </c>
    </row>
    <row r="3882" spans="1:20" x14ac:dyDescent="0.25">
      <c r="A3882" t="s">
        <v>9162</v>
      </c>
      <c r="B3882" t="str">
        <f>"4214"</f>
        <v>4214</v>
      </c>
      <c r="C3882" t="str">
        <f>"279624214"</f>
        <v>279624214</v>
      </c>
      <c r="D3882" t="s">
        <v>9163</v>
      </c>
      <c r="E3882" t="s">
        <v>1407</v>
      </c>
      <c r="F3882" t="s">
        <v>93</v>
      </c>
      <c r="G3882" s="1">
        <v>20768</v>
      </c>
      <c r="H3882" s="1">
        <v>38534</v>
      </c>
      <c r="I3882" t="str">
        <f>"01"</f>
        <v>01</v>
      </c>
      <c r="J3882" t="s">
        <v>116</v>
      </c>
      <c r="K3882" t="s">
        <v>510</v>
      </c>
      <c r="L3882" t="s">
        <v>37</v>
      </c>
      <c r="M3882" t="s">
        <v>99</v>
      </c>
      <c r="N3882" s="1">
        <v>41617</v>
      </c>
      <c r="O3882">
        <v>19521.84</v>
      </c>
      <c r="P3882">
        <v>4880.46</v>
      </c>
      <c r="Q3882" t="s">
        <v>37</v>
      </c>
      <c r="R3882" t="s">
        <v>110</v>
      </c>
      <c r="S3882" t="s">
        <v>6877</v>
      </c>
      <c r="T3882" t="s">
        <v>6878</v>
      </c>
    </row>
    <row r="3883" spans="1:20" x14ac:dyDescent="0.25">
      <c r="A3883" t="s">
        <v>9164</v>
      </c>
      <c r="B3883" t="str">
        <f>"8526"</f>
        <v>8526</v>
      </c>
      <c r="C3883" t="str">
        <f>"293568526"</f>
        <v>293568526</v>
      </c>
      <c r="D3883" t="s">
        <v>9165</v>
      </c>
      <c r="E3883" t="s">
        <v>9166</v>
      </c>
      <c r="F3883" t="s">
        <v>37</v>
      </c>
      <c r="G3883" s="1">
        <v>21136</v>
      </c>
      <c r="H3883" s="1">
        <v>38533</v>
      </c>
      <c r="I3883" t="str">
        <f>"01"</f>
        <v>01</v>
      </c>
      <c r="J3883" t="s">
        <v>116</v>
      </c>
      <c r="K3883" t="s">
        <v>98</v>
      </c>
      <c r="L3883" t="s">
        <v>37</v>
      </c>
      <c r="M3883" t="s">
        <v>257</v>
      </c>
      <c r="N3883" s="1">
        <v>41617</v>
      </c>
      <c r="O3883">
        <v>10753.08</v>
      </c>
      <c r="P3883">
        <v>2688.4</v>
      </c>
      <c r="Q3883" t="s">
        <v>28</v>
      </c>
      <c r="R3883" t="s">
        <v>110</v>
      </c>
      <c r="S3883" t="s">
        <v>9167</v>
      </c>
      <c r="T3883" t="s">
        <v>9168</v>
      </c>
    </row>
    <row r="3884" spans="1:20" x14ac:dyDescent="0.25">
      <c r="A3884" t="s">
        <v>9169</v>
      </c>
      <c r="B3884" t="str">
        <f>"8370"</f>
        <v>8370</v>
      </c>
      <c r="C3884" t="str">
        <f>"282468370"</f>
        <v>282468370</v>
      </c>
      <c r="D3884" t="s">
        <v>9170</v>
      </c>
      <c r="E3884" t="s">
        <v>3558</v>
      </c>
      <c r="F3884" t="s">
        <v>97</v>
      </c>
      <c r="G3884" s="1">
        <v>17063</v>
      </c>
      <c r="H3884" s="1">
        <v>38524</v>
      </c>
      <c r="I3884" t="str">
        <f>"51"</f>
        <v>51</v>
      </c>
      <c r="J3884" t="s">
        <v>471</v>
      </c>
      <c r="K3884" t="s">
        <v>25</v>
      </c>
      <c r="L3884" t="s">
        <v>26</v>
      </c>
      <c r="M3884" t="s">
        <v>27</v>
      </c>
      <c r="N3884" s="1">
        <v>18629</v>
      </c>
      <c r="O3884">
        <v>0</v>
      </c>
      <c r="P3884">
        <v>0</v>
      </c>
      <c r="Q3884" t="s">
        <v>28</v>
      </c>
      <c r="R3884" t="s">
        <v>71</v>
      </c>
      <c r="S3884" t="s">
        <v>2458</v>
      </c>
      <c r="T3884" t="s">
        <v>2459</v>
      </c>
    </row>
    <row r="3885" spans="1:20" x14ac:dyDescent="0.25">
      <c r="A3885" t="s">
        <v>9171</v>
      </c>
      <c r="B3885" t="str">
        <f>"1731"</f>
        <v>1731</v>
      </c>
      <c r="C3885" t="str">
        <f>"283841731"</f>
        <v>283841731</v>
      </c>
      <c r="D3885" t="s">
        <v>9172</v>
      </c>
      <c r="E3885" t="s">
        <v>9173</v>
      </c>
      <c r="G3885" s="1">
        <v>28838</v>
      </c>
      <c r="H3885" s="1">
        <v>38523</v>
      </c>
      <c r="I3885" t="str">
        <f>"51"</f>
        <v>51</v>
      </c>
      <c r="J3885" t="s">
        <v>471</v>
      </c>
      <c r="K3885" t="s">
        <v>25</v>
      </c>
      <c r="L3885" t="s">
        <v>26</v>
      </c>
      <c r="M3885" t="s">
        <v>27</v>
      </c>
      <c r="N3885" s="1">
        <v>18629</v>
      </c>
      <c r="O3885">
        <v>0</v>
      </c>
      <c r="P3885">
        <v>0</v>
      </c>
      <c r="Q3885" t="s">
        <v>37</v>
      </c>
      <c r="R3885" t="s">
        <v>71</v>
      </c>
      <c r="S3885" t="s">
        <v>6172</v>
      </c>
      <c r="T3885" t="s">
        <v>6173</v>
      </c>
    </row>
    <row r="3886" spans="1:20" x14ac:dyDescent="0.25">
      <c r="A3886" t="s">
        <v>9174</v>
      </c>
      <c r="B3886" t="str">
        <f>"8204"</f>
        <v>8204</v>
      </c>
      <c r="C3886" t="str">
        <f>"281608204"</f>
        <v>281608204</v>
      </c>
      <c r="D3886" t="s">
        <v>9175</v>
      </c>
      <c r="E3886" t="s">
        <v>33</v>
      </c>
      <c r="F3886" t="s">
        <v>97</v>
      </c>
      <c r="G3886" s="1">
        <v>21168</v>
      </c>
      <c r="H3886" s="1">
        <v>38516</v>
      </c>
      <c r="I3886" t="str">
        <f>"51"</f>
        <v>51</v>
      </c>
      <c r="J3886" t="s">
        <v>471</v>
      </c>
      <c r="K3886" t="s">
        <v>25</v>
      </c>
      <c r="L3886" t="s">
        <v>26</v>
      </c>
      <c r="M3886" t="s">
        <v>27</v>
      </c>
      <c r="N3886" s="1">
        <v>18629</v>
      </c>
      <c r="O3886">
        <v>0</v>
      </c>
      <c r="P3886">
        <v>0</v>
      </c>
      <c r="Q3886" t="s">
        <v>28</v>
      </c>
      <c r="R3886" t="s">
        <v>71</v>
      </c>
      <c r="S3886" t="s">
        <v>5486</v>
      </c>
      <c r="T3886" t="s">
        <v>5487</v>
      </c>
    </row>
    <row r="3887" spans="1:20" x14ac:dyDescent="0.25">
      <c r="A3887" t="s">
        <v>9176</v>
      </c>
      <c r="B3887" t="str">
        <f>"4799"</f>
        <v>4799</v>
      </c>
      <c r="C3887" t="str">
        <f>"288444799"</f>
        <v>288444799</v>
      </c>
      <c r="D3887" t="s">
        <v>9177</v>
      </c>
      <c r="E3887" t="s">
        <v>2450</v>
      </c>
      <c r="F3887" t="s">
        <v>44</v>
      </c>
      <c r="G3887" s="1">
        <v>20243</v>
      </c>
      <c r="H3887" s="1">
        <v>38509</v>
      </c>
      <c r="I3887" t="str">
        <f>"05"</f>
        <v>05</v>
      </c>
      <c r="J3887" t="s">
        <v>58</v>
      </c>
      <c r="K3887" t="s">
        <v>98</v>
      </c>
      <c r="L3887" t="s">
        <v>37</v>
      </c>
      <c r="M3887" t="s">
        <v>117</v>
      </c>
      <c r="N3887" s="1">
        <v>41617</v>
      </c>
      <c r="O3887">
        <v>4951.96</v>
      </c>
      <c r="P3887">
        <v>1237.8599999999999</v>
      </c>
      <c r="Q3887" t="s">
        <v>37</v>
      </c>
      <c r="R3887" t="s">
        <v>29</v>
      </c>
      <c r="S3887" t="s">
        <v>3258</v>
      </c>
      <c r="T3887" t="s">
        <v>3259</v>
      </c>
    </row>
    <row r="3888" spans="1:20" x14ac:dyDescent="0.25">
      <c r="A3888" t="s">
        <v>9178</v>
      </c>
      <c r="B3888" t="str">
        <f>"5981"</f>
        <v>5981</v>
      </c>
      <c r="C3888" t="str">
        <f>"300725981"</f>
        <v>300725981</v>
      </c>
      <c r="D3888" t="s">
        <v>9179</v>
      </c>
      <c r="E3888" t="s">
        <v>9180</v>
      </c>
      <c r="G3888" s="1">
        <v>26589</v>
      </c>
      <c r="H3888" s="1">
        <v>38504</v>
      </c>
      <c r="I3888" t="str">
        <f>"01"</f>
        <v>01</v>
      </c>
      <c r="J3888" t="s">
        <v>116</v>
      </c>
      <c r="K3888" t="s">
        <v>98</v>
      </c>
      <c r="L3888" t="s">
        <v>37</v>
      </c>
      <c r="M3888" t="s">
        <v>99</v>
      </c>
      <c r="N3888" s="1">
        <v>41617</v>
      </c>
      <c r="O3888">
        <v>14801.8</v>
      </c>
      <c r="P3888">
        <v>3700.32</v>
      </c>
      <c r="Q3888" t="s">
        <v>37</v>
      </c>
      <c r="R3888" t="s">
        <v>110</v>
      </c>
      <c r="S3888" t="s">
        <v>1346</v>
      </c>
      <c r="T3888" t="s">
        <v>1347</v>
      </c>
    </row>
    <row r="3889" spans="1:20" x14ac:dyDescent="0.25">
      <c r="A3889" t="s">
        <v>9181</v>
      </c>
      <c r="B3889" t="str">
        <f>"9992"</f>
        <v>9992</v>
      </c>
      <c r="C3889" t="str">
        <f>"283389992"</f>
        <v>283389992</v>
      </c>
      <c r="D3889" t="s">
        <v>9182</v>
      </c>
      <c r="E3889" t="s">
        <v>96</v>
      </c>
      <c r="F3889" t="s">
        <v>97</v>
      </c>
      <c r="G3889" s="1">
        <v>16267</v>
      </c>
      <c r="H3889" s="1">
        <v>38504</v>
      </c>
      <c r="I3889" t="str">
        <f>"01"</f>
        <v>01</v>
      </c>
      <c r="J3889" t="s">
        <v>116</v>
      </c>
      <c r="K3889" t="s">
        <v>98</v>
      </c>
      <c r="L3889" t="s">
        <v>37</v>
      </c>
      <c r="M3889" t="s">
        <v>257</v>
      </c>
      <c r="N3889" s="1">
        <v>41617</v>
      </c>
      <c r="O3889">
        <v>10753.08</v>
      </c>
      <c r="P3889">
        <v>2688.4</v>
      </c>
      <c r="Q3889" t="s">
        <v>37</v>
      </c>
      <c r="R3889" t="s">
        <v>110</v>
      </c>
      <c r="S3889" t="s">
        <v>1346</v>
      </c>
      <c r="T3889" t="s">
        <v>1347</v>
      </c>
    </row>
    <row r="3890" spans="1:20" x14ac:dyDescent="0.25">
      <c r="A3890" t="s">
        <v>9183</v>
      </c>
      <c r="B3890" t="str">
        <f>"1677"</f>
        <v>1677</v>
      </c>
      <c r="C3890" t="str">
        <f>"496821677"</f>
        <v>496821677</v>
      </c>
      <c r="D3890" t="s">
        <v>9184</v>
      </c>
      <c r="E3890" t="s">
        <v>4839</v>
      </c>
      <c r="F3890" t="s">
        <v>97</v>
      </c>
      <c r="G3890" s="1">
        <v>16116</v>
      </c>
      <c r="H3890" s="1">
        <v>38503</v>
      </c>
      <c r="I3890" t="str">
        <f>"51"</f>
        <v>51</v>
      </c>
      <c r="J3890" t="s">
        <v>471</v>
      </c>
      <c r="K3890" t="s">
        <v>25</v>
      </c>
      <c r="L3890" t="s">
        <v>26</v>
      </c>
      <c r="M3890" t="s">
        <v>27</v>
      </c>
      <c r="N3890" s="1">
        <v>18629</v>
      </c>
      <c r="O3890">
        <v>0</v>
      </c>
      <c r="P3890">
        <v>0</v>
      </c>
      <c r="Q3890" t="s">
        <v>37</v>
      </c>
      <c r="R3890" t="s">
        <v>51</v>
      </c>
      <c r="S3890" s="2" t="s">
        <v>9185</v>
      </c>
      <c r="T3890" t="s">
        <v>9186</v>
      </c>
    </row>
    <row r="3891" spans="1:20" x14ac:dyDescent="0.25">
      <c r="A3891" t="s">
        <v>9187</v>
      </c>
      <c r="B3891" t="str">
        <f>"6119"</f>
        <v>6119</v>
      </c>
      <c r="C3891" t="str">
        <f>"276606119"</f>
        <v>276606119</v>
      </c>
      <c r="D3891" t="s">
        <v>9188</v>
      </c>
      <c r="E3891" t="s">
        <v>9189</v>
      </c>
      <c r="F3891" t="s">
        <v>28</v>
      </c>
      <c r="G3891" s="1">
        <v>26506</v>
      </c>
      <c r="H3891" s="1">
        <v>38503</v>
      </c>
      <c r="I3891" t="str">
        <f>"51"</f>
        <v>51</v>
      </c>
      <c r="J3891" t="s">
        <v>471</v>
      </c>
      <c r="K3891" t="s">
        <v>25</v>
      </c>
      <c r="L3891" t="s">
        <v>26</v>
      </c>
      <c r="M3891" t="s">
        <v>27</v>
      </c>
      <c r="N3891" s="1">
        <v>18629</v>
      </c>
      <c r="O3891">
        <v>0</v>
      </c>
      <c r="P3891">
        <v>0</v>
      </c>
      <c r="Q3891" t="s">
        <v>37</v>
      </c>
      <c r="R3891" t="s">
        <v>51</v>
      </c>
      <c r="S3891" s="2" t="s">
        <v>8387</v>
      </c>
      <c r="T3891" t="s">
        <v>8388</v>
      </c>
    </row>
    <row r="3892" spans="1:20" x14ac:dyDescent="0.25">
      <c r="A3892" t="s">
        <v>9190</v>
      </c>
      <c r="B3892" t="str">
        <f>"8483"</f>
        <v>8483</v>
      </c>
      <c r="C3892" t="str">
        <f>"301788483"</f>
        <v>301788483</v>
      </c>
      <c r="D3892" t="s">
        <v>9191</v>
      </c>
      <c r="E3892" t="s">
        <v>1074</v>
      </c>
      <c r="F3892" t="s">
        <v>219</v>
      </c>
      <c r="G3892" s="1">
        <v>24316</v>
      </c>
      <c r="H3892" s="1">
        <v>38503</v>
      </c>
      <c r="I3892" t="str">
        <f>"12"</f>
        <v>12</v>
      </c>
      <c r="J3892" t="s">
        <v>245</v>
      </c>
      <c r="K3892" t="s">
        <v>98</v>
      </c>
      <c r="L3892" t="s">
        <v>37</v>
      </c>
      <c r="M3892" t="s">
        <v>117</v>
      </c>
      <c r="N3892" s="1">
        <v>41617</v>
      </c>
      <c r="O3892">
        <v>4951.96</v>
      </c>
      <c r="P3892">
        <v>1237.8599999999999</v>
      </c>
      <c r="Q3892" t="s">
        <v>37</v>
      </c>
      <c r="R3892" t="s">
        <v>312</v>
      </c>
      <c r="S3892" t="s">
        <v>5122</v>
      </c>
      <c r="T3892" t="s">
        <v>5123</v>
      </c>
    </row>
    <row r="3893" spans="1:20" x14ac:dyDescent="0.25">
      <c r="A3893" t="s">
        <v>9192</v>
      </c>
      <c r="B3893" t="str">
        <f>"2349"</f>
        <v>2349</v>
      </c>
      <c r="C3893" t="str">
        <f>"272602349"</f>
        <v>272602349</v>
      </c>
      <c r="D3893" t="s">
        <v>8975</v>
      </c>
      <c r="E3893" t="s">
        <v>35</v>
      </c>
      <c r="F3893" t="s">
        <v>69</v>
      </c>
      <c r="G3893" s="1">
        <v>20547</v>
      </c>
      <c r="H3893" s="1">
        <v>38503</v>
      </c>
      <c r="I3893" t="str">
        <f>"51"</f>
        <v>51</v>
      </c>
      <c r="J3893" t="s">
        <v>471</v>
      </c>
      <c r="K3893" t="s">
        <v>25</v>
      </c>
      <c r="L3893" t="s">
        <v>26</v>
      </c>
      <c r="M3893" t="s">
        <v>27</v>
      </c>
      <c r="N3893" s="1">
        <v>18629</v>
      </c>
      <c r="O3893">
        <v>0</v>
      </c>
      <c r="P3893">
        <v>0</v>
      </c>
      <c r="Q3893" t="s">
        <v>28</v>
      </c>
      <c r="R3893" t="s">
        <v>71</v>
      </c>
      <c r="S3893" t="s">
        <v>1186</v>
      </c>
      <c r="T3893" t="s">
        <v>1187</v>
      </c>
    </row>
    <row r="3894" spans="1:20" x14ac:dyDescent="0.25">
      <c r="A3894" t="s">
        <v>9193</v>
      </c>
      <c r="B3894" t="str">
        <f>"2183"</f>
        <v>2183</v>
      </c>
      <c r="C3894" t="str">
        <f>"295802183"</f>
        <v>295802183</v>
      </c>
      <c r="D3894" t="s">
        <v>2605</v>
      </c>
      <c r="E3894" t="s">
        <v>2150</v>
      </c>
      <c r="F3894" t="s">
        <v>264</v>
      </c>
      <c r="G3894" s="1">
        <v>25507</v>
      </c>
      <c r="H3894" s="1">
        <v>38488</v>
      </c>
      <c r="I3894" t="str">
        <f>"03"</f>
        <v>03</v>
      </c>
      <c r="J3894" t="s">
        <v>70</v>
      </c>
      <c r="K3894" t="s">
        <v>98</v>
      </c>
      <c r="L3894" t="s">
        <v>37</v>
      </c>
      <c r="M3894" t="s">
        <v>257</v>
      </c>
      <c r="N3894" s="1">
        <v>41617</v>
      </c>
      <c r="O3894">
        <v>10753.08</v>
      </c>
      <c r="P3894">
        <v>2688.4</v>
      </c>
      <c r="Q3894" t="s">
        <v>37</v>
      </c>
      <c r="R3894" t="s">
        <v>29</v>
      </c>
      <c r="S3894" t="s">
        <v>1454</v>
      </c>
      <c r="T3894" t="s">
        <v>1455</v>
      </c>
    </row>
    <row r="3895" spans="1:20" x14ac:dyDescent="0.25">
      <c r="A3895" t="s">
        <v>9194</v>
      </c>
      <c r="B3895" t="str">
        <f>"1932"</f>
        <v>1932</v>
      </c>
      <c r="C3895" t="str">
        <f>"294441932"</f>
        <v>294441932</v>
      </c>
      <c r="D3895" t="s">
        <v>9195</v>
      </c>
      <c r="E3895" t="s">
        <v>609</v>
      </c>
      <c r="F3895" t="s">
        <v>219</v>
      </c>
      <c r="G3895" s="1">
        <v>18191</v>
      </c>
      <c r="H3895" s="1">
        <v>38481</v>
      </c>
      <c r="I3895" t="str">
        <f>"30"</f>
        <v>30</v>
      </c>
      <c r="J3895" t="s">
        <v>50</v>
      </c>
      <c r="K3895" t="s">
        <v>25</v>
      </c>
      <c r="L3895" t="s">
        <v>26</v>
      </c>
      <c r="M3895" t="s">
        <v>27</v>
      </c>
      <c r="N3895" s="1">
        <v>18629</v>
      </c>
      <c r="O3895">
        <v>0</v>
      </c>
      <c r="P3895">
        <v>0</v>
      </c>
      <c r="Q3895" t="s">
        <v>28</v>
      </c>
      <c r="R3895" t="s">
        <v>71</v>
      </c>
      <c r="S3895" t="s">
        <v>3003</v>
      </c>
      <c r="T3895" t="s">
        <v>3004</v>
      </c>
    </row>
    <row r="3896" spans="1:20" x14ac:dyDescent="0.25">
      <c r="A3896" t="s">
        <v>9196</v>
      </c>
      <c r="B3896" t="str">
        <f>"8369"</f>
        <v>8369</v>
      </c>
      <c r="C3896" t="str">
        <f>"277528369"</f>
        <v>277528369</v>
      </c>
      <c r="D3896" t="s">
        <v>9197</v>
      </c>
      <c r="E3896" t="s">
        <v>9198</v>
      </c>
      <c r="F3896" t="s">
        <v>44</v>
      </c>
      <c r="G3896" s="1">
        <v>19105</v>
      </c>
      <c r="H3896" s="1">
        <v>38462</v>
      </c>
      <c r="I3896" t="str">
        <f>"20"</f>
        <v>20</v>
      </c>
      <c r="J3896" t="s">
        <v>123</v>
      </c>
      <c r="K3896" t="s">
        <v>175</v>
      </c>
      <c r="L3896" t="s">
        <v>37</v>
      </c>
      <c r="M3896" t="s">
        <v>257</v>
      </c>
      <c r="N3896" s="1">
        <v>41631</v>
      </c>
      <c r="O3896">
        <v>11847.88</v>
      </c>
      <c r="P3896">
        <v>2962.08</v>
      </c>
      <c r="Q3896" t="s">
        <v>37</v>
      </c>
      <c r="R3896" t="s">
        <v>29</v>
      </c>
      <c r="S3896" t="s">
        <v>138</v>
      </c>
      <c r="T3896" t="s">
        <v>139</v>
      </c>
    </row>
    <row r="3897" spans="1:20" x14ac:dyDescent="0.25">
      <c r="A3897" t="s">
        <v>9199</v>
      </c>
      <c r="B3897" t="str">
        <f>"4683"</f>
        <v>4683</v>
      </c>
      <c r="C3897" t="str">
        <f>"297524683"</f>
        <v>297524683</v>
      </c>
      <c r="D3897" t="s">
        <v>9200</v>
      </c>
      <c r="E3897" t="s">
        <v>6356</v>
      </c>
      <c r="F3897" t="s">
        <v>442</v>
      </c>
      <c r="G3897" s="1">
        <v>20439</v>
      </c>
      <c r="H3897" s="1">
        <v>38446</v>
      </c>
      <c r="I3897" t="str">
        <f>"41"</f>
        <v>41</v>
      </c>
      <c r="J3897" t="s">
        <v>24</v>
      </c>
      <c r="K3897" t="s">
        <v>25</v>
      </c>
      <c r="L3897" t="s">
        <v>26</v>
      </c>
      <c r="M3897" t="s">
        <v>27</v>
      </c>
      <c r="N3897" s="1">
        <v>18629</v>
      </c>
      <c r="O3897">
        <v>0</v>
      </c>
      <c r="P3897">
        <v>0</v>
      </c>
      <c r="Q3897" t="s">
        <v>28</v>
      </c>
      <c r="R3897" t="s">
        <v>29</v>
      </c>
      <c r="S3897" t="s">
        <v>3258</v>
      </c>
      <c r="T3897" t="s">
        <v>3259</v>
      </c>
    </row>
    <row r="3898" spans="1:20" x14ac:dyDescent="0.25">
      <c r="A3898" t="s">
        <v>9201</v>
      </c>
      <c r="B3898" t="str">
        <f>"8994"</f>
        <v>8994</v>
      </c>
      <c r="C3898" t="str">
        <f>"275568994"</f>
        <v>275568994</v>
      </c>
      <c r="D3898" t="s">
        <v>815</v>
      </c>
      <c r="E3898" t="s">
        <v>933</v>
      </c>
      <c r="G3898" s="1">
        <v>21277</v>
      </c>
      <c r="H3898" s="1">
        <v>38444</v>
      </c>
      <c r="I3898" t="str">
        <f>"52"</f>
        <v>52</v>
      </c>
      <c r="J3898" t="s">
        <v>330</v>
      </c>
      <c r="K3898" t="s">
        <v>25</v>
      </c>
      <c r="L3898" t="s">
        <v>26</v>
      </c>
      <c r="M3898" t="s">
        <v>27</v>
      </c>
      <c r="N3898" s="1">
        <v>18629</v>
      </c>
      <c r="O3898">
        <v>0</v>
      </c>
      <c r="P3898">
        <v>0</v>
      </c>
      <c r="Q3898" t="s">
        <v>28</v>
      </c>
      <c r="R3898" t="s">
        <v>29</v>
      </c>
      <c r="S3898" t="s">
        <v>331</v>
      </c>
      <c r="T3898" t="s">
        <v>332</v>
      </c>
    </row>
    <row r="3899" spans="1:20" x14ac:dyDescent="0.25">
      <c r="A3899" t="s">
        <v>9202</v>
      </c>
      <c r="B3899" t="str">
        <f>"6212"</f>
        <v>6212</v>
      </c>
      <c r="C3899" t="str">
        <f>"293726212"</f>
        <v>293726212</v>
      </c>
      <c r="D3899" t="s">
        <v>9203</v>
      </c>
      <c r="E3899" t="s">
        <v>5135</v>
      </c>
      <c r="F3899" t="s">
        <v>93</v>
      </c>
      <c r="G3899" s="1">
        <v>22312</v>
      </c>
      <c r="H3899" s="1">
        <v>38439</v>
      </c>
      <c r="I3899" t="str">
        <f>"08"</f>
        <v>08</v>
      </c>
      <c r="J3899" t="s">
        <v>265</v>
      </c>
      <c r="L3899" t="s">
        <v>37</v>
      </c>
      <c r="M3899" t="s">
        <v>143</v>
      </c>
      <c r="N3899" s="1">
        <v>41617</v>
      </c>
      <c r="O3899">
        <v>185.9</v>
      </c>
      <c r="P3899">
        <v>-185.9</v>
      </c>
      <c r="Q3899" t="s">
        <v>28</v>
      </c>
      <c r="R3899" t="s">
        <v>51</v>
      </c>
      <c r="S3899" t="s">
        <v>650</v>
      </c>
      <c r="T3899" t="s">
        <v>651</v>
      </c>
    </row>
    <row r="3900" spans="1:20" x14ac:dyDescent="0.25">
      <c r="A3900" t="s">
        <v>9204</v>
      </c>
      <c r="B3900" t="str">
        <f>"9968"</f>
        <v>9968</v>
      </c>
      <c r="C3900" t="str">
        <f>"297609968"</f>
        <v>297609968</v>
      </c>
      <c r="D3900" t="s">
        <v>9205</v>
      </c>
      <c r="E3900" t="s">
        <v>9206</v>
      </c>
      <c r="F3900" t="s">
        <v>9207</v>
      </c>
      <c r="G3900" s="1">
        <v>26791</v>
      </c>
      <c r="H3900" s="1">
        <v>38432</v>
      </c>
      <c r="I3900" t="str">
        <f>"51"</f>
        <v>51</v>
      </c>
      <c r="J3900" t="s">
        <v>471</v>
      </c>
      <c r="K3900" t="s">
        <v>25</v>
      </c>
      <c r="L3900" t="s">
        <v>26</v>
      </c>
      <c r="M3900" t="s">
        <v>27</v>
      </c>
      <c r="N3900" s="1">
        <v>18629</v>
      </c>
      <c r="O3900">
        <v>0</v>
      </c>
      <c r="P3900">
        <v>0</v>
      </c>
      <c r="Q3900" t="s">
        <v>37</v>
      </c>
      <c r="R3900" t="s">
        <v>29</v>
      </c>
      <c r="S3900" t="s">
        <v>3588</v>
      </c>
      <c r="T3900" t="s">
        <v>3589</v>
      </c>
    </row>
    <row r="3901" spans="1:20" x14ac:dyDescent="0.25">
      <c r="A3901" t="s">
        <v>9208</v>
      </c>
      <c r="B3901" t="str">
        <f>"9920"</f>
        <v>9920</v>
      </c>
      <c r="C3901" t="str">
        <f>"275069920"</f>
        <v>275069920</v>
      </c>
      <c r="D3901" t="s">
        <v>9209</v>
      </c>
      <c r="E3901" t="s">
        <v>9210</v>
      </c>
      <c r="G3901" s="1">
        <v>25996</v>
      </c>
      <c r="H3901" s="1">
        <v>38432</v>
      </c>
      <c r="I3901" t="str">
        <f>"52"</f>
        <v>52</v>
      </c>
      <c r="J3901" t="s">
        <v>330</v>
      </c>
      <c r="K3901" t="s">
        <v>25</v>
      </c>
      <c r="L3901" t="s">
        <v>26</v>
      </c>
      <c r="M3901" t="s">
        <v>27</v>
      </c>
      <c r="N3901" s="1">
        <v>18629</v>
      </c>
      <c r="O3901">
        <v>0</v>
      </c>
      <c r="P3901">
        <v>0</v>
      </c>
      <c r="Q3901" t="s">
        <v>37</v>
      </c>
      <c r="R3901" t="s">
        <v>51</v>
      </c>
      <c r="S3901" t="s">
        <v>4000</v>
      </c>
      <c r="T3901" t="s">
        <v>4001</v>
      </c>
    </row>
    <row r="3902" spans="1:20" x14ac:dyDescent="0.25">
      <c r="A3902" t="s">
        <v>9211</v>
      </c>
      <c r="B3902" t="str">
        <f>"8884"</f>
        <v>8884</v>
      </c>
      <c r="C3902" t="str">
        <f>"276608884"</f>
        <v>276608884</v>
      </c>
      <c r="D3902" t="s">
        <v>9212</v>
      </c>
      <c r="E3902" t="s">
        <v>9213</v>
      </c>
      <c r="F3902" t="s">
        <v>44</v>
      </c>
      <c r="G3902" s="1">
        <v>21781</v>
      </c>
      <c r="H3902" s="1">
        <v>38432</v>
      </c>
      <c r="I3902" t="str">
        <f>"51"</f>
        <v>51</v>
      </c>
      <c r="J3902" t="s">
        <v>471</v>
      </c>
      <c r="K3902" t="s">
        <v>25</v>
      </c>
      <c r="L3902" t="s">
        <v>26</v>
      </c>
      <c r="M3902" t="s">
        <v>27</v>
      </c>
      <c r="N3902" s="1">
        <v>18629</v>
      </c>
      <c r="O3902">
        <v>0</v>
      </c>
      <c r="P3902">
        <v>0</v>
      </c>
      <c r="Q3902" t="s">
        <v>28</v>
      </c>
      <c r="R3902" t="s">
        <v>71</v>
      </c>
      <c r="S3902" t="s">
        <v>1542</v>
      </c>
      <c r="T3902" t="s">
        <v>1543</v>
      </c>
    </row>
    <row r="3903" spans="1:20" x14ac:dyDescent="0.25">
      <c r="A3903" t="s">
        <v>9214</v>
      </c>
      <c r="B3903" t="str">
        <f>"4400"</f>
        <v>4400</v>
      </c>
      <c r="C3903" t="str">
        <f>"271824400"</f>
        <v>271824400</v>
      </c>
      <c r="D3903" t="s">
        <v>9215</v>
      </c>
      <c r="E3903" t="s">
        <v>106</v>
      </c>
      <c r="F3903" t="s">
        <v>93</v>
      </c>
      <c r="G3903" s="1">
        <v>24968</v>
      </c>
      <c r="H3903" s="1">
        <v>38425</v>
      </c>
      <c r="I3903" t="str">
        <f>"03"</f>
        <v>03</v>
      </c>
      <c r="J3903" t="s">
        <v>70</v>
      </c>
      <c r="L3903" t="s">
        <v>37</v>
      </c>
      <c r="M3903" t="s">
        <v>143</v>
      </c>
      <c r="N3903" s="1">
        <v>41617</v>
      </c>
      <c r="O3903">
        <v>185.9</v>
      </c>
      <c r="P3903">
        <v>-185.9</v>
      </c>
      <c r="Q3903" t="s">
        <v>28</v>
      </c>
      <c r="R3903" t="s">
        <v>29</v>
      </c>
      <c r="S3903" t="s">
        <v>2066</v>
      </c>
      <c r="T3903" t="s">
        <v>2067</v>
      </c>
    </row>
    <row r="3904" spans="1:20" x14ac:dyDescent="0.25">
      <c r="A3904" t="s">
        <v>9216</v>
      </c>
      <c r="B3904" t="str">
        <f>"2552"</f>
        <v>2552</v>
      </c>
      <c r="C3904" t="str">
        <f>"297502552"</f>
        <v>297502552</v>
      </c>
      <c r="D3904" t="s">
        <v>9217</v>
      </c>
      <c r="E3904" t="s">
        <v>9218</v>
      </c>
      <c r="F3904" t="s">
        <v>219</v>
      </c>
      <c r="G3904" s="1">
        <v>19404</v>
      </c>
      <c r="H3904" s="1">
        <v>38411</v>
      </c>
      <c r="I3904" t="str">
        <f>"51"</f>
        <v>51</v>
      </c>
      <c r="J3904" t="s">
        <v>471</v>
      </c>
      <c r="K3904" t="s">
        <v>25</v>
      </c>
      <c r="L3904" t="s">
        <v>26</v>
      </c>
      <c r="M3904" t="s">
        <v>27</v>
      </c>
      <c r="N3904" s="1">
        <v>18629</v>
      </c>
      <c r="O3904">
        <v>0</v>
      </c>
      <c r="P3904">
        <v>0</v>
      </c>
      <c r="Q3904" t="s">
        <v>28</v>
      </c>
      <c r="R3904" t="s">
        <v>71</v>
      </c>
      <c r="S3904" t="s">
        <v>2590</v>
      </c>
      <c r="T3904" t="s">
        <v>2591</v>
      </c>
    </row>
    <row r="3905" spans="1:20" x14ac:dyDescent="0.25">
      <c r="A3905" t="s">
        <v>9219</v>
      </c>
      <c r="B3905" t="str">
        <f>"3907"</f>
        <v>3907</v>
      </c>
      <c r="C3905" t="str">
        <f>"133303907"</f>
        <v>133303907</v>
      </c>
      <c r="D3905" t="s">
        <v>2751</v>
      </c>
      <c r="E3905" t="s">
        <v>381</v>
      </c>
      <c r="F3905" t="s">
        <v>438</v>
      </c>
      <c r="G3905" s="1">
        <v>19755</v>
      </c>
      <c r="H3905" s="1">
        <v>38411</v>
      </c>
      <c r="I3905" t="str">
        <f>"01"</f>
        <v>01</v>
      </c>
      <c r="J3905" t="s">
        <v>116</v>
      </c>
      <c r="K3905" t="s">
        <v>98</v>
      </c>
      <c r="L3905" t="s">
        <v>37</v>
      </c>
      <c r="M3905" t="s">
        <v>257</v>
      </c>
      <c r="N3905" s="1">
        <v>41617</v>
      </c>
      <c r="O3905">
        <v>10753.08</v>
      </c>
      <c r="P3905">
        <v>2688.4</v>
      </c>
      <c r="Q3905" t="s">
        <v>37</v>
      </c>
      <c r="R3905" t="s">
        <v>29</v>
      </c>
      <c r="S3905" t="s">
        <v>3258</v>
      </c>
      <c r="T3905" t="s">
        <v>3259</v>
      </c>
    </row>
    <row r="3906" spans="1:20" x14ac:dyDescent="0.25">
      <c r="A3906" t="s">
        <v>9220</v>
      </c>
      <c r="B3906" t="str">
        <f>"3439"</f>
        <v>3439</v>
      </c>
      <c r="C3906" t="str">
        <f>"285463439"</f>
        <v>285463439</v>
      </c>
      <c r="D3906" t="s">
        <v>3788</v>
      </c>
      <c r="E3906" t="s">
        <v>381</v>
      </c>
      <c r="F3906" t="s">
        <v>97</v>
      </c>
      <c r="G3906" s="1">
        <v>19961</v>
      </c>
      <c r="H3906" s="1">
        <v>38397</v>
      </c>
      <c r="I3906" t="str">
        <f>"12"</f>
        <v>12</v>
      </c>
      <c r="J3906" t="s">
        <v>245</v>
      </c>
      <c r="K3906" t="s">
        <v>98</v>
      </c>
      <c r="L3906" t="s">
        <v>37</v>
      </c>
      <c r="M3906" t="s">
        <v>117</v>
      </c>
      <c r="N3906" s="1">
        <v>41617</v>
      </c>
      <c r="O3906">
        <v>4951.96</v>
      </c>
      <c r="P3906">
        <v>1237.8599999999999</v>
      </c>
      <c r="Q3906" t="s">
        <v>37</v>
      </c>
      <c r="R3906" t="s">
        <v>71</v>
      </c>
      <c r="S3906" t="s">
        <v>790</v>
      </c>
      <c r="T3906" t="s">
        <v>791</v>
      </c>
    </row>
    <row r="3907" spans="1:20" x14ac:dyDescent="0.25">
      <c r="A3907" t="s">
        <v>9221</v>
      </c>
      <c r="B3907" t="str">
        <f>"6013"</f>
        <v>6013</v>
      </c>
      <c r="C3907" t="str">
        <f>"194406013"</f>
        <v>194406013</v>
      </c>
      <c r="D3907" t="s">
        <v>2431</v>
      </c>
      <c r="E3907" t="s">
        <v>1726</v>
      </c>
      <c r="F3907" t="s">
        <v>26</v>
      </c>
      <c r="G3907" s="1">
        <v>18729</v>
      </c>
      <c r="H3907" s="1">
        <v>38390</v>
      </c>
      <c r="I3907" t="str">
        <f>"01"</f>
        <v>01</v>
      </c>
      <c r="J3907" t="s">
        <v>116</v>
      </c>
      <c r="K3907" t="s">
        <v>98</v>
      </c>
      <c r="L3907" t="s">
        <v>37</v>
      </c>
      <c r="M3907" t="s">
        <v>257</v>
      </c>
      <c r="N3907" s="1">
        <v>41617</v>
      </c>
      <c r="O3907">
        <v>10753.08</v>
      </c>
      <c r="P3907">
        <v>2688.4</v>
      </c>
      <c r="Q3907" t="s">
        <v>37</v>
      </c>
      <c r="R3907" t="s">
        <v>51</v>
      </c>
      <c r="S3907" s="2" t="s">
        <v>2766</v>
      </c>
      <c r="T3907" t="s">
        <v>2767</v>
      </c>
    </row>
    <row r="3908" spans="1:20" x14ac:dyDescent="0.25">
      <c r="A3908" t="s">
        <v>9222</v>
      </c>
      <c r="B3908" t="str">
        <f>"0825"</f>
        <v>0825</v>
      </c>
      <c r="C3908" t="str">
        <f>"331760825"</f>
        <v>331760825</v>
      </c>
      <c r="D3908" t="s">
        <v>9223</v>
      </c>
      <c r="E3908" t="s">
        <v>351</v>
      </c>
      <c r="G3908" s="1">
        <v>31452</v>
      </c>
      <c r="H3908" s="1">
        <v>38387</v>
      </c>
      <c r="I3908" t="str">
        <f>"41"</f>
        <v>41</v>
      </c>
      <c r="J3908" t="s">
        <v>24</v>
      </c>
      <c r="K3908" t="s">
        <v>25</v>
      </c>
      <c r="L3908" t="s">
        <v>26</v>
      </c>
      <c r="M3908" t="s">
        <v>27</v>
      </c>
      <c r="N3908" s="1">
        <v>18629</v>
      </c>
      <c r="O3908">
        <v>0</v>
      </c>
      <c r="P3908">
        <v>0</v>
      </c>
      <c r="Q3908" t="s">
        <v>28</v>
      </c>
      <c r="R3908" t="s">
        <v>51</v>
      </c>
      <c r="S3908" t="s">
        <v>4743</v>
      </c>
      <c r="T3908" t="s">
        <v>4744</v>
      </c>
    </row>
    <row r="3909" spans="1:20" x14ac:dyDescent="0.25">
      <c r="A3909" t="s">
        <v>9224</v>
      </c>
      <c r="B3909" t="str">
        <f>"1963"</f>
        <v>1963</v>
      </c>
      <c r="C3909" t="str">
        <f>"290861963"</f>
        <v>290861963</v>
      </c>
      <c r="D3909" t="s">
        <v>2421</v>
      </c>
      <c r="E3909" t="s">
        <v>3318</v>
      </c>
      <c r="F3909" t="s">
        <v>275</v>
      </c>
      <c r="G3909" s="1">
        <v>28232</v>
      </c>
      <c r="H3909" s="1">
        <v>38386</v>
      </c>
      <c r="I3909" t="str">
        <f>"51"</f>
        <v>51</v>
      </c>
      <c r="J3909" t="s">
        <v>471</v>
      </c>
      <c r="K3909" t="s">
        <v>25</v>
      </c>
      <c r="L3909" t="s">
        <v>26</v>
      </c>
      <c r="M3909" t="s">
        <v>27</v>
      </c>
      <c r="N3909" s="1">
        <v>18629</v>
      </c>
      <c r="O3909">
        <v>0</v>
      </c>
      <c r="P3909">
        <v>0</v>
      </c>
      <c r="Q3909" t="s">
        <v>37</v>
      </c>
      <c r="R3909" t="s">
        <v>29</v>
      </c>
      <c r="S3909" t="s">
        <v>2736</v>
      </c>
      <c r="T3909" t="s">
        <v>2737</v>
      </c>
    </row>
    <row r="3910" spans="1:20" x14ac:dyDescent="0.25">
      <c r="A3910" t="s">
        <v>9225</v>
      </c>
      <c r="B3910" t="str">
        <f>"8547"</f>
        <v>8547</v>
      </c>
      <c r="C3910" t="str">
        <f>"582198547"</f>
        <v>582198547</v>
      </c>
      <c r="D3910" t="s">
        <v>9226</v>
      </c>
      <c r="E3910" t="s">
        <v>2354</v>
      </c>
      <c r="G3910" s="1">
        <v>22067</v>
      </c>
      <c r="H3910" s="1">
        <v>38384</v>
      </c>
      <c r="I3910" t="str">
        <f>"33"</f>
        <v>33</v>
      </c>
      <c r="J3910" t="s">
        <v>45</v>
      </c>
      <c r="K3910" t="s">
        <v>25</v>
      </c>
      <c r="L3910" t="s">
        <v>26</v>
      </c>
      <c r="M3910" t="s">
        <v>27</v>
      </c>
      <c r="N3910" s="1">
        <v>18629</v>
      </c>
      <c r="O3910">
        <v>0</v>
      </c>
      <c r="P3910">
        <v>0</v>
      </c>
      <c r="Q3910" t="s">
        <v>37</v>
      </c>
      <c r="R3910" t="s">
        <v>29</v>
      </c>
      <c r="S3910" t="s">
        <v>594</v>
      </c>
      <c r="T3910" t="s">
        <v>595</v>
      </c>
    </row>
    <row r="3911" spans="1:20" x14ac:dyDescent="0.25">
      <c r="A3911" t="s">
        <v>9227</v>
      </c>
      <c r="B3911" t="str">
        <f>"2024"</f>
        <v>2024</v>
      </c>
      <c r="C3911" t="str">
        <f>"283882024"</f>
        <v>283882024</v>
      </c>
      <c r="D3911" t="s">
        <v>9228</v>
      </c>
      <c r="E3911" t="s">
        <v>1666</v>
      </c>
      <c r="G3911" s="1">
        <v>27582</v>
      </c>
      <c r="H3911" s="1">
        <v>38383</v>
      </c>
      <c r="I3911" t="str">
        <f>"51"</f>
        <v>51</v>
      </c>
      <c r="J3911" t="s">
        <v>471</v>
      </c>
      <c r="K3911" t="s">
        <v>25</v>
      </c>
      <c r="L3911" t="s">
        <v>26</v>
      </c>
      <c r="M3911" t="s">
        <v>27</v>
      </c>
      <c r="N3911" s="1">
        <v>18629</v>
      </c>
      <c r="O3911">
        <v>0</v>
      </c>
      <c r="P3911">
        <v>0</v>
      </c>
      <c r="Q3911" t="s">
        <v>37</v>
      </c>
      <c r="R3911" t="s">
        <v>71</v>
      </c>
      <c r="S3911" t="s">
        <v>2406</v>
      </c>
      <c r="T3911" t="s">
        <v>2407</v>
      </c>
    </row>
    <row r="3912" spans="1:20" x14ac:dyDescent="0.25">
      <c r="A3912" t="s">
        <v>9229</v>
      </c>
      <c r="B3912" t="str">
        <f>"3926"</f>
        <v>3926</v>
      </c>
      <c r="C3912" t="str">
        <f>"281783926"</f>
        <v>281783926</v>
      </c>
      <c r="D3912" t="s">
        <v>9230</v>
      </c>
      <c r="E3912" t="s">
        <v>941</v>
      </c>
      <c r="F3912" t="s">
        <v>44</v>
      </c>
      <c r="G3912" s="1">
        <v>27035</v>
      </c>
      <c r="H3912" s="1">
        <v>38383</v>
      </c>
      <c r="I3912" t="str">
        <f>"30"</f>
        <v>30</v>
      </c>
      <c r="J3912" t="s">
        <v>50</v>
      </c>
      <c r="K3912" t="s">
        <v>25</v>
      </c>
      <c r="L3912" t="s">
        <v>26</v>
      </c>
      <c r="M3912" t="s">
        <v>27</v>
      </c>
      <c r="N3912" s="1">
        <v>18629</v>
      </c>
      <c r="O3912">
        <v>0</v>
      </c>
      <c r="P3912">
        <v>0</v>
      </c>
      <c r="Q3912" t="s">
        <v>28</v>
      </c>
      <c r="R3912" t="s">
        <v>51</v>
      </c>
      <c r="S3912" s="2" t="s">
        <v>1244</v>
      </c>
      <c r="T3912" t="s">
        <v>1245</v>
      </c>
    </row>
    <row r="3913" spans="1:20" x14ac:dyDescent="0.25">
      <c r="A3913" t="s">
        <v>9231</v>
      </c>
      <c r="B3913" t="str">
        <f>"7019"</f>
        <v>7019</v>
      </c>
      <c r="C3913" t="str">
        <f>"288827019"</f>
        <v>288827019</v>
      </c>
      <c r="D3913" t="s">
        <v>9232</v>
      </c>
      <c r="E3913" t="s">
        <v>1071</v>
      </c>
      <c r="F3913" t="s">
        <v>28</v>
      </c>
      <c r="G3913" s="1">
        <v>25153</v>
      </c>
      <c r="H3913" s="1">
        <v>38383</v>
      </c>
      <c r="I3913" t="str">
        <f>"51"</f>
        <v>51</v>
      </c>
      <c r="J3913" t="s">
        <v>471</v>
      </c>
      <c r="K3913" t="s">
        <v>25</v>
      </c>
      <c r="L3913" t="s">
        <v>26</v>
      </c>
      <c r="M3913" t="s">
        <v>27</v>
      </c>
      <c r="N3913" s="1">
        <v>18629</v>
      </c>
      <c r="O3913">
        <v>0</v>
      </c>
      <c r="P3913">
        <v>0</v>
      </c>
      <c r="Q3913" t="s">
        <v>37</v>
      </c>
      <c r="R3913" t="s">
        <v>51</v>
      </c>
      <c r="S3913" s="2" t="s">
        <v>774</v>
      </c>
      <c r="T3913" t="s">
        <v>775</v>
      </c>
    </row>
    <row r="3914" spans="1:20" x14ac:dyDescent="0.25">
      <c r="A3914" t="s">
        <v>9233</v>
      </c>
      <c r="B3914" t="str">
        <f>"9524"</f>
        <v>9524</v>
      </c>
      <c r="C3914" t="str">
        <f>"170429524"</f>
        <v>170429524</v>
      </c>
      <c r="D3914" t="s">
        <v>7520</v>
      </c>
      <c r="E3914" t="s">
        <v>1248</v>
      </c>
      <c r="F3914" t="s">
        <v>26</v>
      </c>
      <c r="G3914" s="1">
        <v>18359</v>
      </c>
      <c r="H3914" s="1">
        <v>38383</v>
      </c>
      <c r="I3914" t="str">
        <f>"41"</f>
        <v>41</v>
      </c>
      <c r="J3914" t="s">
        <v>24</v>
      </c>
      <c r="K3914" t="s">
        <v>25</v>
      </c>
      <c r="L3914" t="s">
        <v>26</v>
      </c>
      <c r="M3914" t="s">
        <v>27</v>
      </c>
      <c r="N3914" s="1">
        <v>18629</v>
      </c>
      <c r="O3914">
        <v>0</v>
      </c>
      <c r="P3914">
        <v>0</v>
      </c>
      <c r="Q3914" t="s">
        <v>37</v>
      </c>
      <c r="R3914" t="s">
        <v>29</v>
      </c>
      <c r="S3914" t="s">
        <v>1422</v>
      </c>
      <c r="T3914" t="s">
        <v>1423</v>
      </c>
    </row>
    <row r="3915" spans="1:20" x14ac:dyDescent="0.25">
      <c r="A3915" t="s">
        <v>9234</v>
      </c>
      <c r="B3915" t="str">
        <f>"4157"</f>
        <v>4157</v>
      </c>
      <c r="C3915" t="str">
        <f>"272404157"</f>
        <v>272404157</v>
      </c>
      <c r="D3915" t="s">
        <v>9235</v>
      </c>
      <c r="E3915" t="s">
        <v>9236</v>
      </c>
      <c r="F3915" t="s">
        <v>165</v>
      </c>
      <c r="G3915" s="1">
        <v>16763</v>
      </c>
      <c r="H3915" s="1">
        <v>38378</v>
      </c>
      <c r="I3915" t="str">
        <f>"52"</f>
        <v>52</v>
      </c>
      <c r="J3915" t="s">
        <v>330</v>
      </c>
      <c r="K3915" t="s">
        <v>25</v>
      </c>
      <c r="L3915" t="s">
        <v>26</v>
      </c>
      <c r="M3915" t="s">
        <v>27</v>
      </c>
      <c r="N3915" s="1">
        <v>18629</v>
      </c>
      <c r="O3915">
        <v>0</v>
      </c>
      <c r="P3915">
        <v>0</v>
      </c>
      <c r="Q3915" t="s">
        <v>28</v>
      </c>
      <c r="R3915" t="s">
        <v>258</v>
      </c>
      <c r="S3915" t="s">
        <v>331</v>
      </c>
      <c r="T3915" t="s">
        <v>332</v>
      </c>
    </row>
    <row r="3916" spans="1:20" x14ac:dyDescent="0.25">
      <c r="A3916" t="s">
        <v>9237</v>
      </c>
      <c r="B3916" t="str">
        <f>"8881"</f>
        <v>8881</v>
      </c>
      <c r="C3916" t="str">
        <f>"619308881"</f>
        <v>619308881</v>
      </c>
      <c r="D3916" t="s">
        <v>9238</v>
      </c>
      <c r="E3916" t="s">
        <v>9239</v>
      </c>
      <c r="G3916" s="1">
        <v>21388</v>
      </c>
      <c r="H3916" s="1">
        <v>38370</v>
      </c>
      <c r="I3916" t="str">
        <f>"51"</f>
        <v>51</v>
      </c>
      <c r="J3916" t="s">
        <v>471</v>
      </c>
      <c r="K3916" t="s">
        <v>25</v>
      </c>
      <c r="L3916" t="s">
        <v>26</v>
      </c>
      <c r="M3916" t="s">
        <v>27</v>
      </c>
      <c r="N3916" s="1">
        <v>18629</v>
      </c>
      <c r="O3916">
        <v>0</v>
      </c>
      <c r="P3916">
        <v>0</v>
      </c>
      <c r="Q3916" t="s">
        <v>28</v>
      </c>
      <c r="R3916" t="s">
        <v>71</v>
      </c>
      <c r="S3916" t="s">
        <v>790</v>
      </c>
      <c r="T3916" t="s">
        <v>791</v>
      </c>
    </row>
    <row r="3917" spans="1:20" x14ac:dyDescent="0.25">
      <c r="A3917" t="s">
        <v>9240</v>
      </c>
      <c r="B3917" t="str">
        <f>"2865"</f>
        <v>2865</v>
      </c>
      <c r="C3917" t="str">
        <f>"286322865"</f>
        <v>286322865</v>
      </c>
      <c r="D3917" t="s">
        <v>9241</v>
      </c>
      <c r="E3917" t="s">
        <v>7847</v>
      </c>
      <c r="F3917" t="s">
        <v>44</v>
      </c>
      <c r="G3917" s="1">
        <v>14501</v>
      </c>
      <c r="H3917" s="1">
        <v>38370</v>
      </c>
      <c r="I3917" t="str">
        <f>"33"</f>
        <v>33</v>
      </c>
      <c r="J3917" t="s">
        <v>45</v>
      </c>
      <c r="K3917" t="s">
        <v>25</v>
      </c>
      <c r="L3917" t="s">
        <v>26</v>
      </c>
      <c r="M3917" t="s">
        <v>27</v>
      </c>
      <c r="N3917" s="1">
        <v>18629</v>
      </c>
      <c r="O3917">
        <v>0</v>
      </c>
      <c r="P3917">
        <v>0</v>
      </c>
      <c r="Q3917" t="s">
        <v>37</v>
      </c>
      <c r="R3917" t="s">
        <v>29</v>
      </c>
      <c r="S3917" t="s">
        <v>1160</v>
      </c>
      <c r="T3917" t="s">
        <v>1161</v>
      </c>
    </row>
    <row r="3918" spans="1:20" x14ac:dyDescent="0.25">
      <c r="A3918" t="s">
        <v>9242</v>
      </c>
      <c r="B3918" t="str">
        <f>"4812"</f>
        <v>4812</v>
      </c>
      <c r="C3918" t="str">
        <f>"270604812"</f>
        <v>270604812</v>
      </c>
      <c r="D3918" t="s">
        <v>4670</v>
      </c>
      <c r="E3918" t="s">
        <v>3412</v>
      </c>
      <c r="F3918" t="s">
        <v>97</v>
      </c>
      <c r="G3918" s="1">
        <v>20778</v>
      </c>
      <c r="H3918" s="1">
        <v>38370</v>
      </c>
      <c r="I3918" t="str">
        <f t="shared" ref="I3918:I3933" si="86">"51"</f>
        <v>51</v>
      </c>
      <c r="J3918" t="s">
        <v>471</v>
      </c>
      <c r="K3918" t="s">
        <v>25</v>
      </c>
      <c r="L3918" t="s">
        <v>26</v>
      </c>
      <c r="M3918" t="s">
        <v>27</v>
      </c>
      <c r="N3918" s="1">
        <v>18629</v>
      </c>
      <c r="O3918">
        <v>0</v>
      </c>
      <c r="P3918">
        <v>0</v>
      </c>
      <c r="Q3918" t="s">
        <v>28</v>
      </c>
      <c r="R3918" t="s">
        <v>71</v>
      </c>
      <c r="S3918" t="s">
        <v>1474</v>
      </c>
      <c r="T3918" t="s">
        <v>1475</v>
      </c>
    </row>
    <row r="3919" spans="1:20" x14ac:dyDescent="0.25">
      <c r="A3919" t="s">
        <v>9243</v>
      </c>
      <c r="B3919" t="str">
        <f>"3763"</f>
        <v>3763</v>
      </c>
      <c r="C3919" t="str">
        <f>"562803763"</f>
        <v>562803763</v>
      </c>
      <c r="D3919" t="s">
        <v>7356</v>
      </c>
      <c r="E3919" t="s">
        <v>5731</v>
      </c>
      <c r="F3919" t="s">
        <v>44</v>
      </c>
      <c r="G3919" s="1">
        <v>18221</v>
      </c>
      <c r="H3919" s="1">
        <v>38370</v>
      </c>
      <c r="I3919" t="str">
        <f t="shared" si="86"/>
        <v>51</v>
      </c>
      <c r="J3919" t="s">
        <v>471</v>
      </c>
      <c r="K3919" t="s">
        <v>25</v>
      </c>
      <c r="L3919" t="s">
        <v>26</v>
      </c>
      <c r="M3919" t="s">
        <v>27</v>
      </c>
      <c r="N3919" s="1">
        <v>18629</v>
      </c>
      <c r="O3919">
        <v>0</v>
      </c>
      <c r="P3919">
        <v>0</v>
      </c>
      <c r="Q3919" t="s">
        <v>28</v>
      </c>
      <c r="R3919" t="s">
        <v>51</v>
      </c>
      <c r="S3919" s="2" t="s">
        <v>2626</v>
      </c>
      <c r="T3919" t="s">
        <v>2627</v>
      </c>
    </row>
    <row r="3920" spans="1:20" x14ac:dyDescent="0.25">
      <c r="A3920" t="s">
        <v>9244</v>
      </c>
      <c r="B3920" t="str">
        <f>"3041"</f>
        <v>3041</v>
      </c>
      <c r="C3920" t="str">
        <f>"302883041"</f>
        <v>302883041</v>
      </c>
      <c r="D3920" t="s">
        <v>9245</v>
      </c>
      <c r="E3920" t="s">
        <v>9246</v>
      </c>
      <c r="G3920" s="1">
        <v>23526</v>
      </c>
      <c r="H3920" s="1">
        <v>38370</v>
      </c>
      <c r="I3920" t="str">
        <f t="shared" si="86"/>
        <v>51</v>
      </c>
      <c r="J3920" t="s">
        <v>471</v>
      </c>
      <c r="K3920" t="s">
        <v>25</v>
      </c>
      <c r="L3920" t="s">
        <v>26</v>
      </c>
      <c r="M3920" t="s">
        <v>27</v>
      </c>
      <c r="N3920" s="1">
        <v>18629</v>
      </c>
      <c r="O3920">
        <v>0</v>
      </c>
      <c r="P3920">
        <v>0</v>
      </c>
      <c r="Q3920" t="s">
        <v>28</v>
      </c>
      <c r="R3920" t="s">
        <v>29</v>
      </c>
      <c r="S3920" t="s">
        <v>147</v>
      </c>
      <c r="T3920" t="s">
        <v>148</v>
      </c>
    </row>
    <row r="3921" spans="1:20" x14ac:dyDescent="0.25">
      <c r="A3921" t="s">
        <v>9247</v>
      </c>
      <c r="B3921" t="str">
        <f>"4686"</f>
        <v>4686</v>
      </c>
      <c r="C3921" t="str">
        <f>"280644686"</f>
        <v>280644686</v>
      </c>
      <c r="D3921" t="s">
        <v>9248</v>
      </c>
      <c r="E3921" t="s">
        <v>704</v>
      </c>
      <c r="F3921" t="s">
        <v>165</v>
      </c>
      <c r="G3921" s="1">
        <v>23822</v>
      </c>
      <c r="H3921" s="1">
        <v>38370</v>
      </c>
      <c r="I3921" t="str">
        <f t="shared" si="86"/>
        <v>51</v>
      </c>
      <c r="J3921" t="s">
        <v>471</v>
      </c>
      <c r="K3921" t="s">
        <v>25</v>
      </c>
      <c r="L3921" t="s">
        <v>26</v>
      </c>
      <c r="M3921" t="s">
        <v>27</v>
      </c>
      <c r="N3921" s="1">
        <v>18629</v>
      </c>
      <c r="O3921">
        <v>0</v>
      </c>
      <c r="P3921">
        <v>0</v>
      </c>
      <c r="Q3921" t="s">
        <v>28</v>
      </c>
      <c r="R3921" t="s">
        <v>29</v>
      </c>
      <c r="S3921" t="s">
        <v>2355</v>
      </c>
      <c r="T3921" t="s">
        <v>2356</v>
      </c>
    </row>
    <row r="3922" spans="1:20" x14ac:dyDescent="0.25">
      <c r="A3922" t="s">
        <v>9249</v>
      </c>
      <c r="B3922" t="str">
        <f>"2516"</f>
        <v>2516</v>
      </c>
      <c r="C3922" t="str">
        <f>"291742516"</f>
        <v>291742516</v>
      </c>
      <c r="D3922" t="s">
        <v>9250</v>
      </c>
      <c r="E3922" t="s">
        <v>106</v>
      </c>
      <c r="F3922" t="s">
        <v>282</v>
      </c>
      <c r="G3922" s="1">
        <v>25065</v>
      </c>
      <c r="H3922" s="1">
        <v>38370</v>
      </c>
      <c r="I3922" t="str">
        <f t="shared" si="86"/>
        <v>51</v>
      </c>
      <c r="J3922" t="s">
        <v>471</v>
      </c>
      <c r="K3922" t="s">
        <v>25</v>
      </c>
      <c r="L3922" t="s">
        <v>26</v>
      </c>
      <c r="M3922" t="s">
        <v>27</v>
      </c>
      <c r="N3922" s="1">
        <v>18629</v>
      </c>
      <c r="O3922">
        <v>0</v>
      </c>
      <c r="P3922">
        <v>0</v>
      </c>
      <c r="Q3922" t="s">
        <v>28</v>
      </c>
      <c r="R3922" t="s">
        <v>29</v>
      </c>
      <c r="S3922" t="s">
        <v>1640</v>
      </c>
      <c r="T3922" t="s">
        <v>983</v>
      </c>
    </row>
    <row r="3923" spans="1:20" x14ac:dyDescent="0.25">
      <c r="A3923" t="s">
        <v>9251</v>
      </c>
      <c r="B3923" t="str">
        <f>"3430"</f>
        <v>3430</v>
      </c>
      <c r="C3923" t="str">
        <f>"235113430"</f>
        <v>235113430</v>
      </c>
      <c r="D3923" t="s">
        <v>4494</v>
      </c>
      <c r="E3923" t="s">
        <v>813</v>
      </c>
      <c r="G3923" s="1">
        <v>21953</v>
      </c>
      <c r="H3923" s="1">
        <v>38370</v>
      </c>
      <c r="I3923" t="str">
        <f t="shared" si="86"/>
        <v>51</v>
      </c>
      <c r="J3923" t="s">
        <v>471</v>
      </c>
      <c r="K3923" t="s">
        <v>25</v>
      </c>
      <c r="L3923" t="s">
        <v>26</v>
      </c>
      <c r="M3923" t="s">
        <v>27</v>
      </c>
      <c r="N3923" s="1">
        <v>18629</v>
      </c>
      <c r="O3923">
        <v>0</v>
      </c>
      <c r="P3923">
        <v>0</v>
      </c>
      <c r="Q3923" t="s">
        <v>37</v>
      </c>
      <c r="R3923" t="s">
        <v>71</v>
      </c>
      <c r="S3923" t="s">
        <v>955</v>
      </c>
      <c r="T3923" t="s">
        <v>956</v>
      </c>
    </row>
    <row r="3924" spans="1:20" x14ac:dyDescent="0.25">
      <c r="A3924" t="s">
        <v>9252</v>
      </c>
      <c r="B3924" t="str">
        <f>"7912"</f>
        <v>7912</v>
      </c>
      <c r="C3924" t="str">
        <f>"299527912"</f>
        <v>299527912</v>
      </c>
      <c r="D3924" t="s">
        <v>9253</v>
      </c>
      <c r="E3924" t="s">
        <v>2519</v>
      </c>
      <c r="F3924" t="s">
        <v>44</v>
      </c>
      <c r="G3924" s="1">
        <v>19677</v>
      </c>
      <c r="H3924" s="1">
        <v>38370</v>
      </c>
      <c r="I3924" t="str">
        <f t="shared" si="86"/>
        <v>51</v>
      </c>
      <c r="J3924" t="s">
        <v>471</v>
      </c>
      <c r="K3924" t="s">
        <v>25</v>
      </c>
      <c r="L3924" t="s">
        <v>26</v>
      </c>
      <c r="M3924" t="s">
        <v>27</v>
      </c>
      <c r="N3924" s="1">
        <v>18629</v>
      </c>
      <c r="O3924">
        <v>0</v>
      </c>
      <c r="P3924">
        <v>0</v>
      </c>
      <c r="Q3924" t="s">
        <v>37</v>
      </c>
      <c r="R3924" t="s">
        <v>71</v>
      </c>
      <c r="S3924" t="s">
        <v>9254</v>
      </c>
      <c r="T3924" t="s">
        <v>9255</v>
      </c>
    </row>
    <row r="3925" spans="1:20" x14ac:dyDescent="0.25">
      <c r="A3925" t="s">
        <v>9256</v>
      </c>
      <c r="B3925" t="str">
        <f>"1751"</f>
        <v>1751</v>
      </c>
      <c r="C3925" t="str">
        <f>"269781751"</f>
        <v>269781751</v>
      </c>
      <c r="D3925" t="s">
        <v>9257</v>
      </c>
      <c r="E3925" t="s">
        <v>463</v>
      </c>
      <c r="F3925" t="s">
        <v>179</v>
      </c>
      <c r="G3925" s="1">
        <v>24283</v>
      </c>
      <c r="H3925" s="1">
        <v>38370</v>
      </c>
      <c r="I3925" t="str">
        <f t="shared" si="86"/>
        <v>51</v>
      </c>
      <c r="J3925" t="s">
        <v>471</v>
      </c>
      <c r="K3925" t="s">
        <v>25</v>
      </c>
      <c r="L3925" t="s">
        <v>26</v>
      </c>
      <c r="M3925" t="s">
        <v>27</v>
      </c>
      <c r="N3925" s="1">
        <v>18629</v>
      </c>
      <c r="O3925">
        <v>0</v>
      </c>
      <c r="P3925">
        <v>0</v>
      </c>
      <c r="Q3925" t="s">
        <v>28</v>
      </c>
      <c r="R3925" t="s">
        <v>29</v>
      </c>
      <c r="S3925" t="s">
        <v>138</v>
      </c>
      <c r="T3925" t="s">
        <v>139</v>
      </c>
    </row>
    <row r="3926" spans="1:20" x14ac:dyDescent="0.25">
      <c r="A3926" t="s">
        <v>9258</v>
      </c>
      <c r="B3926" t="str">
        <f>"6382"</f>
        <v>6382</v>
      </c>
      <c r="C3926" t="str">
        <f>"035266382"</f>
        <v>035266382</v>
      </c>
      <c r="D3926" t="s">
        <v>9259</v>
      </c>
      <c r="E3926" t="s">
        <v>832</v>
      </c>
      <c r="F3926" t="s">
        <v>174</v>
      </c>
      <c r="G3926" s="1">
        <v>14715</v>
      </c>
      <c r="H3926" s="1">
        <v>38370</v>
      </c>
      <c r="I3926" t="str">
        <f t="shared" si="86"/>
        <v>51</v>
      </c>
      <c r="J3926" t="s">
        <v>471</v>
      </c>
      <c r="K3926" t="s">
        <v>25</v>
      </c>
      <c r="L3926" t="s">
        <v>26</v>
      </c>
      <c r="M3926" t="s">
        <v>27</v>
      </c>
      <c r="N3926" s="1">
        <v>18629</v>
      </c>
      <c r="O3926">
        <v>0</v>
      </c>
      <c r="P3926">
        <v>0</v>
      </c>
      <c r="Q3926" t="s">
        <v>28</v>
      </c>
      <c r="R3926" t="s">
        <v>71</v>
      </c>
      <c r="S3926" t="s">
        <v>157</v>
      </c>
      <c r="T3926" t="s">
        <v>158</v>
      </c>
    </row>
    <row r="3927" spans="1:20" x14ac:dyDescent="0.25">
      <c r="A3927" t="s">
        <v>9260</v>
      </c>
      <c r="B3927" t="str">
        <f>"8883"</f>
        <v>8883</v>
      </c>
      <c r="C3927" t="str">
        <f>"200528883"</f>
        <v>200528883</v>
      </c>
      <c r="D3927" t="s">
        <v>9261</v>
      </c>
      <c r="E3927" t="s">
        <v>969</v>
      </c>
      <c r="F3927" t="s">
        <v>69</v>
      </c>
      <c r="G3927" s="1">
        <v>21532</v>
      </c>
      <c r="H3927" s="1">
        <v>38370</v>
      </c>
      <c r="I3927" t="str">
        <f t="shared" si="86"/>
        <v>51</v>
      </c>
      <c r="J3927" t="s">
        <v>471</v>
      </c>
      <c r="K3927" t="s">
        <v>25</v>
      </c>
      <c r="L3927" t="s">
        <v>26</v>
      </c>
      <c r="M3927" t="s">
        <v>27</v>
      </c>
      <c r="N3927" s="1">
        <v>18629</v>
      </c>
      <c r="O3927">
        <v>0</v>
      </c>
      <c r="P3927">
        <v>0</v>
      </c>
      <c r="Q3927" t="s">
        <v>37</v>
      </c>
      <c r="R3927" t="s">
        <v>71</v>
      </c>
      <c r="S3927" t="s">
        <v>5125</v>
      </c>
      <c r="T3927" t="s">
        <v>5126</v>
      </c>
    </row>
    <row r="3928" spans="1:20" x14ac:dyDescent="0.25">
      <c r="A3928" t="s">
        <v>9262</v>
      </c>
      <c r="B3928" t="str">
        <f>"1836"</f>
        <v>1836</v>
      </c>
      <c r="C3928" t="str">
        <f>"290681836"</f>
        <v>290681836</v>
      </c>
      <c r="D3928" t="s">
        <v>5498</v>
      </c>
      <c r="E3928" t="s">
        <v>255</v>
      </c>
      <c r="F3928" t="s">
        <v>256</v>
      </c>
      <c r="G3928" s="1">
        <v>23195</v>
      </c>
      <c r="H3928" s="1">
        <v>38370</v>
      </c>
      <c r="I3928" t="str">
        <f t="shared" si="86"/>
        <v>51</v>
      </c>
      <c r="J3928" t="s">
        <v>471</v>
      </c>
      <c r="K3928" t="s">
        <v>25</v>
      </c>
      <c r="L3928" t="s">
        <v>26</v>
      </c>
      <c r="M3928" t="s">
        <v>27</v>
      </c>
      <c r="N3928" s="1">
        <v>18629</v>
      </c>
      <c r="O3928">
        <v>0</v>
      </c>
      <c r="P3928">
        <v>0</v>
      </c>
      <c r="Q3928" t="s">
        <v>37</v>
      </c>
      <c r="R3928" t="s">
        <v>29</v>
      </c>
      <c r="S3928" t="s">
        <v>1572</v>
      </c>
      <c r="T3928" t="s">
        <v>1573</v>
      </c>
    </row>
    <row r="3929" spans="1:20" x14ac:dyDescent="0.25">
      <c r="A3929" t="s">
        <v>9263</v>
      </c>
      <c r="B3929" t="str">
        <f>"1116"</f>
        <v>1116</v>
      </c>
      <c r="C3929" t="str">
        <f>"296641116"</f>
        <v>296641116</v>
      </c>
      <c r="D3929" t="s">
        <v>9264</v>
      </c>
      <c r="E3929" t="s">
        <v>969</v>
      </c>
      <c r="F3929" t="s">
        <v>28</v>
      </c>
      <c r="G3929" s="1">
        <v>25476</v>
      </c>
      <c r="H3929" s="1">
        <v>38370</v>
      </c>
      <c r="I3929" t="str">
        <f t="shared" si="86"/>
        <v>51</v>
      </c>
      <c r="J3929" t="s">
        <v>471</v>
      </c>
      <c r="K3929" t="s">
        <v>25</v>
      </c>
      <c r="L3929" t="s">
        <v>26</v>
      </c>
      <c r="M3929" t="s">
        <v>27</v>
      </c>
      <c r="N3929" s="1">
        <v>18629</v>
      </c>
      <c r="O3929">
        <v>0</v>
      </c>
      <c r="P3929">
        <v>0</v>
      </c>
      <c r="Q3929" t="s">
        <v>37</v>
      </c>
      <c r="R3929" t="s">
        <v>71</v>
      </c>
      <c r="S3929" t="s">
        <v>138</v>
      </c>
      <c r="T3929" t="s">
        <v>139</v>
      </c>
    </row>
    <row r="3930" spans="1:20" x14ac:dyDescent="0.25">
      <c r="A3930" t="s">
        <v>9265</v>
      </c>
      <c r="B3930" t="str">
        <f>"2199"</f>
        <v>2199</v>
      </c>
      <c r="C3930" t="str">
        <f>"288742199"</f>
        <v>288742199</v>
      </c>
      <c r="D3930" t="s">
        <v>3069</v>
      </c>
      <c r="E3930" t="s">
        <v>3646</v>
      </c>
      <c r="F3930" t="s">
        <v>97</v>
      </c>
      <c r="G3930" s="1">
        <v>23656</v>
      </c>
      <c r="H3930" s="1">
        <v>38370</v>
      </c>
      <c r="I3930" t="str">
        <f t="shared" si="86"/>
        <v>51</v>
      </c>
      <c r="J3930" t="s">
        <v>471</v>
      </c>
      <c r="K3930" t="s">
        <v>25</v>
      </c>
      <c r="L3930" t="s">
        <v>26</v>
      </c>
      <c r="M3930" t="s">
        <v>27</v>
      </c>
      <c r="N3930" s="1">
        <v>18629</v>
      </c>
      <c r="O3930">
        <v>0</v>
      </c>
      <c r="P3930">
        <v>0</v>
      </c>
      <c r="Q3930" t="s">
        <v>28</v>
      </c>
      <c r="R3930" t="s">
        <v>29</v>
      </c>
      <c r="S3930" t="s">
        <v>1640</v>
      </c>
      <c r="T3930" t="s">
        <v>983</v>
      </c>
    </row>
    <row r="3931" spans="1:20" x14ac:dyDescent="0.25">
      <c r="A3931" t="s">
        <v>9266</v>
      </c>
      <c r="B3931" t="str">
        <f>"6159"</f>
        <v>6159</v>
      </c>
      <c r="C3931" t="str">
        <f>"317986159"</f>
        <v>317986159</v>
      </c>
      <c r="D3931" t="s">
        <v>2657</v>
      </c>
      <c r="E3931" t="s">
        <v>9267</v>
      </c>
      <c r="F3931" t="s">
        <v>9268</v>
      </c>
      <c r="G3931" s="1">
        <v>21931</v>
      </c>
      <c r="H3931" s="1">
        <v>38370</v>
      </c>
      <c r="I3931" t="str">
        <f t="shared" si="86"/>
        <v>51</v>
      </c>
      <c r="J3931" t="s">
        <v>471</v>
      </c>
      <c r="K3931" t="s">
        <v>25</v>
      </c>
      <c r="L3931" t="s">
        <v>26</v>
      </c>
      <c r="M3931" t="s">
        <v>27</v>
      </c>
      <c r="N3931" s="1">
        <v>18629</v>
      </c>
      <c r="O3931">
        <v>0</v>
      </c>
      <c r="P3931">
        <v>0</v>
      </c>
      <c r="Q3931" t="s">
        <v>37</v>
      </c>
      <c r="R3931" t="s">
        <v>29</v>
      </c>
      <c r="S3931" t="s">
        <v>1160</v>
      </c>
      <c r="T3931" t="s">
        <v>1161</v>
      </c>
    </row>
    <row r="3932" spans="1:20" x14ac:dyDescent="0.25">
      <c r="A3932" t="s">
        <v>9269</v>
      </c>
      <c r="B3932" t="str">
        <f>"8418"</f>
        <v>8418</v>
      </c>
      <c r="C3932" t="str">
        <f>"269728418"</f>
        <v>269728418</v>
      </c>
      <c r="D3932" t="s">
        <v>9270</v>
      </c>
      <c r="E3932" t="s">
        <v>9271</v>
      </c>
      <c r="G3932" s="1">
        <v>23657</v>
      </c>
      <c r="H3932" s="1">
        <v>38369</v>
      </c>
      <c r="I3932" t="str">
        <f t="shared" si="86"/>
        <v>51</v>
      </c>
      <c r="J3932" t="s">
        <v>471</v>
      </c>
      <c r="K3932" t="s">
        <v>25</v>
      </c>
      <c r="L3932" t="s">
        <v>26</v>
      </c>
      <c r="M3932" t="s">
        <v>27</v>
      </c>
      <c r="N3932" s="1">
        <v>18629</v>
      </c>
      <c r="O3932">
        <v>0</v>
      </c>
      <c r="P3932">
        <v>0</v>
      </c>
      <c r="Q3932" t="s">
        <v>37</v>
      </c>
      <c r="R3932" t="s">
        <v>51</v>
      </c>
      <c r="S3932" t="s">
        <v>191</v>
      </c>
      <c r="T3932" t="s">
        <v>192</v>
      </c>
    </row>
    <row r="3933" spans="1:20" x14ac:dyDescent="0.25">
      <c r="A3933" t="s">
        <v>9272</v>
      </c>
      <c r="B3933" t="str">
        <f>"7052"</f>
        <v>7052</v>
      </c>
      <c r="C3933" t="str">
        <f>"272467052"</f>
        <v>272467052</v>
      </c>
      <c r="D3933" t="s">
        <v>9273</v>
      </c>
      <c r="E3933" t="s">
        <v>197</v>
      </c>
      <c r="F3933" t="s">
        <v>37</v>
      </c>
      <c r="G3933" s="1">
        <v>22809</v>
      </c>
      <c r="H3933" s="1">
        <v>38369</v>
      </c>
      <c r="I3933" t="str">
        <f t="shared" si="86"/>
        <v>51</v>
      </c>
      <c r="J3933" t="s">
        <v>471</v>
      </c>
      <c r="K3933" t="s">
        <v>25</v>
      </c>
      <c r="L3933" t="s">
        <v>26</v>
      </c>
      <c r="M3933" t="s">
        <v>27</v>
      </c>
      <c r="N3933" s="1">
        <v>18629</v>
      </c>
      <c r="O3933">
        <v>0</v>
      </c>
      <c r="P3933">
        <v>0</v>
      </c>
      <c r="Q3933" t="s">
        <v>28</v>
      </c>
      <c r="R3933" t="s">
        <v>71</v>
      </c>
      <c r="S3933" t="s">
        <v>923</v>
      </c>
      <c r="T3933" t="s">
        <v>924</v>
      </c>
    </row>
    <row r="3934" spans="1:20" x14ac:dyDescent="0.25">
      <c r="A3934" t="s">
        <v>9274</v>
      </c>
      <c r="B3934" t="str">
        <f>"1967"</f>
        <v>1967</v>
      </c>
      <c r="C3934" t="str">
        <f>"270701967"</f>
        <v>270701967</v>
      </c>
      <c r="D3934" t="s">
        <v>9275</v>
      </c>
      <c r="E3934" t="s">
        <v>3178</v>
      </c>
      <c r="G3934" s="1">
        <v>22929</v>
      </c>
      <c r="H3934" s="1">
        <v>38362</v>
      </c>
      <c r="I3934" t="str">
        <f>"41"</f>
        <v>41</v>
      </c>
      <c r="J3934" t="s">
        <v>24</v>
      </c>
      <c r="K3934" t="s">
        <v>25</v>
      </c>
      <c r="L3934" t="s">
        <v>26</v>
      </c>
      <c r="M3934" t="s">
        <v>27</v>
      </c>
      <c r="N3934" s="1">
        <v>18629</v>
      </c>
      <c r="O3934">
        <v>0</v>
      </c>
      <c r="P3934">
        <v>0</v>
      </c>
      <c r="Q3934" t="s">
        <v>28</v>
      </c>
      <c r="R3934" t="s">
        <v>29</v>
      </c>
      <c r="S3934" t="s">
        <v>2066</v>
      </c>
      <c r="T3934" t="s">
        <v>2067</v>
      </c>
    </row>
    <row r="3935" spans="1:20" x14ac:dyDescent="0.25">
      <c r="A3935" t="s">
        <v>9276</v>
      </c>
      <c r="B3935" t="str">
        <f>"3173"</f>
        <v>3173</v>
      </c>
      <c r="C3935" t="str">
        <f>"300623173"</f>
        <v>300623173</v>
      </c>
      <c r="D3935" t="s">
        <v>9277</v>
      </c>
      <c r="E3935" t="s">
        <v>896</v>
      </c>
      <c r="G3935" s="1">
        <v>21487</v>
      </c>
      <c r="H3935" s="1">
        <v>38356</v>
      </c>
      <c r="I3935" t="str">
        <f>"15"</f>
        <v>15</v>
      </c>
      <c r="J3935" t="s">
        <v>36</v>
      </c>
      <c r="K3935" t="s">
        <v>98</v>
      </c>
      <c r="L3935" t="s">
        <v>37</v>
      </c>
      <c r="M3935" t="s">
        <v>257</v>
      </c>
      <c r="N3935" s="1">
        <v>41617</v>
      </c>
      <c r="O3935">
        <v>10753.08</v>
      </c>
      <c r="P3935">
        <v>2688.4</v>
      </c>
      <c r="Q3935" t="s">
        <v>37</v>
      </c>
      <c r="R3935" t="s">
        <v>71</v>
      </c>
      <c r="S3935" t="s">
        <v>9278</v>
      </c>
      <c r="T3935" t="s">
        <v>9279</v>
      </c>
    </row>
    <row r="3936" spans="1:20" x14ac:dyDescent="0.25">
      <c r="A3936" t="s">
        <v>9280</v>
      </c>
      <c r="B3936" t="str">
        <f>"9706"</f>
        <v>9706</v>
      </c>
      <c r="C3936" t="str">
        <f>"300689706"</f>
        <v>300689706</v>
      </c>
      <c r="D3936" t="s">
        <v>824</v>
      </c>
      <c r="E3936" t="s">
        <v>1399</v>
      </c>
      <c r="F3936" t="s">
        <v>282</v>
      </c>
      <c r="G3936" s="1">
        <v>22229</v>
      </c>
      <c r="H3936" s="1">
        <v>38341</v>
      </c>
      <c r="I3936" t="str">
        <f>"08"</f>
        <v>08</v>
      </c>
      <c r="J3936" t="s">
        <v>265</v>
      </c>
      <c r="K3936" t="s">
        <v>98</v>
      </c>
      <c r="L3936" t="s">
        <v>37</v>
      </c>
      <c r="M3936" t="s">
        <v>99</v>
      </c>
      <c r="N3936" s="1">
        <v>41617</v>
      </c>
      <c r="O3936">
        <v>14801.8</v>
      </c>
      <c r="P3936">
        <v>3700.32</v>
      </c>
      <c r="Q3936" t="s">
        <v>28</v>
      </c>
      <c r="R3936" t="s">
        <v>29</v>
      </c>
      <c r="S3936" t="s">
        <v>6322</v>
      </c>
      <c r="T3936" t="s">
        <v>6323</v>
      </c>
    </row>
    <row r="3937" spans="1:20" x14ac:dyDescent="0.25">
      <c r="A3937" t="s">
        <v>9281</v>
      </c>
      <c r="B3937" t="str">
        <f>"7509"</f>
        <v>7509</v>
      </c>
      <c r="C3937" t="str">
        <f>"299707509"</f>
        <v>299707509</v>
      </c>
      <c r="D3937" t="s">
        <v>9282</v>
      </c>
      <c r="E3937" t="s">
        <v>1639</v>
      </c>
      <c r="F3937" t="s">
        <v>165</v>
      </c>
      <c r="G3937" s="1">
        <v>22416</v>
      </c>
      <c r="H3937" s="1">
        <v>38327</v>
      </c>
      <c r="I3937" t="str">
        <f>"05"</f>
        <v>05</v>
      </c>
      <c r="J3937" t="s">
        <v>58</v>
      </c>
      <c r="K3937" t="s">
        <v>175</v>
      </c>
      <c r="L3937" t="s">
        <v>37</v>
      </c>
      <c r="M3937" t="s">
        <v>257</v>
      </c>
      <c r="N3937" s="1">
        <v>41617</v>
      </c>
      <c r="O3937">
        <v>11847.94</v>
      </c>
      <c r="P3937">
        <v>2961.92</v>
      </c>
      <c r="Q3937" t="s">
        <v>28</v>
      </c>
      <c r="R3937" t="s">
        <v>110</v>
      </c>
      <c r="S3937" t="s">
        <v>1963</v>
      </c>
      <c r="T3937" t="s">
        <v>1964</v>
      </c>
    </row>
    <row r="3938" spans="1:20" x14ac:dyDescent="0.25">
      <c r="A3938" t="s">
        <v>9283</v>
      </c>
      <c r="B3938" t="str">
        <f>"7914"</f>
        <v>7914</v>
      </c>
      <c r="C3938" t="str">
        <f>"272647914"</f>
        <v>272647914</v>
      </c>
      <c r="D3938" t="s">
        <v>5962</v>
      </c>
      <c r="E3938" t="s">
        <v>9284</v>
      </c>
      <c r="G3938" s="1">
        <v>20223</v>
      </c>
      <c r="H3938" s="1">
        <v>38327</v>
      </c>
      <c r="I3938" t="str">
        <f>"05"</f>
        <v>05</v>
      </c>
      <c r="J3938" t="s">
        <v>58</v>
      </c>
      <c r="K3938" t="s">
        <v>98</v>
      </c>
      <c r="L3938" t="s">
        <v>37</v>
      </c>
      <c r="M3938" t="s">
        <v>99</v>
      </c>
      <c r="N3938" s="1">
        <v>41617</v>
      </c>
      <c r="O3938">
        <v>14801.8</v>
      </c>
      <c r="P3938">
        <v>3700.32</v>
      </c>
      <c r="Q3938" t="s">
        <v>28</v>
      </c>
      <c r="R3938" t="s">
        <v>29</v>
      </c>
      <c r="S3938" t="s">
        <v>1177</v>
      </c>
      <c r="T3938" t="s">
        <v>1178</v>
      </c>
    </row>
    <row r="3939" spans="1:20" x14ac:dyDescent="0.25">
      <c r="A3939" t="s">
        <v>9285</v>
      </c>
      <c r="B3939" t="str">
        <f>"7657"</f>
        <v>7657</v>
      </c>
      <c r="C3939" t="str">
        <f>"297747657"</f>
        <v>297747657</v>
      </c>
      <c r="D3939" t="s">
        <v>2267</v>
      </c>
      <c r="E3939" t="s">
        <v>518</v>
      </c>
      <c r="F3939" t="s">
        <v>28</v>
      </c>
      <c r="G3939" s="1">
        <v>27485</v>
      </c>
      <c r="H3939" s="1">
        <v>38327</v>
      </c>
      <c r="I3939" t="str">
        <f>"08"</f>
        <v>08</v>
      </c>
      <c r="J3939" t="s">
        <v>265</v>
      </c>
      <c r="K3939" t="s">
        <v>98</v>
      </c>
      <c r="L3939" t="s">
        <v>37</v>
      </c>
      <c r="M3939" t="s">
        <v>99</v>
      </c>
      <c r="N3939" s="1">
        <v>41617</v>
      </c>
      <c r="O3939">
        <v>14801.8</v>
      </c>
      <c r="P3939">
        <v>3700.32</v>
      </c>
      <c r="Q3939" t="s">
        <v>37</v>
      </c>
      <c r="R3939" t="s">
        <v>29</v>
      </c>
      <c r="S3939" t="s">
        <v>6322</v>
      </c>
      <c r="T3939" t="s">
        <v>6323</v>
      </c>
    </row>
    <row r="3940" spans="1:20" x14ac:dyDescent="0.25">
      <c r="A3940" t="s">
        <v>9286</v>
      </c>
      <c r="B3940" t="str">
        <f>"7602"</f>
        <v>7602</v>
      </c>
      <c r="C3940" t="str">
        <f>"302467602"</f>
        <v>302467602</v>
      </c>
      <c r="D3940" t="s">
        <v>3539</v>
      </c>
      <c r="E3940" t="s">
        <v>197</v>
      </c>
      <c r="G3940" s="1">
        <v>21498</v>
      </c>
      <c r="H3940" s="1">
        <v>38320</v>
      </c>
      <c r="I3940" t="str">
        <f>"05"</f>
        <v>05</v>
      </c>
      <c r="J3940" t="s">
        <v>58</v>
      </c>
      <c r="L3940" t="s">
        <v>37</v>
      </c>
      <c r="M3940" t="s">
        <v>143</v>
      </c>
      <c r="N3940" s="1">
        <v>41617</v>
      </c>
      <c r="O3940">
        <v>185.9</v>
      </c>
      <c r="P3940">
        <v>-185.9</v>
      </c>
      <c r="Q3940" t="s">
        <v>28</v>
      </c>
      <c r="R3940" t="s">
        <v>29</v>
      </c>
      <c r="S3940" t="s">
        <v>9015</v>
      </c>
      <c r="T3940" t="s">
        <v>9016</v>
      </c>
    </row>
    <row r="3941" spans="1:20" x14ac:dyDescent="0.25">
      <c r="A3941" t="s">
        <v>9287</v>
      </c>
      <c r="B3941" t="str">
        <f>"9434"</f>
        <v>9434</v>
      </c>
      <c r="C3941" t="str">
        <f>"270489434"</f>
        <v>270489434</v>
      </c>
      <c r="D3941" t="s">
        <v>9288</v>
      </c>
      <c r="E3941" t="s">
        <v>184</v>
      </c>
      <c r="F3941" t="s">
        <v>93</v>
      </c>
      <c r="G3941" s="1">
        <v>23167</v>
      </c>
      <c r="H3941" s="1">
        <v>38314</v>
      </c>
      <c r="I3941" t="str">
        <f>"51"</f>
        <v>51</v>
      </c>
      <c r="J3941" t="s">
        <v>471</v>
      </c>
      <c r="K3941" t="s">
        <v>25</v>
      </c>
      <c r="L3941" t="s">
        <v>26</v>
      </c>
      <c r="M3941" t="s">
        <v>27</v>
      </c>
      <c r="N3941" s="1">
        <v>18629</v>
      </c>
      <c r="O3941">
        <v>0</v>
      </c>
      <c r="P3941">
        <v>0</v>
      </c>
      <c r="Q3941" t="s">
        <v>37</v>
      </c>
      <c r="R3941" t="s">
        <v>71</v>
      </c>
      <c r="S3941" t="s">
        <v>955</v>
      </c>
      <c r="T3941" t="s">
        <v>956</v>
      </c>
    </row>
    <row r="3942" spans="1:20" x14ac:dyDescent="0.25">
      <c r="A3942" t="s">
        <v>9289</v>
      </c>
      <c r="B3942" t="str">
        <f>"4753"</f>
        <v>4753</v>
      </c>
      <c r="C3942" t="str">
        <f>"285744753"</f>
        <v>285744753</v>
      </c>
      <c r="D3942" t="s">
        <v>1911</v>
      </c>
      <c r="E3942" t="s">
        <v>3099</v>
      </c>
      <c r="G3942" s="1">
        <v>23563</v>
      </c>
      <c r="H3942" s="1">
        <v>38313</v>
      </c>
      <c r="I3942" t="str">
        <f>"08"</f>
        <v>08</v>
      </c>
      <c r="J3942" t="s">
        <v>265</v>
      </c>
      <c r="K3942" t="s">
        <v>98</v>
      </c>
      <c r="L3942" t="s">
        <v>37</v>
      </c>
      <c r="M3942" t="s">
        <v>99</v>
      </c>
      <c r="N3942" s="1">
        <v>41617</v>
      </c>
      <c r="O3942">
        <v>14801.8</v>
      </c>
      <c r="P3942">
        <v>3700.32</v>
      </c>
      <c r="Q3942" t="s">
        <v>28</v>
      </c>
      <c r="R3942" t="s">
        <v>29</v>
      </c>
      <c r="S3942" t="s">
        <v>885</v>
      </c>
      <c r="T3942" t="s">
        <v>886</v>
      </c>
    </row>
    <row r="3943" spans="1:20" x14ac:dyDescent="0.25">
      <c r="A3943" t="s">
        <v>9290</v>
      </c>
      <c r="B3943" t="str">
        <f>"4454"</f>
        <v>4454</v>
      </c>
      <c r="C3943" t="str">
        <f>"270744454"</f>
        <v>270744454</v>
      </c>
      <c r="D3943" t="s">
        <v>6885</v>
      </c>
      <c r="E3943" t="s">
        <v>609</v>
      </c>
      <c r="F3943" t="s">
        <v>44</v>
      </c>
      <c r="G3943" s="1">
        <v>26354</v>
      </c>
      <c r="H3943" s="1">
        <v>38313</v>
      </c>
      <c r="I3943" t="str">
        <f>"08"</f>
        <v>08</v>
      </c>
      <c r="J3943" t="s">
        <v>265</v>
      </c>
      <c r="K3943" t="s">
        <v>98</v>
      </c>
      <c r="L3943" t="s">
        <v>37</v>
      </c>
      <c r="M3943" t="s">
        <v>257</v>
      </c>
      <c r="N3943" s="1">
        <v>41617</v>
      </c>
      <c r="O3943">
        <v>10753.08</v>
      </c>
      <c r="P3943">
        <v>2688.4</v>
      </c>
      <c r="Q3943" t="s">
        <v>28</v>
      </c>
      <c r="R3943" t="s">
        <v>71</v>
      </c>
      <c r="S3943" t="s">
        <v>570</v>
      </c>
      <c r="T3943" t="s">
        <v>571</v>
      </c>
    </row>
    <row r="3944" spans="1:20" x14ac:dyDescent="0.25">
      <c r="A3944" t="s">
        <v>9291</v>
      </c>
      <c r="B3944" t="str">
        <f>"0850"</f>
        <v>0850</v>
      </c>
      <c r="C3944" t="str">
        <f>"290920850"</f>
        <v>290920850</v>
      </c>
      <c r="D3944" t="s">
        <v>7862</v>
      </c>
      <c r="E3944" t="s">
        <v>1247</v>
      </c>
      <c r="F3944" t="s">
        <v>9292</v>
      </c>
      <c r="G3944" s="1">
        <v>29422</v>
      </c>
      <c r="H3944" s="1">
        <v>38313</v>
      </c>
      <c r="I3944" t="str">
        <f>"05"</f>
        <v>05</v>
      </c>
      <c r="J3944" t="s">
        <v>58</v>
      </c>
      <c r="K3944" t="s">
        <v>98</v>
      </c>
      <c r="L3944" t="s">
        <v>37</v>
      </c>
      <c r="M3944" t="s">
        <v>257</v>
      </c>
      <c r="N3944" s="1">
        <v>41617</v>
      </c>
      <c r="O3944">
        <v>10753.08</v>
      </c>
      <c r="P3944">
        <v>2688.4</v>
      </c>
      <c r="Q3944" t="s">
        <v>28</v>
      </c>
      <c r="R3944" t="s">
        <v>29</v>
      </c>
      <c r="S3944" t="s">
        <v>550</v>
      </c>
      <c r="T3944" t="s">
        <v>551</v>
      </c>
    </row>
    <row r="3945" spans="1:20" x14ac:dyDescent="0.25">
      <c r="A3945" t="s">
        <v>9293</v>
      </c>
      <c r="B3945" t="str">
        <f>"2538"</f>
        <v>2538</v>
      </c>
      <c r="C3945" t="str">
        <f>"286542538"</f>
        <v>286542538</v>
      </c>
      <c r="D3945" t="s">
        <v>9294</v>
      </c>
      <c r="E3945" t="s">
        <v>9295</v>
      </c>
      <c r="G3945" s="1">
        <v>19786</v>
      </c>
      <c r="H3945" s="1">
        <v>38301</v>
      </c>
      <c r="I3945" t="str">
        <f>"30"</f>
        <v>30</v>
      </c>
      <c r="J3945" t="s">
        <v>50</v>
      </c>
      <c r="K3945" t="s">
        <v>25</v>
      </c>
      <c r="L3945" t="s">
        <v>26</v>
      </c>
      <c r="M3945" t="s">
        <v>27</v>
      </c>
      <c r="N3945" s="1">
        <v>18629</v>
      </c>
      <c r="O3945">
        <v>0</v>
      </c>
      <c r="P3945">
        <v>0</v>
      </c>
      <c r="Q3945" t="s">
        <v>37</v>
      </c>
      <c r="R3945" t="s">
        <v>71</v>
      </c>
      <c r="S3945" t="s">
        <v>277</v>
      </c>
      <c r="T3945" t="s">
        <v>278</v>
      </c>
    </row>
    <row r="3946" spans="1:20" x14ac:dyDescent="0.25">
      <c r="A3946" t="s">
        <v>9296</v>
      </c>
      <c r="B3946" t="str">
        <f>"4819"</f>
        <v>4819</v>
      </c>
      <c r="C3946" t="str">
        <f>"285564819"</f>
        <v>285564819</v>
      </c>
      <c r="D3946" t="s">
        <v>9297</v>
      </c>
      <c r="E3946" t="s">
        <v>526</v>
      </c>
      <c r="F3946" t="s">
        <v>414</v>
      </c>
      <c r="G3946" s="1">
        <v>25096</v>
      </c>
      <c r="H3946" s="1">
        <v>38301</v>
      </c>
      <c r="I3946" t="str">
        <f>"20"</f>
        <v>20</v>
      </c>
      <c r="J3946" t="s">
        <v>123</v>
      </c>
      <c r="K3946" t="s">
        <v>510</v>
      </c>
      <c r="L3946" t="s">
        <v>37</v>
      </c>
      <c r="M3946" t="s">
        <v>99</v>
      </c>
      <c r="N3946" s="1">
        <v>41631</v>
      </c>
      <c r="O3946">
        <v>19521.919999999998</v>
      </c>
      <c r="P3946">
        <v>4880.4799999999996</v>
      </c>
      <c r="Q3946" t="s">
        <v>37</v>
      </c>
      <c r="R3946" t="s">
        <v>71</v>
      </c>
      <c r="S3946" t="s">
        <v>373</v>
      </c>
      <c r="T3946" t="s">
        <v>374</v>
      </c>
    </row>
    <row r="3947" spans="1:20" x14ac:dyDescent="0.25">
      <c r="A3947" t="s">
        <v>9298</v>
      </c>
      <c r="B3947" t="str">
        <f>"4091"</f>
        <v>4091</v>
      </c>
      <c r="C3947" t="str">
        <f>"283444091"</f>
        <v>283444091</v>
      </c>
      <c r="D3947" t="s">
        <v>9299</v>
      </c>
      <c r="E3947" t="s">
        <v>1287</v>
      </c>
      <c r="F3947" t="s">
        <v>44</v>
      </c>
      <c r="G3947" s="1">
        <v>17559</v>
      </c>
      <c r="H3947" s="1">
        <v>38292</v>
      </c>
      <c r="I3947" t="str">
        <f>"03"</f>
        <v>03</v>
      </c>
      <c r="J3947" t="s">
        <v>70</v>
      </c>
      <c r="K3947" t="s">
        <v>98</v>
      </c>
      <c r="L3947" t="s">
        <v>37</v>
      </c>
      <c r="M3947" t="s">
        <v>117</v>
      </c>
      <c r="N3947" s="1">
        <v>41617</v>
      </c>
      <c r="O3947">
        <v>4951.96</v>
      </c>
      <c r="P3947">
        <v>1237.8599999999999</v>
      </c>
      <c r="Q3947" t="s">
        <v>37</v>
      </c>
      <c r="R3947" t="s">
        <v>258</v>
      </c>
      <c r="S3947" t="s">
        <v>557</v>
      </c>
      <c r="T3947" t="s">
        <v>558</v>
      </c>
    </row>
    <row r="3948" spans="1:20" x14ac:dyDescent="0.25">
      <c r="A3948" t="s">
        <v>9300</v>
      </c>
      <c r="B3948" t="str">
        <f>"4248"</f>
        <v>4248</v>
      </c>
      <c r="C3948" t="str">
        <f>"284604248"</f>
        <v>284604248</v>
      </c>
      <c r="D3948" t="s">
        <v>5849</v>
      </c>
      <c r="E3948" t="s">
        <v>3099</v>
      </c>
      <c r="F3948" t="s">
        <v>37</v>
      </c>
      <c r="G3948" s="1">
        <v>22867</v>
      </c>
      <c r="H3948" s="1">
        <v>38292</v>
      </c>
      <c r="I3948" t="str">
        <f>"42"</f>
        <v>42</v>
      </c>
      <c r="J3948" t="s">
        <v>367</v>
      </c>
      <c r="K3948" t="s">
        <v>25</v>
      </c>
      <c r="L3948" t="s">
        <v>26</v>
      </c>
      <c r="M3948" t="s">
        <v>27</v>
      </c>
      <c r="N3948" s="1">
        <v>18629</v>
      </c>
      <c r="O3948">
        <v>0</v>
      </c>
      <c r="P3948">
        <v>0</v>
      </c>
      <c r="Q3948" t="s">
        <v>28</v>
      </c>
      <c r="R3948" t="s">
        <v>51</v>
      </c>
      <c r="S3948" t="s">
        <v>1222</v>
      </c>
      <c r="T3948" t="s">
        <v>1223</v>
      </c>
    </row>
    <row r="3949" spans="1:20" x14ac:dyDescent="0.25">
      <c r="A3949" t="s">
        <v>9301</v>
      </c>
      <c r="B3949" t="str">
        <f>"2798"</f>
        <v>2798</v>
      </c>
      <c r="C3949" t="str">
        <f>"270562798"</f>
        <v>270562798</v>
      </c>
      <c r="D3949" t="s">
        <v>9302</v>
      </c>
      <c r="E3949" t="s">
        <v>2438</v>
      </c>
      <c r="G3949" s="1">
        <v>20785</v>
      </c>
      <c r="H3949" s="1">
        <v>38271</v>
      </c>
      <c r="I3949" t="str">
        <f>"08"</f>
        <v>08</v>
      </c>
      <c r="J3949" t="s">
        <v>265</v>
      </c>
      <c r="K3949" t="s">
        <v>98</v>
      </c>
      <c r="L3949" t="s">
        <v>37</v>
      </c>
      <c r="M3949" t="s">
        <v>117</v>
      </c>
      <c r="N3949" s="1">
        <v>41617</v>
      </c>
      <c r="O3949">
        <v>4951.96</v>
      </c>
      <c r="P3949">
        <v>1237.8599999999999</v>
      </c>
      <c r="Q3949" t="s">
        <v>28</v>
      </c>
      <c r="R3949" t="s">
        <v>29</v>
      </c>
      <c r="S3949" t="s">
        <v>885</v>
      </c>
      <c r="T3949" t="s">
        <v>886</v>
      </c>
    </row>
    <row r="3950" spans="1:20" x14ac:dyDescent="0.25">
      <c r="A3950" t="s">
        <v>9303</v>
      </c>
      <c r="B3950" t="str">
        <f>"7463"</f>
        <v>7463</v>
      </c>
      <c r="C3950" t="str">
        <f>"287727463"</f>
        <v>287727463</v>
      </c>
      <c r="D3950" t="s">
        <v>6215</v>
      </c>
      <c r="E3950" t="s">
        <v>275</v>
      </c>
      <c r="F3950" t="s">
        <v>264</v>
      </c>
      <c r="G3950" s="1">
        <v>26475</v>
      </c>
      <c r="H3950" s="1">
        <v>38271</v>
      </c>
      <c r="I3950" t="str">
        <f>"30"</f>
        <v>30</v>
      </c>
      <c r="J3950" t="s">
        <v>50</v>
      </c>
      <c r="K3950" t="s">
        <v>25</v>
      </c>
      <c r="L3950" t="s">
        <v>26</v>
      </c>
      <c r="M3950" t="s">
        <v>27</v>
      </c>
      <c r="N3950" s="1">
        <v>18629</v>
      </c>
      <c r="O3950">
        <v>0</v>
      </c>
      <c r="P3950">
        <v>0</v>
      </c>
      <c r="Q3950" t="s">
        <v>37</v>
      </c>
      <c r="R3950" t="s">
        <v>71</v>
      </c>
      <c r="S3950" t="s">
        <v>373</v>
      </c>
      <c r="T3950" t="s">
        <v>374</v>
      </c>
    </row>
    <row r="3951" spans="1:20" x14ac:dyDescent="0.25">
      <c r="A3951" t="s">
        <v>9304</v>
      </c>
      <c r="B3951" t="str">
        <f>"8733"</f>
        <v>8733</v>
      </c>
      <c r="C3951" t="str">
        <f>"302488733"</f>
        <v>302488733</v>
      </c>
      <c r="D3951" t="s">
        <v>2794</v>
      </c>
      <c r="E3951" t="s">
        <v>9305</v>
      </c>
      <c r="G3951" s="1">
        <v>18903</v>
      </c>
      <c r="H3951" s="1">
        <v>38261</v>
      </c>
      <c r="I3951" t="str">
        <f>"01"</f>
        <v>01</v>
      </c>
      <c r="J3951" t="s">
        <v>116</v>
      </c>
      <c r="L3951" t="s">
        <v>37</v>
      </c>
      <c r="M3951" t="s">
        <v>143</v>
      </c>
      <c r="N3951" s="1">
        <v>41617</v>
      </c>
      <c r="O3951">
        <v>185.9</v>
      </c>
      <c r="P3951">
        <v>-185.9</v>
      </c>
      <c r="Q3951" t="s">
        <v>28</v>
      </c>
      <c r="R3951" t="s">
        <v>29</v>
      </c>
      <c r="S3951" t="s">
        <v>1177</v>
      </c>
      <c r="T3951" t="s">
        <v>1178</v>
      </c>
    </row>
    <row r="3952" spans="1:20" x14ac:dyDescent="0.25">
      <c r="A3952" t="s">
        <v>9306</v>
      </c>
      <c r="B3952" t="str">
        <f>"1956"</f>
        <v>1956</v>
      </c>
      <c r="C3952" t="str">
        <f>"286761956"</f>
        <v>286761956</v>
      </c>
      <c r="D3952" t="s">
        <v>9307</v>
      </c>
      <c r="E3952" t="s">
        <v>2519</v>
      </c>
      <c r="F3952" t="s">
        <v>28</v>
      </c>
      <c r="G3952" s="1">
        <v>29094</v>
      </c>
      <c r="H3952" s="1">
        <v>38251</v>
      </c>
      <c r="I3952" t="str">
        <f>"41"</f>
        <v>41</v>
      </c>
      <c r="J3952" t="s">
        <v>24</v>
      </c>
      <c r="K3952" t="s">
        <v>25</v>
      </c>
      <c r="L3952" t="s">
        <v>26</v>
      </c>
      <c r="M3952" t="s">
        <v>27</v>
      </c>
      <c r="N3952" s="1">
        <v>18629</v>
      </c>
      <c r="O3952">
        <v>0</v>
      </c>
      <c r="P3952">
        <v>0</v>
      </c>
      <c r="Q3952" t="s">
        <v>37</v>
      </c>
      <c r="R3952" t="s">
        <v>38</v>
      </c>
      <c r="S3952" t="s">
        <v>353</v>
      </c>
      <c r="T3952" t="s">
        <v>354</v>
      </c>
    </row>
    <row r="3953" spans="1:20" x14ac:dyDescent="0.25">
      <c r="A3953" t="s">
        <v>9308</v>
      </c>
      <c r="B3953" t="str">
        <f>"4551"</f>
        <v>4551</v>
      </c>
      <c r="C3953" t="str">
        <f>"289504551"</f>
        <v>289504551</v>
      </c>
      <c r="D3953" t="s">
        <v>9309</v>
      </c>
      <c r="E3953" t="s">
        <v>9310</v>
      </c>
      <c r="F3953" t="s">
        <v>282</v>
      </c>
      <c r="G3953" s="1">
        <v>19298</v>
      </c>
      <c r="H3953" s="1">
        <v>38243</v>
      </c>
      <c r="I3953" t="str">
        <f>"03"</f>
        <v>03</v>
      </c>
      <c r="J3953" t="s">
        <v>70</v>
      </c>
      <c r="K3953" t="s">
        <v>98</v>
      </c>
      <c r="L3953" t="s">
        <v>37</v>
      </c>
      <c r="M3953" t="s">
        <v>117</v>
      </c>
      <c r="N3953" s="1">
        <v>41617</v>
      </c>
      <c r="O3953">
        <v>4951.96</v>
      </c>
      <c r="P3953">
        <v>1237.8599999999999</v>
      </c>
      <c r="Q3953" t="s">
        <v>28</v>
      </c>
      <c r="R3953" t="s">
        <v>258</v>
      </c>
      <c r="S3953" t="s">
        <v>1078</v>
      </c>
      <c r="T3953" t="s">
        <v>1079</v>
      </c>
    </row>
    <row r="3954" spans="1:20" x14ac:dyDescent="0.25">
      <c r="A3954" t="s">
        <v>9311</v>
      </c>
      <c r="B3954" t="str">
        <f>"6651"</f>
        <v>6651</v>
      </c>
      <c r="C3954" t="str">
        <f>"299766651"</f>
        <v>299766651</v>
      </c>
      <c r="D3954" t="s">
        <v>122</v>
      </c>
      <c r="E3954" t="s">
        <v>9312</v>
      </c>
      <c r="F3954" t="s">
        <v>44</v>
      </c>
      <c r="G3954" s="1">
        <v>23930</v>
      </c>
      <c r="H3954" s="1">
        <v>38243</v>
      </c>
      <c r="I3954" t="str">
        <f>"51"</f>
        <v>51</v>
      </c>
      <c r="J3954" t="s">
        <v>471</v>
      </c>
      <c r="K3954" t="s">
        <v>25</v>
      </c>
      <c r="L3954" t="s">
        <v>26</v>
      </c>
      <c r="M3954" t="s">
        <v>27</v>
      </c>
      <c r="N3954" s="1">
        <v>18629</v>
      </c>
      <c r="O3954">
        <v>0</v>
      </c>
      <c r="P3954">
        <v>0</v>
      </c>
      <c r="Q3954" t="s">
        <v>28</v>
      </c>
      <c r="R3954" t="s">
        <v>29</v>
      </c>
      <c r="S3954" t="s">
        <v>1204</v>
      </c>
      <c r="T3954" t="s">
        <v>1205</v>
      </c>
    </row>
    <row r="3955" spans="1:20" x14ac:dyDescent="0.25">
      <c r="A3955" t="s">
        <v>9313</v>
      </c>
      <c r="B3955" t="str">
        <f>"8199"</f>
        <v>8199</v>
      </c>
      <c r="C3955" t="str">
        <f>"286828199"</f>
        <v>286828199</v>
      </c>
      <c r="D3955" t="s">
        <v>9314</v>
      </c>
      <c r="E3955" t="s">
        <v>270</v>
      </c>
      <c r="F3955" t="s">
        <v>44</v>
      </c>
      <c r="G3955" s="1">
        <v>27468</v>
      </c>
      <c r="H3955" s="1">
        <v>38237</v>
      </c>
      <c r="I3955" t="str">
        <f>"03"</f>
        <v>03</v>
      </c>
      <c r="J3955" t="s">
        <v>70</v>
      </c>
      <c r="K3955" t="s">
        <v>98</v>
      </c>
      <c r="L3955" t="s">
        <v>37</v>
      </c>
      <c r="M3955" t="s">
        <v>99</v>
      </c>
      <c r="N3955" s="1">
        <v>41617</v>
      </c>
      <c r="O3955">
        <v>14801.8</v>
      </c>
      <c r="P3955">
        <v>3700.32</v>
      </c>
      <c r="Q3955" t="s">
        <v>37</v>
      </c>
      <c r="R3955" t="s">
        <v>29</v>
      </c>
      <c r="S3955" t="s">
        <v>138</v>
      </c>
      <c r="T3955" t="s">
        <v>139</v>
      </c>
    </row>
    <row r="3956" spans="1:20" x14ac:dyDescent="0.25">
      <c r="A3956" t="s">
        <v>9315</v>
      </c>
      <c r="B3956" t="str">
        <f>"4835"</f>
        <v>4835</v>
      </c>
      <c r="C3956" t="str">
        <f>"218154835"</f>
        <v>218154835</v>
      </c>
      <c r="D3956" t="s">
        <v>9316</v>
      </c>
      <c r="E3956" t="s">
        <v>782</v>
      </c>
      <c r="G3956" s="1">
        <v>28312</v>
      </c>
      <c r="H3956" s="1">
        <v>38229</v>
      </c>
      <c r="I3956" t="str">
        <f>"51"</f>
        <v>51</v>
      </c>
      <c r="J3956" t="s">
        <v>471</v>
      </c>
      <c r="K3956" t="s">
        <v>25</v>
      </c>
      <c r="L3956" t="s">
        <v>26</v>
      </c>
      <c r="M3956" t="s">
        <v>27</v>
      </c>
      <c r="N3956" s="1">
        <v>18629</v>
      </c>
      <c r="O3956">
        <v>0</v>
      </c>
      <c r="P3956">
        <v>0</v>
      </c>
      <c r="Q3956" t="s">
        <v>37</v>
      </c>
      <c r="R3956" t="s">
        <v>51</v>
      </c>
      <c r="S3956" s="2" t="s">
        <v>1568</v>
      </c>
      <c r="T3956" t="s">
        <v>1569</v>
      </c>
    </row>
    <row r="3957" spans="1:20" x14ac:dyDescent="0.25">
      <c r="A3957" t="s">
        <v>9317</v>
      </c>
      <c r="B3957" t="str">
        <f>"6905"</f>
        <v>6905</v>
      </c>
      <c r="C3957" t="str">
        <f>"291566905"</f>
        <v>291566905</v>
      </c>
      <c r="D3957" t="s">
        <v>9318</v>
      </c>
      <c r="E3957" t="s">
        <v>48</v>
      </c>
      <c r="F3957" t="s">
        <v>97</v>
      </c>
      <c r="G3957" s="1">
        <v>20037</v>
      </c>
      <c r="H3957" s="1">
        <v>38229</v>
      </c>
      <c r="I3957" t="str">
        <f>"05"</f>
        <v>05</v>
      </c>
      <c r="J3957" t="s">
        <v>58</v>
      </c>
      <c r="K3957" t="s">
        <v>98</v>
      </c>
      <c r="L3957" t="s">
        <v>37</v>
      </c>
      <c r="M3957" t="s">
        <v>117</v>
      </c>
      <c r="N3957" s="1">
        <v>41617</v>
      </c>
      <c r="O3957">
        <v>4951.96</v>
      </c>
      <c r="P3957">
        <v>1237.8599999999999</v>
      </c>
      <c r="Q3957" t="s">
        <v>37</v>
      </c>
      <c r="R3957" t="s">
        <v>110</v>
      </c>
      <c r="S3957" t="s">
        <v>1963</v>
      </c>
      <c r="T3957" t="s">
        <v>1964</v>
      </c>
    </row>
    <row r="3958" spans="1:20" x14ac:dyDescent="0.25">
      <c r="A3958" t="s">
        <v>9319</v>
      </c>
      <c r="B3958" t="str">
        <f>"3474"</f>
        <v>3474</v>
      </c>
      <c r="C3958" t="str">
        <f>"282543474"</f>
        <v>282543474</v>
      </c>
      <c r="D3958" t="s">
        <v>452</v>
      </c>
      <c r="E3958" t="s">
        <v>35</v>
      </c>
      <c r="F3958" t="s">
        <v>97</v>
      </c>
      <c r="G3958" s="1">
        <v>20406</v>
      </c>
      <c r="H3958" s="1">
        <v>38229</v>
      </c>
      <c r="I3958" t="str">
        <f>"03"</f>
        <v>03</v>
      </c>
      <c r="J3958" t="s">
        <v>70</v>
      </c>
      <c r="K3958" t="s">
        <v>98</v>
      </c>
      <c r="L3958" t="s">
        <v>37</v>
      </c>
      <c r="M3958" t="s">
        <v>257</v>
      </c>
      <c r="N3958" s="1">
        <v>41617</v>
      </c>
      <c r="O3958">
        <v>10753.08</v>
      </c>
      <c r="P3958">
        <v>2688.4</v>
      </c>
      <c r="Q3958" t="s">
        <v>28</v>
      </c>
      <c r="R3958" t="s">
        <v>258</v>
      </c>
      <c r="S3958" t="s">
        <v>1235</v>
      </c>
      <c r="T3958" t="s">
        <v>1236</v>
      </c>
    </row>
    <row r="3959" spans="1:20" x14ac:dyDescent="0.25">
      <c r="A3959" t="s">
        <v>9320</v>
      </c>
      <c r="B3959" t="str">
        <f>"4712"</f>
        <v>4712</v>
      </c>
      <c r="C3959" t="str">
        <f>"269644712"</f>
        <v>269644712</v>
      </c>
      <c r="D3959" t="s">
        <v>9321</v>
      </c>
      <c r="E3959" t="s">
        <v>33</v>
      </c>
      <c r="F3959" t="s">
        <v>933</v>
      </c>
      <c r="G3959" s="1">
        <v>23668</v>
      </c>
      <c r="H3959" s="1">
        <v>38222</v>
      </c>
      <c r="I3959" t="str">
        <f t="shared" ref="I3959:I3968" si="87">"51"</f>
        <v>51</v>
      </c>
      <c r="J3959" t="s">
        <v>471</v>
      </c>
      <c r="K3959" t="s">
        <v>25</v>
      </c>
      <c r="L3959" t="s">
        <v>26</v>
      </c>
      <c r="M3959" t="s">
        <v>27</v>
      </c>
      <c r="N3959" s="1">
        <v>18629</v>
      </c>
      <c r="O3959">
        <v>0</v>
      </c>
      <c r="P3959">
        <v>0</v>
      </c>
      <c r="Q3959" t="s">
        <v>28</v>
      </c>
      <c r="R3959" t="s">
        <v>29</v>
      </c>
      <c r="S3959" t="s">
        <v>1454</v>
      </c>
      <c r="T3959" t="s">
        <v>1455</v>
      </c>
    </row>
    <row r="3960" spans="1:20" x14ac:dyDescent="0.25">
      <c r="A3960" t="s">
        <v>9322</v>
      </c>
      <c r="B3960" t="str">
        <f>"8112"</f>
        <v>8112</v>
      </c>
      <c r="C3960" t="str">
        <f>"275208112"</f>
        <v>275208112</v>
      </c>
      <c r="D3960" t="s">
        <v>2328</v>
      </c>
      <c r="E3960" t="s">
        <v>675</v>
      </c>
      <c r="F3960" t="s">
        <v>93</v>
      </c>
      <c r="G3960" s="1">
        <v>9217</v>
      </c>
      <c r="H3960" s="1">
        <v>38222</v>
      </c>
      <c r="I3960" t="str">
        <f t="shared" si="87"/>
        <v>51</v>
      </c>
      <c r="J3960" t="s">
        <v>471</v>
      </c>
      <c r="K3960" t="s">
        <v>25</v>
      </c>
      <c r="L3960" t="s">
        <v>26</v>
      </c>
      <c r="M3960" t="s">
        <v>27</v>
      </c>
      <c r="N3960" s="1">
        <v>18629</v>
      </c>
      <c r="O3960">
        <v>0</v>
      </c>
      <c r="P3960">
        <v>0</v>
      </c>
      <c r="Q3960" t="s">
        <v>37</v>
      </c>
      <c r="R3960" t="s">
        <v>71</v>
      </c>
      <c r="S3960" t="s">
        <v>1547</v>
      </c>
      <c r="T3960" t="s">
        <v>1548</v>
      </c>
    </row>
    <row r="3961" spans="1:20" x14ac:dyDescent="0.25">
      <c r="A3961" t="s">
        <v>9323</v>
      </c>
      <c r="B3961" t="str">
        <f>"1338"</f>
        <v>1338</v>
      </c>
      <c r="C3961" t="str">
        <f>"302721338"</f>
        <v>302721338</v>
      </c>
      <c r="D3961" t="s">
        <v>9324</v>
      </c>
      <c r="E3961" t="s">
        <v>2483</v>
      </c>
      <c r="F3961" t="s">
        <v>93</v>
      </c>
      <c r="G3961" s="1">
        <v>23405</v>
      </c>
      <c r="H3961" s="1">
        <v>38222</v>
      </c>
      <c r="I3961" t="str">
        <f t="shared" si="87"/>
        <v>51</v>
      </c>
      <c r="J3961" t="s">
        <v>471</v>
      </c>
      <c r="K3961" t="s">
        <v>25</v>
      </c>
      <c r="L3961" t="s">
        <v>26</v>
      </c>
      <c r="M3961" t="s">
        <v>27</v>
      </c>
      <c r="N3961" s="1">
        <v>18629</v>
      </c>
      <c r="O3961">
        <v>0</v>
      </c>
      <c r="P3961">
        <v>0</v>
      </c>
      <c r="Q3961" t="s">
        <v>37</v>
      </c>
      <c r="R3961" t="s">
        <v>51</v>
      </c>
      <c r="S3961" s="2" t="s">
        <v>2759</v>
      </c>
      <c r="T3961" t="s">
        <v>2760</v>
      </c>
    </row>
    <row r="3962" spans="1:20" x14ac:dyDescent="0.25">
      <c r="A3962" t="s">
        <v>9325</v>
      </c>
      <c r="B3962" t="str">
        <f>"1675"</f>
        <v>1675</v>
      </c>
      <c r="C3962" t="str">
        <f>"029701675"</f>
        <v>029701675</v>
      </c>
      <c r="D3962" t="s">
        <v>9074</v>
      </c>
      <c r="E3962" t="s">
        <v>2931</v>
      </c>
      <c r="F3962" t="s">
        <v>9326</v>
      </c>
      <c r="G3962" s="1">
        <v>18793</v>
      </c>
      <c r="H3962" s="1">
        <v>38222</v>
      </c>
      <c r="I3962" t="str">
        <f t="shared" si="87"/>
        <v>51</v>
      </c>
      <c r="J3962" t="s">
        <v>471</v>
      </c>
      <c r="K3962" t="s">
        <v>25</v>
      </c>
      <c r="L3962" t="s">
        <v>26</v>
      </c>
      <c r="M3962" t="s">
        <v>27</v>
      </c>
      <c r="N3962" s="1">
        <v>18629</v>
      </c>
      <c r="O3962">
        <v>0</v>
      </c>
      <c r="P3962">
        <v>0</v>
      </c>
      <c r="Q3962" t="s">
        <v>37</v>
      </c>
      <c r="R3962" t="s">
        <v>29</v>
      </c>
      <c r="S3962" t="s">
        <v>1572</v>
      </c>
      <c r="T3962" t="s">
        <v>1573</v>
      </c>
    </row>
    <row r="3963" spans="1:20" x14ac:dyDescent="0.25">
      <c r="A3963" t="s">
        <v>9327</v>
      </c>
      <c r="B3963" t="str">
        <f>"8214"</f>
        <v>8214</v>
      </c>
      <c r="C3963" t="str">
        <f>"276608214"</f>
        <v>276608214</v>
      </c>
      <c r="D3963" t="s">
        <v>9328</v>
      </c>
      <c r="E3963" t="s">
        <v>682</v>
      </c>
      <c r="F3963" t="s">
        <v>5706</v>
      </c>
      <c r="G3963" s="1">
        <v>20927</v>
      </c>
      <c r="H3963" s="1">
        <v>38222</v>
      </c>
      <c r="I3963" t="str">
        <f t="shared" si="87"/>
        <v>51</v>
      </c>
      <c r="J3963" t="s">
        <v>471</v>
      </c>
      <c r="K3963" t="s">
        <v>25</v>
      </c>
      <c r="L3963" t="s">
        <v>26</v>
      </c>
      <c r="M3963" t="s">
        <v>27</v>
      </c>
      <c r="N3963" s="1">
        <v>18629</v>
      </c>
      <c r="O3963">
        <v>0</v>
      </c>
      <c r="P3963">
        <v>0</v>
      </c>
      <c r="Q3963" t="s">
        <v>37</v>
      </c>
      <c r="R3963" t="s">
        <v>29</v>
      </c>
      <c r="S3963" t="s">
        <v>2736</v>
      </c>
      <c r="T3963" t="s">
        <v>2737</v>
      </c>
    </row>
    <row r="3964" spans="1:20" x14ac:dyDescent="0.25">
      <c r="A3964" t="s">
        <v>9329</v>
      </c>
      <c r="B3964" t="str">
        <f>"7744"</f>
        <v>7744</v>
      </c>
      <c r="C3964" t="str">
        <f>"274387744"</f>
        <v>274387744</v>
      </c>
      <c r="D3964" t="s">
        <v>9330</v>
      </c>
      <c r="E3964" t="s">
        <v>5731</v>
      </c>
      <c r="F3964" t="s">
        <v>97</v>
      </c>
      <c r="G3964" s="1">
        <v>15809</v>
      </c>
      <c r="H3964" s="1">
        <v>38222</v>
      </c>
      <c r="I3964" t="str">
        <f t="shared" si="87"/>
        <v>51</v>
      </c>
      <c r="J3964" t="s">
        <v>471</v>
      </c>
      <c r="K3964" t="s">
        <v>25</v>
      </c>
      <c r="L3964" t="s">
        <v>26</v>
      </c>
      <c r="M3964" t="s">
        <v>27</v>
      </c>
      <c r="N3964" s="1">
        <v>18629</v>
      </c>
      <c r="O3964">
        <v>0</v>
      </c>
      <c r="P3964">
        <v>0</v>
      </c>
      <c r="Q3964" t="s">
        <v>28</v>
      </c>
      <c r="R3964" t="s">
        <v>51</v>
      </c>
      <c r="S3964" s="2" t="s">
        <v>4664</v>
      </c>
      <c r="T3964" t="s">
        <v>4665</v>
      </c>
    </row>
    <row r="3965" spans="1:20" x14ac:dyDescent="0.25">
      <c r="A3965" t="s">
        <v>9331</v>
      </c>
      <c r="B3965" t="str">
        <f>"5790"</f>
        <v>5790</v>
      </c>
      <c r="C3965" t="str">
        <f>"279565790"</f>
        <v>279565790</v>
      </c>
      <c r="D3965" t="s">
        <v>9332</v>
      </c>
      <c r="E3965" t="s">
        <v>9333</v>
      </c>
      <c r="F3965" t="s">
        <v>2014</v>
      </c>
      <c r="G3965" s="1">
        <v>25609</v>
      </c>
      <c r="H3965" s="1">
        <v>38222</v>
      </c>
      <c r="I3965" t="str">
        <f t="shared" si="87"/>
        <v>51</v>
      </c>
      <c r="J3965" t="s">
        <v>471</v>
      </c>
      <c r="K3965" t="s">
        <v>25</v>
      </c>
      <c r="L3965" t="s">
        <v>26</v>
      </c>
      <c r="M3965" t="s">
        <v>27</v>
      </c>
      <c r="N3965" s="1">
        <v>18629</v>
      </c>
      <c r="O3965">
        <v>0</v>
      </c>
      <c r="P3965">
        <v>0</v>
      </c>
      <c r="Q3965" t="s">
        <v>37</v>
      </c>
      <c r="R3965" t="s">
        <v>71</v>
      </c>
      <c r="S3965" t="s">
        <v>808</v>
      </c>
      <c r="T3965" t="s">
        <v>809</v>
      </c>
    </row>
    <row r="3966" spans="1:20" x14ac:dyDescent="0.25">
      <c r="A3966" t="s">
        <v>9334</v>
      </c>
      <c r="B3966" t="str">
        <f>"6876"</f>
        <v>6876</v>
      </c>
      <c r="C3966" t="str">
        <f>"282566876"</f>
        <v>282566876</v>
      </c>
      <c r="D3966" t="s">
        <v>9335</v>
      </c>
      <c r="E3966" t="s">
        <v>1287</v>
      </c>
      <c r="F3966" t="s">
        <v>358</v>
      </c>
      <c r="G3966" s="1">
        <v>21556</v>
      </c>
      <c r="H3966" s="1">
        <v>38222</v>
      </c>
      <c r="I3966" t="str">
        <f t="shared" si="87"/>
        <v>51</v>
      </c>
      <c r="J3966" t="s">
        <v>471</v>
      </c>
      <c r="K3966" t="s">
        <v>25</v>
      </c>
      <c r="L3966" t="s">
        <v>26</v>
      </c>
      <c r="M3966" t="s">
        <v>27</v>
      </c>
      <c r="N3966" s="1">
        <v>18629</v>
      </c>
      <c r="O3966">
        <v>0</v>
      </c>
      <c r="P3966">
        <v>0</v>
      </c>
      <c r="Q3966" t="s">
        <v>37</v>
      </c>
      <c r="R3966" t="s">
        <v>29</v>
      </c>
      <c r="S3966" t="s">
        <v>3588</v>
      </c>
      <c r="T3966" t="s">
        <v>3589</v>
      </c>
    </row>
    <row r="3967" spans="1:20" x14ac:dyDescent="0.25">
      <c r="A3967" t="s">
        <v>9336</v>
      </c>
      <c r="B3967" t="str">
        <f>"2028"</f>
        <v>2028</v>
      </c>
      <c r="C3967" t="str">
        <f>"288442028"</f>
        <v>288442028</v>
      </c>
      <c r="D3967" t="s">
        <v>9337</v>
      </c>
      <c r="E3967" t="s">
        <v>434</v>
      </c>
      <c r="F3967" t="s">
        <v>282</v>
      </c>
      <c r="G3967" s="1">
        <v>17810</v>
      </c>
      <c r="H3967" s="1">
        <v>38222</v>
      </c>
      <c r="I3967" t="str">
        <f t="shared" si="87"/>
        <v>51</v>
      </c>
      <c r="J3967" t="s">
        <v>471</v>
      </c>
      <c r="K3967" t="s">
        <v>25</v>
      </c>
      <c r="L3967" t="s">
        <v>26</v>
      </c>
      <c r="M3967" t="s">
        <v>27</v>
      </c>
      <c r="N3967" s="1">
        <v>18629</v>
      </c>
      <c r="O3967">
        <v>0</v>
      </c>
      <c r="P3967">
        <v>0</v>
      </c>
      <c r="Q3967" t="s">
        <v>28</v>
      </c>
      <c r="R3967" t="s">
        <v>71</v>
      </c>
      <c r="S3967" t="s">
        <v>2458</v>
      </c>
      <c r="T3967" t="s">
        <v>2459</v>
      </c>
    </row>
    <row r="3968" spans="1:20" x14ac:dyDescent="0.25">
      <c r="A3968" t="s">
        <v>9338</v>
      </c>
      <c r="B3968" t="str">
        <f>"0198"</f>
        <v>0198</v>
      </c>
      <c r="C3968" t="str">
        <f>"270520198"</f>
        <v>270520198</v>
      </c>
      <c r="D3968" t="s">
        <v>9339</v>
      </c>
      <c r="E3968" t="s">
        <v>197</v>
      </c>
      <c r="G3968" s="1">
        <v>20396</v>
      </c>
      <c r="H3968" s="1">
        <v>38222</v>
      </c>
      <c r="I3968" t="str">
        <f t="shared" si="87"/>
        <v>51</v>
      </c>
      <c r="J3968" t="s">
        <v>471</v>
      </c>
      <c r="K3968" t="s">
        <v>25</v>
      </c>
      <c r="L3968" t="s">
        <v>26</v>
      </c>
      <c r="M3968" t="s">
        <v>27</v>
      </c>
      <c r="N3968" s="1">
        <v>18629</v>
      </c>
      <c r="O3968">
        <v>0</v>
      </c>
      <c r="P3968">
        <v>0</v>
      </c>
      <c r="Q3968" t="s">
        <v>28</v>
      </c>
      <c r="R3968" t="s">
        <v>71</v>
      </c>
      <c r="S3968" t="s">
        <v>2825</v>
      </c>
      <c r="T3968" t="s">
        <v>2826</v>
      </c>
    </row>
    <row r="3969" spans="1:20" x14ac:dyDescent="0.25">
      <c r="A3969" t="s">
        <v>9340</v>
      </c>
      <c r="B3969" t="str">
        <f>"7948"</f>
        <v>7948</v>
      </c>
      <c r="C3969" t="str">
        <f>"282347948"</f>
        <v>282347948</v>
      </c>
      <c r="D3969" t="s">
        <v>1911</v>
      </c>
      <c r="E3969" t="s">
        <v>2014</v>
      </c>
      <c r="G3969" s="1">
        <v>14320</v>
      </c>
      <c r="H3969" s="1">
        <v>38222</v>
      </c>
      <c r="I3969" t="str">
        <f>"33"</f>
        <v>33</v>
      </c>
      <c r="J3969" t="s">
        <v>45</v>
      </c>
      <c r="K3969" t="s">
        <v>25</v>
      </c>
      <c r="L3969" t="s">
        <v>26</v>
      </c>
      <c r="M3969" t="s">
        <v>27</v>
      </c>
      <c r="N3969" s="1">
        <v>18629</v>
      </c>
      <c r="O3969">
        <v>0</v>
      </c>
      <c r="P3969">
        <v>0</v>
      </c>
      <c r="Q3969" t="s">
        <v>37</v>
      </c>
      <c r="R3969" t="s">
        <v>51</v>
      </c>
      <c r="S3969" s="2" t="s">
        <v>1568</v>
      </c>
      <c r="T3969" t="s">
        <v>1569</v>
      </c>
    </row>
    <row r="3970" spans="1:20" x14ac:dyDescent="0.25">
      <c r="A3970" t="s">
        <v>9341</v>
      </c>
      <c r="B3970" t="str">
        <f>"1821"</f>
        <v>1821</v>
      </c>
      <c r="C3970" t="str">
        <f>"302601821"</f>
        <v>302601821</v>
      </c>
      <c r="D3970" t="s">
        <v>9342</v>
      </c>
      <c r="E3970" t="s">
        <v>5442</v>
      </c>
      <c r="F3970" t="s">
        <v>9343</v>
      </c>
      <c r="G3970" s="1">
        <v>22665</v>
      </c>
      <c r="H3970" s="1">
        <v>38222</v>
      </c>
      <c r="I3970" t="str">
        <f>"51"</f>
        <v>51</v>
      </c>
      <c r="J3970" t="s">
        <v>471</v>
      </c>
      <c r="K3970" t="s">
        <v>25</v>
      </c>
      <c r="L3970" t="s">
        <v>26</v>
      </c>
      <c r="M3970" t="s">
        <v>27</v>
      </c>
      <c r="N3970" s="1">
        <v>18629</v>
      </c>
      <c r="O3970">
        <v>0</v>
      </c>
      <c r="P3970">
        <v>0</v>
      </c>
      <c r="Q3970" t="s">
        <v>37</v>
      </c>
      <c r="R3970" t="s">
        <v>71</v>
      </c>
      <c r="S3970" t="s">
        <v>1474</v>
      </c>
      <c r="T3970" t="s">
        <v>1475</v>
      </c>
    </row>
    <row r="3971" spans="1:20" x14ac:dyDescent="0.25">
      <c r="A3971" t="s">
        <v>9344</v>
      </c>
      <c r="B3971" t="str">
        <f>"3283"</f>
        <v>3283</v>
      </c>
      <c r="C3971" t="str">
        <f>"290823283"</f>
        <v>290823283</v>
      </c>
      <c r="D3971" t="s">
        <v>9345</v>
      </c>
      <c r="E3971" t="s">
        <v>179</v>
      </c>
      <c r="F3971" t="s">
        <v>556</v>
      </c>
      <c r="G3971" s="1">
        <v>25219</v>
      </c>
      <c r="H3971" s="1">
        <v>38222</v>
      </c>
      <c r="I3971" t="str">
        <f>"20"</f>
        <v>20</v>
      </c>
      <c r="J3971" t="s">
        <v>123</v>
      </c>
      <c r="K3971" t="s">
        <v>98</v>
      </c>
      <c r="L3971" t="s">
        <v>37</v>
      </c>
      <c r="M3971" t="s">
        <v>99</v>
      </c>
      <c r="N3971" s="1">
        <v>41631</v>
      </c>
      <c r="O3971">
        <v>14801.82</v>
      </c>
      <c r="P3971">
        <v>3700.4</v>
      </c>
      <c r="Q3971" t="s">
        <v>28</v>
      </c>
      <c r="R3971" t="s">
        <v>29</v>
      </c>
      <c r="S3971" t="s">
        <v>589</v>
      </c>
      <c r="T3971" t="s">
        <v>590</v>
      </c>
    </row>
    <row r="3972" spans="1:20" x14ac:dyDescent="0.25">
      <c r="A3972" t="s">
        <v>9346</v>
      </c>
      <c r="B3972" t="str">
        <f>"3261"</f>
        <v>3261</v>
      </c>
      <c r="C3972" t="str">
        <f>"278503261"</f>
        <v>278503261</v>
      </c>
      <c r="D3972" t="s">
        <v>9347</v>
      </c>
      <c r="E3972" t="s">
        <v>82</v>
      </c>
      <c r="F3972" t="s">
        <v>97</v>
      </c>
      <c r="G3972" s="1">
        <v>18298</v>
      </c>
      <c r="H3972" s="1">
        <v>38222</v>
      </c>
      <c r="I3972" t="str">
        <f t="shared" ref="I3972:I3985" si="88">"51"</f>
        <v>51</v>
      </c>
      <c r="J3972" t="s">
        <v>471</v>
      </c>
      <c r="K3972" t="s">
        <v>25</v>
      </c>
      <c r="L3972" t="s">
        <v>26</v>
      </c>
      <c r="M3972" t="s">
        <v>27</v>
      </c>
      <c r="N3972" s="1">
        <v>18629</v>
      </c>
      <c r="O3972">
        <v>0</v>
      </c>
      <c r="P3972">
        <v>0</v>
      </c>
      <c r="Q3972" t="s">
        <v>37</v>
      </c>
      <c r="R3972" t="s">
        <v>51</v>
      </c>
      <c r="S3972" t="s">
        <v>1547</v>
      </c>
      <c r="T3972" t="s">
        <v>1548</v>
      </c>
    </row>
    <row r="3973" spans="1:20" x14ac:dyDescent="0.25">
      <c r="A3973" t="s">
        <v>9348</v>
      </c>
      <c r="B3973" t="str">
        <f>"7532"</f>
        <v>7532</v>
      </c>
      <c r="C3973" t="str">
        <f>"174487532"</f>
        <v>174487532</v>
      </c>
      <c r="D3973" t="s">
        <v>9349</v>
      </c>
      <c r="E3973" t="s">
        <v>1981</v>
      </c>
      <c r="F3973" t="s">
        <v>93</v>
      </c>
      <c r="G3973" s="1">
        <v>20545</v>
      </c>
      <c r="H3973" s="1">
        <v>38222</v>
      </c>
      <c r="I3973" t="str">
        <f t="shared" si="88"/>
        <v>51</v>
      </c>
      <c r="J3973" t="s">
        <v>471</v>
      </c>
      <c r="K3973" t="s">
        <v>25</v>
      </c>
      <c r="L3973" t="s">
        <v>26</v>
      </c>
      <c r="M3973" t="s">
        <v>27</v>
      </c>
      <c r="N3973" s="1">
        <v>18629</v>
      </c>
      <c r="O3973">
        <v>0</v>
      </c>
      <c r="P3973">
        <v>0</v>
      </c>
      <c r="Q3973" t="s">
        <v>37</v>
      </c>
      <c r="R3973" t="s">
        <v>29</v>
      </c>
      <c r="S3973" t="s">
        <v>1422</v>
      </c>
      <c r="T3973" t="s">
        <v>1423</v>
      </c>
    </row>
    <row r="3974" spans="1:20" x14ac:dyDescent="0.25">
      <c r="A3974" t="s">
        <v>9350</v>
      </c>
      <c r="B3974" t="str">
        <f>"5267"</f>
        <v>5267</v>
      </c>
      <c r="C3974" t="str">
        <f>"280665267"</f>
        <v>280665267</v>
      </c>
      <c r="D3974" t="s">
        <v>9351</v>
      </c>
      <c r="E3974" t="s">
        <v>609</v>
      </c>
      <c r="F3974" t="s">
        <v>26</v>
      </c>
      <c r="G3974" s="1">
        <v>22401</v>
      </c>
      <c r="H3974" s="1">
        <v>38222</v>
      </c>
      <c r="I3974" t="str">
        <f t="shared" si="88"/>
        <v>51</v>
      </c>
      <c r="J3974" t="s">
        <v>471</v>
      </c>
      <c r="K3974" t="s">
        <v>25</v>
      </c>
      <c r="L3974" t="s">
        <v>26</v>
      </c>
      <c r="M3974" t="s">
        <v>27</v>
      </c>
      <c r="N3974" s="1">
        <v>18629</v>
      </c>
      <c r="O3974">
        <v>0</v>
      </c>
      <c r="P3974">
        <v>0</v>
      </c>
      <c r="Q3974" t="s">
        <v>28</v>
      </c>
      <c r="R3974" t="s">
        <v>51</v>
      </c>
      <c r="S3974" s="2" t="s">
        <v>2524</v>
      </c>
      <c r="T3974" t="s">
        <v>2525</v>
      </c>
    </row>
    <row r="3975" spans="1:20" x14ac:dyDescent="0.25">
      <c r="A3975" t="s">
        <v>9352</v>
      </c>
      <c r="B3975" t="str">
        <f>"6666"</f>
        <v>6666</v>
      </c>
      <c r="C3975" t="str">
        <f>"179426666"</f>
        <v>179426666</v>
      </c>
      <c r="D3975" t="s">
        <v>9353</v>
      </c>
      <c r="E3975" t="s">
        <v>263</v>
      </c>
      <c r="F3975" t="s">
        <v>97</v>
      </c>
      <c r="G3975" s="1">
        <v>18467</v>
      </c>
      <c r="H3975" s="1">
        <v>38222</v>
      </c>
      <c r="I3975" t="str">
        <f t="shared" si="88"/>
        <v>51</v>
      </c>
      <c r="J3975" t="s">
        <v>471</v>
      </c>
      <c r="K3975" t="s">
        <v>25</v>
      </c>
      <c r="L3975" t="s">
        <v>26</v>
      </c>
      <c r="M3975" t="s">
        <v>27</v>
      </c>
      <c r="N3975" s="1">
        <v>18629</v>
      </c>
      <c r="O3975">
        <v>0</v>
      </c>
      <c r="P3975">
        <v>0</v>
      </c>
      <c r="Q3975" t="s">
        <v>28</v>
      </c>
      <c r="R3975" t="s">
        <v>29</v>
      </c>
      <c r="S3975" t="s">
        <v>765</v>
      </c>
      <c r="T3975" t="s">
        <v>766</v>
      </c>
    </row>
    <row r="3976" spans="1:20" x14ac:dyDescent="0.25">
      <c r="A3976" t="s">
        <v>9354</v>
      </c>
      <c r="B3976" t="str">
        <f>"3681"</f>
        <v>3681</v>
      </c>
      <c r="C3976" t="str">
        <f>"284483681"</f>
        <v>284483681</v>
      </c>
      <c r="D3976" t="s">
        <v>8691</v>
      </c>
      <c r="E3976" t="s">
        <v>2519</v>
      </c>
      <c r="F3976" t="s">
        <v>256</v>
      </c>
      <c r="G3976" s="1">
        <v>22764</v>
      </c>
      <c r="H3976" s="1">
        <v>38222</v>
      </c>
      <c r="I3976" t="str">
        <f t="shared" si="88"/>
        <v>51</v>
      </c>
      <c r="J3976" t="s">
        <v>471</v>
      </c>
      <c r="K3976" t="s">
        <v>25</v>
      </c>
      <c r="L3976" t="s">
        <v>26</v>
      </c>
      <c r="M3976" t="s">
        <v>27</v>
      </c>
      <c r="N3976" s="1">
        <v>18629</v>
      </c>
      <c r="O3976">
        <v>0</v>
      </c>
      <c r="P3976">
        <v>0</v>
      </c>
      <c r="Q3976" t="s">
        <v>37</v>
      </c>
      <c r="R3976" t="s">
        <v>71</v>
      </c>
      <c r="S3976" t="s">
        <v>2458</v>
      </c>
      <c r="T3976" t="s">
        <v>2459</v>
      </c>
    </row>
    <row r="3977" spans="1:20" x14ac:dyDescent="0.25">
      <c r="A3977" t="s">
        <v>9355</v>
      </c>
      <c r="B3977" t="str">
        <f>"9247"</f>
        <v>9247</v>
      </c>
      <c r="C3977" t="str">
        <f>"272569247"</f>
        <v>272569247</v>
      </c>
      <c r="D3977" t="s">
        <v>9356</v>
      </c>
      <c r="E3977" t="s">
        <v>944</v>
      </c>
      <c r="F3977" t="s">
        <v>156</v>
      </c>
      <c r="G3977" s="1">
        <v>23057</v>
      </c>
      <c r="H3977" s="1">
        <v>38222</v>
      </c>
      <c r="I3977" t="str">
        <f t="shared" si="88"/>
        <v>51</v>
      </c>
      <c r="J3977" t="s">
        <v>471</v>
      </c>
      <c r="K3977" t="s">
        <v>25</v>
      </c>
      <c r="L3977" t="s">
        <v>26</v>
      </c>
      <c r="M3977" t="s">
        <v>27</v>
      </c>
      <c r="N3977" s="1">
        <v>18629</v>
      </c>
      <c r="O3977">
        <v>0</v>
      </c>
      <c r="P3977">
        <v>0</v>
      </c>
      <c r="Q3977" t="s">
        <v>28</v>
      </c>
      <c r="R3977" t="s">
        <v>29</v>
      </c>
      <c r="S3977" t="s">
        <v>589</v>
      </c>
      <c r="T3977" t="s">
        <v>590</v>
      </c>
    </row>
    <row r="3978" spans="1:20" x14ac:dyDescent="0.25">
      <c r="A3978" t="s">
        <v>9357</v>
      </c>
      <c r="B3978" t="str">
        <f>"9411"</f>
        <v>9411</v>
      </c>
      <c r="C3978" t="str">
        <f>"274349411"</f>
        <v>274349411</v>
      </c>
      <c r="D3978" t="s">
        <v>9358</v>
      </c>
      <c r="E3978" t="s">
        <v>1639</v>
      </c>
      <c r="F3978" t="s">
        <v>9359</v>
      </c>
      <c r="G3978" s="1">
        <v>13412</v>
      </c>
      <c r="H3978" s="1">
        <v>38222</v>
      </c>
      <c r="I3978" t="str">
        <f t="shared" si="88"/>
        <v>51</v>
      </c>
      <c r="J3978" t="s">
        <v>471</v>
      </c>
      <c r="K3978" t="s">
        <v>25</v>
      </c>
      <c r="L3978" t="s">
        <v>26</v>
      </c>
      <c r="M3978" t="s">
        <v>27</v>
      </c>
      <c r="N3978" s="1">
        <v>18629</v>
      </c>
      <c r="O3978">
        <v>0</v>
      </c>
      <c r="P3978">
        <v>0</v>
      </c>
      <c r="Q3978" t="s">
        <v>28</v>
      </c>
      <c r="R3978" t="s">
        <v>71</v>
      </c>
      <c r="S3978" t="s">
        <v>2590</v>
      </c>
      <c r="T3978" t="s">
        <v>2591</v>
      </c>
    </row>
    <row r="3979" spans="1:20" x14ac:dyDescent="0.25">
      <c r="A3979" t="s">
        <v>9360</v>
      </c>
      <c r="B3979" t="str">
        <f>"5343"</f>
        <v>5343</v>
      </c>
      <c r="C3979" t="str">
        <f>"292525343"</f>
        <v>292525343</v>
      </c>
      <c r="D3979" t="s">
        <v>3263</v>
      </c>
      <c r="E3979" t="s">
        <v>675</v>
      </c>
      <c r="F3979" t="s">
        <v>93</v>
      </c>
      <c r="G3979" s="1">
        <v>18943</v>
      </c>
      <c r="H3979" s="1">
        <v>38222</v>
      </c>
      <c r="I3979" t="str">
        <f t="shared" si="88"/>
        <v>51</v>
      </c>
      <c r="J3979" t="s">
        <v>471</v>
      </c>
      <c r="K3979" t="s">
        <v>25</v>
      </c>
      <c r="L3979" t="s">
        <v>26</v>
      </c>
      <c r="M3979" t="s">
        <v>27</v>
      </c>
      <c r="N3979" s="1">
        <v>18629</v>
      </c>
      <c r="O3979">
        <v>0</v>
      </c>
      <c r="P3979">
        <v>0</v>
      </c>
      <c r="Q3979" t="s">
        <v>37</v>
      </c>
      <c r="R3979" t="s">
        <v>29</v>
      </c>
      <c r="S3979" t="s">
        <v>138</v>
      </c>
      <c r="T3979" t="s">
        <v>139</v>
      </c>
    </row>
    <row r="3980" spans="1:20" x14ac:dyDescent="0.25">
      <c r="A3980" t="s">
        <v>9361</v>
      </c>
      <c r="B3980" t="str">
        <f>"8400"</f>
        <v>8400</v>
      </c>
      <c r="C3980" t="str">
        <f>"561888400"</f>
        <v>561888400</v>
      </c>
      <c r="D3980" t="s">
        <v>9362</v>
      </c>
      <c r="E3980" t="s">
        <v>48</v>
      </c>
      <c r="F3980" t="s">
        <v>44</v>
      </c>
      <c r="G3980" s="1">
        <v>18664</v>
      </c>
      <c r="H3980" s="1">
        <v>38222</v>
      </c>
      <c r="I3980" t="str">
        <f t="shared" si="88"/>
        <v>51</v>
      </c>
      <c r="J3980" t="s">
        <v>471</v>
      </c>
      <c r="K3980" t="s">
        <v>25</v>
      </c>
      <c r="L3980" t="s">
        <v>26</v>
      </c>
      <c r="M3980" t="s">
        <v>27</v>
      </c>
      <c r="N3980" s="1">
        <v>18629</v>
      </c>
      <c r="O3980">
        <v>0</v>
      </c>
      <c r="P3980">
        <v>0</v>
      </c>
      <c r="Q3980" t="s">
        <v>37</v>
      </c>
      <c r="R3980" t="s">
        <v>51</v>
      </c>
      <c r="S3980" s="2" t="s">
        <v>1508</v>
      </c>
      <c r="T3980" t="s">
        <v>1509</v>
      </c>
    </row>
    <row r="3981" spans="1:20" x14ac:dyDescent="0.25">
      <c r="A3981" t="s">
        <v>9363</v>
      </c>
      <c r="B3981" t="str">
        <f>"7281"</f>
        <v>7281</v>
      </c>
      <c r="C3981" t="str">
        <f>"290927281"</f>
        <v>290927281</v>
      </c>
      <c r="D3981" t="s">
        <v>9364</v>
      </c>
      <c r="E3981" t="s">
        <v>9365</v>
      </c>
      <c r="G3981" s="1">
        <v>26078</v>
      </c>
      <c r="H3981" s="1">
        <v>38222</v>
      </c>
      <c r="I3981" t="str">
        <f t="shared" si="88"/>
        <v>51</v>
      </c>
      <c r="J3981" t="s">
        <v>471</v>
      </c>
      <c r="K3981" t="s">
        <v>25</v>
      </c>
      <c r="L3981" t="s">
        <v>26</v>
      </c>
      <c r="M3981" t="s">
        <v>27</v>
      </c>
      <c r="N3981" s="1">
        <v>18629</v>
      </c>
      <c r="O3981">
        <v>0</v>
      </c>
      <c r="P3981">
        <v>0</v>
      </c>
      <c r="Q3981" t="s">
        <v>28</v>
      </c>
      <c r="R3981" t="s">
        <v>51</v>
      </c>
      <c r="S3981" s="2" t="s">
        <v>3136</v>
      </c>
      <c r="T3981" t="s">
        <v>3137</v>
      </c>
    </row>
    <row r="3982" spans="1:20" x14ac:dyDescent="0.25">
      <c r="A3982" t="s">
        <v>9366</v>
      </c>
      <c r="B3982" t="str">
        <f>"7419"</f>
        <v>7419</v>
      </c>
      <c r="C3982" t="str">
        <f>"270887419"</f>
        <v>270887419</v>
      </c>
      <c r="D3982" t="s">
        <v>9367</v>
      </c>
      <c r="E3982" t="s">
        <v>1883</v>
      </c>
      <c r="F3982" t="s">
        <v>28</v>
      </c>
      <c r="G3982" s="1">
        <v>29224</v>
      </c>
      <c r="H3982" s="1">
        <v>38222</v>
      </c>
      <c r="I3982" t="str">
        <f t="shared" si="88"/>
        <v>51</v>
      </c>
      <c r="J3982" t="s">
        <v>471</v>
      </c>
      <c r="K3982" t="s">
        <v>25</v>
      </c>
      <c r="L3982" t="s">
        <v>26</v>
      </c>
      <c r="M3982" t="s">
        <v>27</v>
      </c>
      <c r="N3982" s="1">
        <v>18629</v>
      </c>
      <c r="O3982">
        <v>0</v>
      </c>
      <c r="P3982">
        <v>0</v>
      </c>
      <c r="Q3982" t="s">
        <v>37</v>
      </c>
      <c r="R3982" t="s">
        <v>51</v>
      </c>
      <c r="S3982" s="2" t="s">
        <v>1568</v>
      </c>
      <c r="T3982" t="s">
        <v>1569</v>
      </c>
    </row>
    <row r="3983" spans="1:20" x14ac:dyDescent="0.25">
      <c r="A3983" t="s">
        <v>9368</v>
      </c>
      <c r="B3983" t="str">
        <f>"5176"</f>
        <v>5176</v>
      </c>
      <c r="C3983" t="str">
        <f>"279685176"</f>
        <v>279685176</v>
      </c>
      <c r="D3983" t="s">
        <v>2705</v>
      </c>
      <c r="E3983" t="s">
        <v>1049</v>
      </c>
      <c r="F3983" t="s">
        <v>28</v>
      </c>
      <c r="G3983" s="1">
        <v>25457</v>
      </c>
      <c r="H3983" s="1">
        <v>38222</v>
      </c>
      <c r="I3983" t="str">
        <f t="shared" si="88"/>
        <v>51</v>
      </c>
      <c r="J3983" t="s">
        <v>471</v>
      </c>
      <c r="K3983" t="s">
        <v>25</v>
      </c>
      <c r="L3983" t="s">
        <v>26</v>
      </c>
      <c r="M3983" t="s">
        <v>27</v>
      </c>
      <c r="N3983" s="1">
        <v>18629</v>
      </c>
      <c r="O3983">
        <v>0</v>
      </c>
      <c r="P3983">
        <v>0</v>
      </c>
      <c r="Q3983" t="s">
        <v>28</v>
      </c>
      <c r="R3983" t="s">
        <v>71</v>
      </c>
      <c r="S3983" s="2" t="s">
        <v>6030</v>
      </c>
      <c r="T3983" t="s">
        <v>6031</v>
      </c>
    </row>
    <row r="3984" spans="1:20" x14ac:dyDescent="0.25">
      <c r="A3984" t="s">
        <v>9369</v>
      </c>
      <c r="B3984" t="str">
        <f>"4509"</f>
        <v>4509</v>
      </c>
      <c r="C3984" t="str">
        <f>"298424509"</f>
        <v>298424509</v>
      </c>
      <c r="D3984" t="s">
        <v>9124</v>
      </c>
      <c r="E3984" t="s">
        <v>184</v>
      </c>
      <c r="F3984" t="s">
        <v>44</v>
      </c>
      <c r="G3984" s="1">
        <v>21052</v>
      </c>
      <c r="H3984" s="1">
        <v>38222</v>
      </c>
      <c r="I3984" t="str">
        <f t="shared" si="88"/>
        <v>51</v>
      </c>
      <c r="J3984" t="s">
        <v>471</v>
      </c>
      <c r="K3984" t="s">
        <v>25</v>
      </c>
      <c r="L3984" t="s">
        <v>26</v>
      </c>
      <c r="M3984" t="s">
        <v>27</v>
      </c>
      <c r="N3984" s="1">
        <v>18629</v>
      </c>
      <c r="O3984">
        <v>0</v>
      </c>
      <c r="P3984">
        <v>0</v>
      </c>
      <c r="Q3984" t="s">
        <v>37</v>
      </c>
      <c r="R3984" t="s">
        <v>29</v>
      </c>
      <c r="S3984" t="s">
        <v>1474</v>
      </c>
      <c r="T3984" t="s">
        <v>1475</v>
      </c>
    </row>
    <row r="3985" spans="1:20" x14ac:dyDescent="0.25">
      <c r="A3985" t="s">
        <v>9370</v>
      </c>
      <c r="B3985" t="str">
        <f>"6184"</f>
        <v>6184</v>
      </c>
      <c r="C3985" t="str">
        <f>"270806184"</f>
        <v>270806184</v>
      </c>
      <c r="D3985" t="s">
        <v>9371</v>
      </c>
      <c r="E3985" t="s">
        <v>9372</v>
      </c>
      <c r="F3985" t="s">
        <v>2075</v>
      </c>
      <c r="G3985" s="1">
        <v>22737</v>
      </c>
      <c r="H3985" s="1">
        <v>38215</v>
      </c>
      <c r="I3985" t="str">
        <f t="shared" si="88"/>
        <v>51</v>
      </c>
      <c r="J3985" t="s">
        <v>471</v>
      </c>
      <c r="K3985" t="s">
        <v>25</v>
      </c>
      <c r="L3985" t="s">
        <v>26</v>
      </c>
      <c r="M3985" t="s">
        <v>27</v>
      </c>
      <c r="N3985" s="1">
        <v>18629</v>
      </c>
      <c r="O3985">
        <v>0</v>
      </c>
      <c r="P3985">
        <v>0</v>
      </c>
      <c r="Q3985" t="s">
        <v>28</v>
      </c>
      <c r="R3985" t="s">
        <v>29</v>
      </c>
      <c r="S3985" t="s">
        <v>1555</v>
      </c>
      <c r="T3985" t="s">
        <v>1556</v>
      </c>
    </row>
    <row r="3986" spans="1:20" x14ac:dyDescent="0.25">
      <c r="A3986" t="s">
        <v>9373</v>
      </c>
      <c r="B3986" t="str">
        <f>"7529"</f>
        <v>7529</v>
      </c>
      <c r="C3986" t="str">
        <f>"270667529"</f>
        <v>270667529</v>
      </c>
      <c r="D3986" t="s">
        <v>8199</v>
      </c>
      <c r="E3986" t="s">
        <v>675</v>
      </c>
      <c r="F3986" t="s">
        <v>345</v>
      </c>
      <c r="G3986" s="1">
        <v>22782</v>
      </c>
      <c r="H3986" s="1">
        <v>38215</v>
      </c>
      <c r="I3986" t="str">
        <f>"15"</f>
        <v>15</v>
      </c>
      <c r="J3986" t="s">
        <v>36</v>
      </c>
      <c r="K3986" t="s">
        <v>175</v>
      </c>
      <c r="L3986" t="s">
        <v>37</v>
      </c>
      <c r="M3986" t="s">
        <v>99</v>
      </c>
      <c r="N3986" s="1">
        <v>41617</v>
      </c>
      <c r="O3986">
        <v>16411.72</v>
      </c>
      <c r="P3986">
        <v>4102.8</v>
      </c>
      <c r="Q3986" t="s">
        <v>37</v>
      </c>
      <c r="R3986" t="s">
        <v>29</v>
      </c>
      <c r="S3986" t="s">
        <v>550</v>
      </c>
      <c r="T3986" t="s">
        <v>551</v>
      </c>
    </row>
    <row r="3987" spans="1:20" x14ac:dyDescent="0.25">
      <c r="A3987" t="s">
        <v>9374</v>
      </c>
      <c r="B3987" t="str">
        <f>"9600"</f>
        <v>9600</v>
      </c>
      <c r="C3987" t="str">
        <f>"286529600"</f>
        <v>286529600</v>
      </c>
      <c r="D3987" t="s">
        <v>9375</v>
      </c>
      <c r="E3987" t="s">
        <v>197</v>
      </c>
      <c r="F3987" t="s">
        <v>9376</v>
      </c>
      <c r="G3987" s="1">
        <v>19747</v>
      </c>
      <c r="H3987" s="1">
        <v>38215</v>
      </c>
      <c r="I3987" t="str">
        <f>"15"</f>
        <v>15</v>
      </c>
      <c r="J3987" t="s">
        <v>36</v>
      </c>
      <c r="K3987" t="s">
        <v>98</v>
      </c>
      <c r="L3987" t="s">
        <v>37</v>
      </c>
      <c r="M3987" t="s">
        <v>257</v>
      </c>
      <c r="N3987" s="1">
        <v>41617</v>
      </c>
      <c r="O3987">
        <v>10753.08</v>
      </c>
      <c r="P3987">
        <v>2688.4</v>
      </c>
      <c r="Q3987" t="s">
        <v>28</v>
      </c>
      <c r="R3987" t="s">
        <v>71</v>
      </c>
      <c r="S3987" t="s">
        <v>373</v>
      </c>
      <c r="T3987" t="s">
        <v>374</v>
      </c>
    </row>
    <row r="3988" spans="1:20" x14ac:dyDescent="0.25">
      <c r="A3988" t="s">
        <v>9377</v>
      </c>
      <c r="B3988" t="str">
        <f>"0893"</f>
        <v>0893</v>
      </c>
      <c r="C3988" t="str">
        <f>"564850893"</f>
        <v>564850893</v>
      </c>
      <c r="D3988" t="s">
        <v>9378</v>
      </c>
      <c r="E3988" t="s">
        <v>9379</v>
      </c>
      <c r="G3988" s="1">
        <v>20528</v>
      </c>
      <c r="H3988" s="1">
        <v>38215</v>
      </c>
      <c r="I3988" t="str">
        <f>"15"</f>
        <v>15</v>
      </c>
      <c r="J3988" t="s">
        <v>36</v>
      </c>
      <c r="K3988" t="s">
        <v>98</v>
      </c>
      <c r="L3988" t="s">
        <v>37</v>
      </c>
      <c r="M3988" t="s">
        <v>99</v>
      </c>
      <c r="N3988" s="1">
        <v>41617</v>
      </c>
      <c r="O3988">
        <v>14801.8</v>
      </c>
      <c r="P3988">
        <v>3700.32</v>
      </c>
      <c r="Q3988" t="s">
        <v>28</v>
      </c>
      <c r="R3988" t="s">
        <v>29</v>
      </c>
      <c r="S3988" t="s">
        <v>240</v>
      </c>
      <c r="T3988" t="s">
        <v>241</v>
      </c>
    </row>
    <row r="3989" spans="1:20" x14ac:dyDescent="0.25">
      <c r="A3989" t="s">
        <v>9380</v>
      </c>
      <c r="B3989" t="str">
        <f>"9903"</f>
        <v>9903</v>
      </c>
      <c r="C3989" t="str">
        <f>"280609903"</f>
        <v>280609903</v>
      </c>
      <c r="D3989" t="s">
        <v>1732</v>
      </c>
      <c r="E3989" t="s">
        <v>1639</v>
      </c>
      <c r="F3989" t="s">
        <v>69</v>
      </c>
      <c r="G3989" s="1">
        <v>22034</v>
      </c>
      <c r="H3989" s="1">
        <v>38215</v>
      </c>
      <c r="I3989" t="str">
        <f>"15"</f>
        <v>15</v>
      </c>
      <c r="J3989" t="s">
        <v>36</v>
      </c>
      <c r="K3989" t="s">
        <v>98</v>
      </c>
      <c r="L3989" t="s">
        <v>37</v>
      </c>
      <c r="M3989" t="s">
        <v>257</v>
      </c>
      <c r="N3989" s="1">
        <v>41827</v>
      </c>
      <c r="O3989">
        <v>10753.08</v>
      </c>
      <c r="P3989">
        <v>2688.4</v>
      </c>
      <c r="Q3989" t="s">
        <v>28</v>
      </c>
      <c r="R3989" t="s">
        <v>29</v>
      </c>
      <c r="S3989" t="s">
        <v>1777</v>
      </c>
      <c r="T3989" t="s">
        <v>1778</v>
      </c>
    </row>
    <row r="3990" spans="1:20" x14ac:dyDescent="0.25">
      <c r="A3990" t="s">
        <v>9381</v>
      </c>
      <c r="B3990" t="str">
        <f>"6093"</f>
        <v>6093</v>
      </c>
      <c r="C3990" t="str">
        <f>"275566093"</f>
        <v>275566093</v>
      </c>
      <c r="D3990" t="s">
        <v>9382</v>
      </c>
      <c r="E3990" t="s">
        <v>2047</v>
      </c>
      <c r="F3990" t="s">
        <v>93</v>
      </c>
      <c r="G3990" s="1">
        <v>23628</v>
      </c>
      <c r="H3990" s="1">
        <v>38215</v>
      </c>
      <c r="I3990" t="str">
        <f>"15"</f>
        <v>15</v>
      </c>
      <c r="J3990" t="s">
        <v>36</v>
      </c>
      <c r="K3990" t="s">
        <v>98</v>
      </c>
      <c r="L3990" t="s">
        <v>37</v>
      </c>
      <c r="M3990" t="s">
        <v>117</v>
      </c>
      <c r="N3990" s="1">
        <v>41617</v>
      </c>
      <c r="O3990">
        <v>4951.96</v>
      </c>
      <c r="P3990">
        <v>1237.8599999999999</v>
      </c>
      <c r="Q3990" t="s">
        <v>28</v>
      </c>
      <c r="R3990" t="s">
        <v>29</v>
      </c>
      <c r="S3990" t="s">
        <v>1777</v>
      </c>
      <c r="T3990" t="s">
        <v>1778</v>
      </c>
    </row>
    <row r="3991" spans="1:20" x14ac:dyDescent="0.25">
      <c r="A3991" t="s">
        <v>9383</v>
      </c>
      <c r="B3991" t="str">
        <f>"6013"</f>
        <v>6013</v>
      </c>
      <c r="C3991" t="str">
        <f>"269506013"</f>
        <v>269506013</v>
      </c>
      <c r="D3991" t="s">
        <v>9384</v>
      </c>
      <c r="E3991" t="s">
        <v>769</v>
      </c>
      <c r="F3991" t="s">
        <v>256</v>
      </c>
      <c r="G3991" s="1">
        <v>18494</v>
      </c>
      <c r="H3991" s="1">
        <v>38215</v>
      </c>
      <c r="I3991" t="str">
        <f>"03"</f>
        <v>03</v>
      </c>
      <c r="J3991" t="s">
        <v>70</v>
      </c>
      <c r="K3991" t="s">
        <v>98</v>
      </c>
      <c r="L3991" t="s">
        <v>37</v>
      </c>
      <c r="M3991" t="s">
        <v>257</v>
      </c>
      <c r="N3991" s="1">
        <v>41617</v>
      </c>
      <c r="O3991">
        <v>10753.08</v>
      </c>
      <c r="P3991">
        <v>2688.4</v>
      </c>
      <c r="Q3991" t="s">
        <v>37</v>
      </c>
      <c r="R3991" t="s">
        <v>29</v>
      </c>
      <c r="S3991" t="s">
        <v>2732</v>
      </c>
      <c r="T3991" t="s">
        <v>2733</v>
      </c>
    </row>
    <row r="3992" spans="1:20" x14ac:dyDescent="0.25">
      <c r="A3992" t="s">
        <v>9385</v>
      </c>
      <c r="B3992" t="str">
        <f>"6914"</f>
        <v>6914</v>
      </c>
      <c r="C3992" t="str">
        <f>"301666914"</f>
        <v>301666914</v>
      </c>
      <c r="D3992" t="s">
        <v>1437</v>
      </c>
      <c r="E3992" t="s">
        <v>35</v>
      </c>
      <c r="F3992" t="s">
        <v>44</v>
      </c>
      <c r="G3992" s="1">
        <v>22789</v>
      </c>
      <c r="H3992" s="1">
        <v>38215</v>
      </c>
      <c r="I3992" t="str">
        <f>"08"</f>
        <v>08</v>
      </c>
      <c r="J3992" t="s">
        <v>265</v>
      </c>
      <c r="K3992" t="s">
        <v>98</v>
      </c>
      <c r="L3992" t="s">
        <v>37</v>
      </c>
      <c r="M3992" t="s">
        <v>99</v>
      </c>
      <c r="N3992" s="1">
        <v>41617</v>
      </c>
      <c r="O3992">
        <v>14801.8</v>
      </c>
      <c r="P3992">
        <v>3700.32</v>
      </c>
      <c r="Q3992" t="s">
        <v>28</v>
      </c>
      <c r="R3992" t="s">
        <v>29</v>
      </c>
      <c r="S3992" t="s">
        <v>266</v>
      </c>
      <c r="T3992" t="s">
        <v>267</v>
      </c>
    </row>
    <row r="3993" spans="1:20" x14ac:dyDescent="0.25">
      <c r="A3993" t="s">
        <v>9386</v>
      </c>
      <c r="B3993" t="str">
        <f>"8330"</f>
        <v>8330</v>
      </c>
      <c r="C3993" t="str">
        <f>"297568330"</f>
        <v>297568330</v>
      </c>
      <c r="D3993" t="s">
        <v>9387</v>
      </c>
      <c r="E3993" t="s">
        <v>9388</v>
      </c>
      <c r="F3993" t="s">
        <v>264</v>
      </c>
      <c r="G3993" s="1">
        <v>20940</v>
      </c>
      <c r="H3993" s="1">
        <v>38215</v>
      </c>
      <c r="I3993" t="str">
        <f>"15"</f>
        <v>15</v>
      </c>
      <c r="J3993" t="s">
        <v>36</v>
      </c>
      <c r="K3993" t="s">
        <v>98</v>
      </c>
      <c r="L3993" t="s">
        <v>37</v>
      </c>
      <c r="M3993" t="s">
        <v>257</v>
      </c>
      <c r="N3993" s="1">
        <v>41617</v>
      </c>
      <c r="O3993">
        <v>10753.08</v>
      </c>
      <c r="P3993">
        <v>2688.4</v>
      </c>
      <c r="Q3993" t="s">
        <v>37</v>
      </c>
      <c r="R3993" t="s">
        <v>29</v>
      </c>
      <c r="S3993" t="s">
        <v>9389</v>
      </c>
      <c r="T3993" t="s">
        <v>9390</v>
      </c>
    </row>
    <row r="3994" spans="1:20" x14ac:dyDescent="0.25">
      <c r="A3994" t="s">
        <v>9391</v>
      </c>
      <c r="B3994" t="str">
        <f>"3831"</f>
        <v>3831</v>
      </c>
      <c r="C3994" t="str">
        <f>"572653831"</f>
        <v>572653831</v>
      </c>
      <c r="D3994" t="s">
        <v>9392</v>
      </c>
      <c r="E3994" t="s">
        <v>231</v>
      </c>
      <c r="F3994" t="s">
        <v>28</v>
      </c>
      <c r="G3994" s="1">
        <v>23271</v>
      </c>
      <c r="H3994" s="1">
        <v>38215</v>
      </c>
      <c r="I3994" t="str">
        <f>"03"</f>
        <v>03</v>
      </c>
      <c r="J3994" t="s">
        <v>70</v>
      </c>
      <c r="K3994" t="s">
        <v>175</v>
      </c>
      <c r="L3994" t="s">
        <v>37</v>
      </c>
      <c r="M3994" t="s">
        <v>99</v>
      </c>
      <c r="N3994" s="1">
        <v>41617</v>
      </c>
      <c r="O3994">
        <v>16411.72</v>
      </c>
      <c r="P3994">
        <v>4102.8</v>
      </c>
      <c r="Q3994" t="s">
        <v>37</v>
      </c>
      <c r="R3994" t="s">
        <v>312</v>
      </c>
      <c r="S3994" t="s">
        <v>3935</v>
      </c>
      <c r="T3994" t="s">
        <v>3936</v>
      </c>
    </row>
    <row r="3995" spans="1:20" x14ac:dyDescent="0.25">
      <c r="A3995" t="s">
        <v>9393</v>
      </c>
      <c r="B3995" t="str">
        <f>"2613"</f>
        <v>2613</v>
      </c>
      <c r="C3995" t="str">
        <f>"280682613"</f>
        <v>280682613</v>
      </c>
      <c r="D3995" t="s">
        <v>9394</v>
      </c>
      <c r="E3995" t="s">
        <v>9395</v>
      </c>
      <c r="G3995" s="1">
        <v>22132</v>
      </c>
      <c r="H3995" s="1">
        <v>38215</v>
      </c>
      <c r="I3995" t="str">
        <f>"15"</f>
        <v>15</v>
      </c>
      <c r="J3995" t="s">
        <v>36</v>
      </c>
      <c r="K3995" t="s">
        <v>98</v>
      </c>
      <c r="L3995" t="s">
        <v>37</v>
      </c>
      <c r="M3995" t="s">
        <v>117</v>
      </c>
      <c r="N3995" s="1">
        <v>41617</v>
      </c>
      <c r="O3995">
        <v>4951.96</v>
      </c>
      <c r="P3995">
        <v>1237.8599999999999</v>
      </c>
      <c r="Q3995" t="s">
        <v>37</v>
      </c>
      <c r="R3995" t="s">
        <v>110</v>
      </c>
      <c r="S3995" t="s">
        <v>482</v>
      </c>
      <c r="T3995" t="s">
        <v>483</v>
      </c>
    </row>
    <row r="3996" spans="1:20" x14ac:dyDescent="0.25">
      <c r="A3996" t="s">
        <v>9396</v>
      </c>
      <c r="B3996" t="str">
        <f>"7725"</f>
        <v>7725</v>
      </c>
      <c r="C3996" t="str">
        <f>"285927725"</f>
        <v>285927725</v>
      </c>
      <c r="D3996" t="s">
        <v>9397</v>
      </c>
      <c r="E3996" t="s">
        <v>2014</v>
      </c>
      <c r="G3996" s="1">
        <v>27381</v>
      </c>
      <c r="H3996" s="1">
        <v>38208</v>
      </c>
      <c r="I3996" t="str">
        <f t="shared" ref="I3996:I4008" si="89">"20"</f>
        <v>20</v>
      </c>
      <c r="J3996" t="s">
        <v>123</v>
      </c>
      <c r="K3996" t="s">
        <v>98</v>
      </c>
      <c r="L3996" t="s">
        <v>37</v>
      </c>
      <c r="M3996" t="s">
        <v>99</v>
      </c>
      <c r="N3996" s="1">
        <v>41645</v>
      </c>
      <c r="O3996">
        <v>14801.82</v>
      </c>
      <c r="P3996">
        <v>3700.4</v>
      </c>
      <c r="Q3996" t="s">
        <v>37</v>
      </c>
      <c r="R3996" t="s">
        <v>51</v>
      </c>
      <c r="S3996" s="2" t="s">
        <v>5804</v>
      </c>
      <c r="T3996" t="s">
        <v>5805</v>
      </c>
    </row>
    <row r="3997" spans="1:20" x14ac:dyDescent="0.25">
      <c r="A3997" t="s">
        <v>9398</v>
      </c>
      <c r="B3997" t="str">
        <f>"7675"</f>
        <v>7675</v>
      </c>
      <c r="C3997" t="str">
        <f>"300647675"</f>
        <v>300647675</v>
      </c>
      <c r="D3997" t="s">
        <v>9399</v>
      </c>
      <c r="E3997" t="s">
        <v>1722</v>
      </c>
      <c r="F3997" t="s">
        <v>165</v>
      </c>
      <c r="G3997" s="1">
        <v>21329</v>
      </c>
      <c r="H3997" s="1">
        <v>38208</v>
      </c>
      <c r="I3997" t="str">
        <f t="shared" si="89"/>
        <v>20</v>
      </c>
      <c r="J3997" t="s">
        <v>123</v>
      </c>
      <c r="K3997" t="s">
        <v>98</v>
      </c>
      <c r="L3997" t="s">
        <v>37</v>
      </c>
      <c r="M3997" t="s">
        <v>117</v>
      </c>
      <c r="N3997" s="1">
        <v>41631</v>
      </c>
      <c r="O3997">
        <v>4951.9799999999996</v>
      </c>
      <c r="P3997">
        <v>1237.94</v>
      </c>
      <c r="Q3997" t="s">
        <v>37</v>
      </c>
      <c r="R3997" t="s">
        <v>29</v>
      </c>
      <c r="S3997" t="s">
        <v>1572</v>
      </c>
      <c r="T3997" t="s">
        <v>1573</v>
      </c>
    </row>
    <row r="3998" spans="1:20" x14ac:dyDescent="0.25">
      <c r="A3998" t="s">
        <v>9400</v>
      </c>
      <c r="B3998" t="str">
        <f>"4569"</f>
        <v>4569</v>
      </c>
      <c r="C3998" t="str">
        <f>"270864569"</f>
        <v>270864569</v>
      </c>
      <c r="D3998" t="s">
        <v>9401</v>
      </c>
      <c r="E3998" t="s">
        <v>9402</v>
      </c>
      <c r="F3998" t="s">
        <v>414</v>
      </c>
      <c r="G3998" s="1">
        <v>27552</v>
      </c>
      <c r="H3998" s="1">
        <v>38208</v>
      </c>
      <c r="I3998" t="str">
        <f t="shared" si="89"/>
        <v>20</v>
      </c>
      <c r="J3998" t="s">
        <v>123</v>
      </c>
      <c r="K3998" t="s">
        <v>98</v>
      </c>
      <c r="L3998" t="s">
        <v>37</v>
      </c>
      <c r="M3998" t="s">
        <v>117</v>
      </c>
      <c r="N3998" s="1">
        <v>41631</v>
      </c>
      <c r="O3998">
        <v>4951.9799999999996</v>
      </c>
      <c r="P3998">
        <v>1237.94</v>
      </c>
      <c r="Q3998" t="s">
        <v>37</v>
      </c>
      <c r="R3998" t="s">
        <v>71</v>
      </c>
      <c r="S3998" t="s">
        <v>157</v>
      </c>
      <c r="T3998" t="s">
        <v>158</v>
      </c>
    </row>
    <row r="3999" spans="1:20" x14ac:dyDescent="0.25">
      <c r="A3999" t="s">
        <v>9403</v>
      </c>
      <c r="B3999" t="str">
        <f>"7095"</f>
        <v>7095</v>
      </c>
      <c r="C3999" t="str">
        <f>"299887095"</f>
        <v>299887095</v>
      </c>
      <c r="D3999" t="s">
        <v>9404</v>
      </c>
      <c r="E3999" t="s">
        <v>9405</v>
      </c>
      <c r="G3999" s="1">
        <v>14638</v>
      </c>
      <c r="H3999" s="1">
        <v>38208</v>
      </c>
      <c r="I3999" t="str">
        <f t="shared" si="89"/>
        <v>20</v>
      </c>
      <c r="J3999" t="s">
        <v>123</v>
      </c>
      <c r="K3999" t="s">
        <v>98</v>
      </c>
      <c r="L3999" t="s">
        <v>37</v>
      </c>
      <c r="M3999" t="s">
        <v>257</v>
      </c>
      <c r="N3999" s="1">
        <v>41631</v>
      </c>
      <c r="O3999">
        <v>10753.16</v>
      </c>
      <c r="P3999">
        <v>2688.4</v>
      </c>
      <c r="Q3999" t="s">
        <v>37</v>
      </c>
      <c r="R3999" t="s">
        <v>71</v>
      </c>
      <c r="S3999" t="s">
        <v>2458</v>
      </c>
      <c r="T3999" t="s">
        <v>2459</v>
      </c>
    </row>
    <row r="4000" spans="1:20" x14ac:dyDescent="0.25">
      <c r="A4000" t="s">
        <v>9406</v>
      </c>
      <c r="B4000" t="str">
        <f>"5218"</f>
        <v>5218</v>
      </c>
      <c r="C4000" t="str">
        <f>"035325218"</f>
        <v>035325218</v>
      </c>
      <c r="D4000" t="s">
        <v>9407</v>
      </c>
      <c r="E4000" t="s">
        <v>1589</v>
      </c>
      <c r="F4000" t="s">
        <v>282</v>
      </c>
      <c r="G4000" s="1">
        <v>18901</v>
      </c>
      <c r="H4000" s="1">
        <v>38208</v>
      </c>
      <c r="I4000" t="str">
        <f t="shared" si="89"/>
        <v>20</v>
      </c>
      <c r="J4000" t="s">
        <v>123</v>
      </c>
      <c r="K4000" t="s">
        <v>98</v>
      </c>
      <c r="L4000" t="s">
        <v>37</v>
      </c>
      <c r="M4000" t="s">
        <v>257</v>
      </c>
      <c r="N4000" s="1">
        <v>41631</v>
      </c>
      <c r="O4000">
        <v>10753.16</v>
      </c>
      <c r="P4000">
        <v>2688.4</v>
      </c>
      <c r="Q4000" t="s">
        <v>37</v>
      </c>
      <c r="R4000" t="s">
        <v>71</v>
      </c>
      <c r="S4000" t="s">
        <v>871</v>
      </c>
      <c r="T4000" t="s">
        <v>872</v>
      </c>
    </row>
    <row r="4001" spans="1:20" x14ac:dyDescent="0.25">
      <c r="A4001" t="s">
        <v>9408</v>
      </c>
      <c r="B4001" t="str">
        <f>"4885"</f>
        <v>4885</v>
      </c>
      <c r="C4001" t="str">
        <f>"274404885"</f>
        <v>274404885</v>
      </c>
      <c r="D4001" t="s">
        <v>1434</v>
      </c>
      <c r="E4001" t="s">
        <v>33</v>
      </c>
      <c r="F4001" t="s">
        <v>44</v>
      </c>
      <c r="G4001" s="1">
        <v>16639</v>
      </c>
      <c r="H4001" s="1">
        <v>38208</v>
      </c>
      <c r="I4001" t="str">
        <f t="shared" si="89"/>
        <v>20</v>
      </c>
      <c r="J4001" t="s">
        <v>123</v>
      </c>
      <c r="K4001" t="s">
        <v>98</v>
      </c>
      <c r="L4001" t="s">
        <v>37</v>
      </c>
      <c r="M4001" t="s">
        <v>257</v>
      </c>
      <c r="N4001" s="1">
        <v>41631</v>
      </c>
      <c r="O4001">
        <v>10753.16</v>
      </c>
      <c r="P4001">
        <v>2688.4</v>
      </c>
      <c r="Q4001" t="s">
        <v>28</v>
      </c>
      <c r="R4001" t="s">
        <v>29</v>
      </c>
      <c r="S4001" t="s">
        <v>765</v>
      </c>
      <c r="T4001" t="s">
        <v>766</v>
      </c>
    </row>
    <row r="4002" spans="1:20" x14ac:dyDescent="0.25">
      <c r="A4002" t="s">
        <v>9409</v>
      </c>
      <c r="B4002" t="str">
        <f>"4373"</f>
        <v>4373</v>
      </c>
      <c r="C4002" t="str">
        <f>"300824373"</f>
        <v>300824373</v>
      </c>
      <c r="D4002" t="s">
        <v>9410</v>
      </c>
      <c r="E4002" t="s">
        <v>35</v>
      </c>
      <c r="F4002" t="s">
        <v>93</v>
      </c>
      <c r="G4002" s="1">
        <v>27862</v>
      </c>
      <c r="H4002" s="1">
        <v>38208</v>
      </c>
      <c r="I4002" t="str">
        <f t="shared" si="89"/>
        <v>20</v>
      </c>
      <c r="J4002" t="s">
        <v>123</v>
      </c>
      <c r="K4002" t="s">
        <v>98</v>
      </c>
      <c r="L4002" t="s">
        <v>37</v>
      </c>
      <c r="M4002" t="s">
        <v>117</v>
      </c>
      <c r="N4002" s="1">
        <v>41631</v>
      </c>
      <c r="O4002">
        <v>4951.9799999999996</v>
      </c>
      <c r="P4002">
        <v>1237.94</v>
      </c>
      <c r="Q4002" t="s">
        <v>28</v>
      </c>
      <c r="R4002" t="s">
        <v>51</v>
      </c>
      <c r="S4002" s="2" t="s">
        <v>2202</v>
      </c>
      <c r="T4002" t="s">
        <v>2203</v>
      </c>
    </row>
    <row r="4003" spans="1:20" x14ac:dyDescent="0.25">
      <c r="A4003" t="s">
        <v>9411</v>
      </c>
      <c r="B4003" t="str">
        <f>"1496"</f>
        <v>1496</v>
      </c>
      <c r="C4003" t="str">
        <f>"299601496"</f>
        <v>299601496</v>
      </c>
      <c r="D4003" t="s">
        <v>9412</v>
      </c>
      <c r="E4003" t="s">
        <v>109</v>
      </c>
      <c r="F4003" t="s">
        <v>9413</v>
      </c>
      <c r="G4003" s="1">
        <v>28284</v>
      </c>
      <c r="H4003" s="1">
        <v>38208</v>
      </c>
      <c r="I4003" t="str">
        <f t="shared" si="89"/>
        <v>20</v>
      </c>
      <c r="J4003" t="s">
        <v>123</v>
      </c>
      <c r="K4003" t="s">
        <v>98</v>
      </c>
      <c r="L4003" t="s">
        <v>37</v>
      </c>
      <c r="M4003" t="s">
        <v>99</v>
      </c>
      <c r="N4003" s="1">
        <v>41631</v>
      </c>
      <c r="O4003">
        <v>14801.82</v>
      </c>
      <c r="P4003">
        <v>3700.4</v>
      </c>
      <c r="Q4003" t="s">
        <v>37</v>
      </c>
      <c r="R4003" t="s">
        <v>71</v>
      </c>
      <c r="S4003" t="s">
        <v>2458</v>
      </c>
      <c r="T4003" t="s">
        <v>2459</v>
      </c>
    </row>
    <row r="4004" spans="1:20" x14ac:dyDescent="0.25">
      <c r="A4004" t="s">
        <v>9414</v>
      </c>
      <c r="B4004" t="str">
        <f>"4805"</f>
        <v>4805</v>
      </c>
      <c r="C4004" t="str">
        <f>"269744805"</f>
        <v>269744805</v>
      </c>
      <c r="D4004" t="s">
        <v>9415</v>
      </c>
      <c r="E4004" t="s">
        <v>2246</v>
      </c>
      <c r="F4004" t="s">
        <v>438</v>
      </c>
      <c r="G4004" s="1">
        <v>28250</v>
      </c>
      <c r="H4004" s="1">
        <v>38208</v>
      </c>
      <c r="I4004" t="str">
        <f t="shared" si="89"/>
        <v>20</v>
      </c>
      <c r="J4004" t="s">
        <v>123</v>
      </c>
      <c r="L4004" t="s">
        <v>37</v>
      </c>
      <c r="M4004" t="s">
        <v>143</v>
      </c>
      <c r="N4004" s="1">
        <v>41631</v>
      </c>
      <c r="O4004">
        <v>185.9</v>
      </c>
      <c r="P4004">
        <v>-185.9</v>
      </c>
      <c r="Q4004" t="s">
        <v>37</v>
      </c>
      <c r="R4004" t="s">
        <v>51</v>
      </c>
      <c r="S4004" s="2" t="s">
        <v>5804</v>
      </c>
      <c r="T4004" t="s">
        <v>5805</v>
      </c>
    </row>
    <row r="4005" spans="1:20" x14ac:dyDescent="0.25">
      <c r="A4005" t="s">
        <v>9416</v>
      </c>
      <c r="B4005" t="str">
        <f>"2430"</f>
        <v>2430</v>
      </c>
      <c r="C4005" t="str">
        <f>"297502430"</f>
        <v>297502430</v>
      </c>
      <c r="D4005" t="s">
        <v>3940</v>
      </c>
      <c r="E4005" t="s">
        <v>184</v>
      </c>
      <c r="F4005" t="s">
        <v>256</v>
      </c>
      <c r="G4005" s="1">
        <v>20359</v>
      </c>
      <c r="H4005" s="1">
        <v>38208</v>
      </c>
      <c r="I4005" t="str">
        <f t="shared" si="89"/>
        <v>20</v>
      </c>
      <c r="J4005" t="s">
        <v>123</v>
      </c>
      <c r="K4005" t="s">
        <v>98</v>
      </c>
      <c r="L4005" t="s">
        <v>37</v>
      </c>
      <c r="M4005" t="s">
        <v>257</v>
      </c>
      <c r="N4005" s="1">
        <v>41631</v>
      </c>
      <c r="O4005">
        <v>10753.16</v>
      </c>
      <c r="P4005">
        <v>2688.4</v>
      </c>
      <c r="Q4005" t="s">
        <v>37</v>
      </c>
      <c r="R4005" t="s">
        <v>29</v>
      </c>
      <c r="S4005" t="s">
        <v>138</v>
      </c>
      <c r="T4005" t="s">
        <v>139</v>
      </c>
    </row>
    <row r="4006" spans="1:20" x14ac:dyDescent="0.25">
      <c r="A4006" t="s">
        <v>9417</v>
      </c>
      <c r="B4006" t="str">
        <f>"0964"</f>
        <v>0964</v>
      </c>
      <c r="C4006" t="str">
        <f>"278420964"</f>
        <v>278420964</v>
      </c>
      <c r="D4006" t="s">
        <v>3072</v>
      </c>
      <c r="E4006" t="s">
        <v>724</v>
      </c>
      <c r="F4006" t="s">
        <v>26</v>
      </c>
      <c r="G4006" s="1">
        <v>17741</v>
      </c>
      <c r="H4006" s="1">
        <v>38208</v>
      </c>
      <c r="I4006" t="str">
        <f t="shared" si="89"/>
        <v>20</v>
      </c>
      <c r="J4006" t="s">
        <v>123</v>
      </c>
      <c r="K4006" t="s">
        <v>98</v>
      </c>
      <c r="L4006" t="s">
        <v>37</v>
      </c>
      <c r="M4006" t="s">
        <v>257</v>
      </c>
      <c r="N4006" s="1">
        <v>41631</v>
      </c>
      <c r="O4006">
        <v>10753.16</v>
      </c>
      <c r="P4006">
        <v>2688.4</v>
      </c>
      <c r="Q4006" t="s">
        <v>28</v>
      </c>
      <c r="R4006" t="s">
        <v>346</v>
      </c>
      <c r="S4006" t="s">
        <v>828</v>
      </c>
      <c r="T4006" t="s">
        <v>829</v>
      </c>
    </row>
    <row r="4007" spans="1:20" x14ac:dyDescent="0.25">
      <c r="A4007" t="s">
        <v>9418</v>
      </c>
      <c r="B4007" t="str">
        <f>"9619"</f>
        <v>9619</v>
      </c>
      <c r="C4007" t="str">
        <f>"286549619"</f>
        <v>286549619</v>
      </c>
      <c r="D4007" t="s">
        <v>9419</v>
      </c>
      <c r="E4007" t="s">
        <v>1666</v>
      </c>
      <c r="F4007" t="s">
        <v>93</v>
      </c>
      <c r="G4007" s="1">
        <v>23184</v>
      </c>
      <c r="H4007" s="1">
        <v>38208</v>
      </c>
      <c r="I4007" t="str">
        <f t="shared" si="89"/>
        <v>20</v>
      </c>
      <c r="J4007" t="s">
        <v>123</v>
      </c>
      <c r="K4007" t="s">
        <v>98</v>
      </c>
      <c r="L4007" t="s">
        <v>37</v>
      </c>
      <c r="M4007" t="s">
        <v>99</v>
      </c>
      <c r="N4007" s="1">
        <v>41631</v>
      </c>
      <c r="O4007">
        <v>14801.82</v>
      </c>
      <c r="P4007">
        <v>3700.4</v>
      </c>
      <c r="Q4007" t="s">
        <v>37</v>
      </c>
      <c r="R4007" t="s">
        <v>51</v>
      </c>
      <c r="S4007" s="2" t="s">
        <v>839</v>
      </c>
      <c r="T4007" t="s">
        <v>840</v>
      </c>
    </row>
    <row r="4008" spans="1:20" x14ac:dyDescent="0.25">
      <c r="A4008" t="s">
        <v>9420</v>
      </c>
      <c r="B4008" t="str">
        <f>"9352"</f>
        <v>9352</v>
      </c>
      <c r="C4008" t="str">
        <f>"270829352"</f>
        <v>270829352</v>
      </c>
      <c r="D4008" t="s">
        <v>9421</v>
      </c>
      <c r="E4008" t="s">
        <v>179</v>
      </c>
      <c r="F4008" t="s">
        <v>69</v>
      </c>
      <c r="G4008" s="1">
        <v>26835</v>
      </c>
      <c r="H4008" s="1">
        <v>38208</v>
      </c>
      <c r="I4008" t="str">
        <f t="shared" si="89"/>
        <v>20</v>
      </c>
      <c r="J4008" t="s">
        <v>123</v>
      </c>
      <c r="K4008" t="s">
        <v>98</v>
      </c>
      <c r="L4008" t="s">
        <v>37</v>
      </c>
      <c r="M4008" t="s">
        <v>99</v>
      </c>
      <c r="N4008" s="1">
        <v>41631</v>
      </c>
      <c r="O4008">
        <v>14801.82</v>
      </c>
      <c r="P4008">
        <v>3700.4</v>
      </c>
      <c r="Q4008" t="s">
        <v>28</v>
      </c>
      <c r="R4008" t="s">
        <v>51</v>
      </c>
      <c r="S4008" s="2" t="s">
        <v>2524</v>
      </c>
      <c r="T4008" t="s">
        <v>2525</v>
      </c>
    </row>
    <row r="4009" spans="1:20" x14ac:dyDescent="0.25">
      <c r="A4009" t="s">
        <v>9422</v>
      </c>
      <c r="B4009" t="str">
        <f>"6954"</f>
        <v>6954</v>
      </c>
      <c r="C4009" t="str">
        <f>"291566954"</f>
        <v>291566954</v>
      </c>
      <c r="D4009" t="s">
        <v>9423</v>
      </c>
      <c r="E4009" t="s">
        <v>2339</v>
      </c>
      <c r="F4009" t="s">
        <v>97</v>
      </c>
      <c r="G4009" s="1">
        <v>21039</v>
      </c>
      <c r="H4009" s="1">
        <v>38201</v>
      </c>
      <c r="I4009" t="str">
        <f>"05"</f>
        <v>05</v>
      </c>
      <c r="J4009" t="s">
        <v>58</v>
      </c>
      <c r="K4009" t="s">
        <v>98</v>
      </c>
      <c r="L4009" t="s">
        <v>37</v>
      </c>
      <c r="M4009" t="s">
        <v>117</v>
      </c>
      <c r="N4009" s="1">
        <v>41617</v>
      </c>
      <c r="O4009">
        <v>4951.96</v>
      </c>
      <c r="P4009">
        <v>1237.8599999999999</v>
      </c>
      <c r="Q4009" t="s">
        <v>37</v>
      </c>
      <c r="R4009" t="s">
        <v>258</v>
      </c>
      <c r="S4009" t="s">
        <v>491</v>
      </c>
      <c r="T4009" t="s">
        <v>492</v>
      </c>
    </row>
    <row r="4010" spans="1:20" x14ac:dyDescent="0.25">
      <c r="A4010" t="s">
        <v>9424</v>
      </c>
      <c r="B4010" t="str">
        <f>"8328"</f>
        <v>8328</v>
      </c>
      <c r="C4010" t="str">
        <f>"274308328"</f>
        <v>274308328</v>
      </c>
      <c r="D4010" t="s">
        <v>1032</v>
      </c>
      <c r="E4010" t="s">
        <v>2911</v>
      </c>
      <c r="F4010" t="s">
        <v>190</v>
      </c>
      <c r="G4010" s="1">
        <v>12231</v>
      </c>
      <c r="H4010" s="1">
        <v>38169</v>
      </c>
      <c r="I4010" t="str">
        <f>"30"</f>
        <v>30</v>
      </c>
      <c r="J4010" t="s">
        <v>50</v>
      </c>
      <c r="K4010" t="s">
        <v>25</v>
      </c>
      <c r="L4010" t="s">
        <v>26</v>
      </c>
      <c r="M4010" t="s">
        <v>27</v>
      </c>
      <c r="N4010" s="1">
        <v>18629</v>
      </c>
      <c r="O4010">
        <v>0</v>
      </c>
      <c r="P4010">
        <v>0</v>
      </c>
      <c r="Q4010" t="s">
        <v>37</v>
      </c>
      <c r="R4010" t="s">
        <v>51</v>
      </c>
      <c r="S4010" s="2" t="s">
        <v>198</v>
      </c>
      <c r="T4010" t="s">
        <v>199</v>
      </c>
    </row>
    <row r="4011" spans="1:20" x14ac:dyDescent="0.25">
      <c r="A4011" t="s">
        <v>9425</v>
      </c>
      <c r="B4011" t="str">
        <f>"3549"</f>
        <v>3549</v>
      </c>
      <c r="C4011" t="str">
        <f>"285583549"</f>
        <v>285583549</v>
      </c>
      <c r="D4011" t="s">
        <v>9426</v>
      </c>
      <c r="E4011" t="s">
        <v>178</v>
      </c>
      <c r="F4011" t="s">
        <v>724</v>
      </c>
      <c r="G4011" s="1">
        <v>25560</v>
      </c>
      <c r="H4011" s="1">
        <v>38169</v>
      </c>
      <c r="I4011" t="str">
        <f>"41"</f>
        <v>41</v>
      </c>
      <c r="J4011" t="s">
        <v>24</v>
      </c>
      <c r="K4011" t="s">
        <v>25</v>
      </c>
      <c r="L4011" t="s">
        <v>26</v>
      </c>
      <c r="M4011" t="s">
        <v>27</v>
      </c>
      <c r="N4011" s="1">
        <v>18629</v>
      </c>
      <c r="O4011">
        <v>0</v>
      </c>
      <c r="P4011">
        <v>0</v>
      </c>
      <c r="Q4011" t="s">
        <v>28</v>
      </c>
      <c r="R4011" t="s">
        <v>29</v>
      </c>
      <c r="S4011" t="s">
        <v>589</v>
      </c>
      <c r="T4011" t="s">
        <v>590</v>
      </c>
    </row>
    <row r="4012" spans="1:20" x14ac:dyDescent="0.25">
      <c r="A4012" t="s">
        <v>9427</v>
      </c>
      <c r="B4012" t="str">
        <f>"7647"</f>
        <v>7647</v>
      </c>
      <c r="C4012" t="str">
        <f>"064707647"</f>
        <v>064707647</v>
      </c>
      <c r="D4012" t="s">
        <v>9428</v>
      </c>
      <c r="E4012" t="s">
        <v>588</v>
      </c>
      <c r="F4012" t="s">
        <v>345</v>
      </c>
      <c r="G4012" s="1">
        <v>25341</v>
      </c>
      <c r="H4012" s="1">
        <v>38169</v>
      </c>
      <c r="I4012" t="str">
        <f>"30"</f>
        <v>30</v>
      </c>
      <c r="J4012" t="s">
        <v>50</v>
      </c>
      <c r="K4012" t="s">
        <v>25</v>
      </c>
      <c r="L4012" t="s">
        <v>26</v>
      </c>
      <c r="M4012" t="s">
        <v>27</v>
      </c>
      <c r="N4012" s="1">
        <v>18629</v>
      </c>
      <c r="O4012">
        <v>0</v>
      </c>
      <c r="P4012">
        <v>0</v>
      </c>
      <c r="Q4012" t="s">
        <v>28</v>
      </c>
      <c r="R4012" t="s">
        <v>51</v>
      </c>
      <c r="S4012" s="2" t="s">
        <v>1972</v>
      </c>
      <c r="T4012" t="s">
        <v>1973</v>
      </c>
    </row>
    <row r="4013" spans="1:20" x14ac:dyDescent="0.25">
      <c r="A4013" t="s">
        <v>9429</v>
      </c>
      <c r="B4013" t="str">
        <f>"2024"</f>
        <v>2024</v>
      </c>
      <c r="C4013" t="str">
        <f>"423662024"</f>
        <v>423662024</v>
      </c>
      <c r="D4013" t="s">
        <v>569</v>
      </c>
      <c r="E4013" t="s">
        <v>1886</v>
      </c>
      <c r="F4013" t="s">
        <v>69</v>
      </c>
      <c r="G4013" s="1">
        <v>17467</v>
      </c>
      <c r="H4013" s="1">
        <v>38169</v>
      </c>
      <c r="I4013" t="str">
        <f>"30"</f>
        <v>30</v>
      </c>
      <c r="J4013" t="s">
        <v>50</v>
      </c>
      <c r="K4013" t="s">
        <v>25</v>
      </c>
      <c r="L4013" t="s">
        <v>26</v>
      </c>
      <c r="M4013" t="s">
        <v>27</v>
      </c>
      <c r="N4013" s="1">
        <v>18629</v>
      </c>
      <c r="O4013">
        <v>0</v>
      </c>
      <c r="P4013">
        <v>0</v>
      </c>
      <c r="Q4013" t="s">
        <v>37</v>
      </c>
      <c r="R4013" t="s">
        <v>51</v>
      </c>
      <c r="S4013" t="s">
        <v>2084</v>
      </c>
      <c r="T4013" t="s">
        <v>2085</v>
      </c>
    </row>
    <row r="4014" spans="1:20" x14ac:dyDescent="0.25">
      <c r="A4014" t="s">
        <v>9430</v>
      </c>
      <c r="B4014" t="str">
        <f>"5408"</f>
        <v>5408</v>
      </c>
      <c r="C4014" t="str">
        <f>"271605408"</f>
        <v>271605408</v>
      </c>
      <c r="D4014" t="s">
        <v>9431</v>
      </c>
      <c r="E4014" t="s">
        <v>381</v>
      </c>
      <c r="F4014" t="s">
        <v>97</v>
      </c>
      <c r="G4014" s="1">
        <v>21249</v>
      </c>
      <c r="H4014" s="1">
        <v>38169</v>
      </c>
      <c r="I4014" t="str">
        <f>"30"</f>
        <v>30</v>
      </c>
      <c r="J4014" t="s">
        <v>50</v>
      </c>
      <c r="K4014" t="s">
        <v>25</v>
      </c>
      <c r="L4014" t="s">
        <v>26</v>
      </c>
      <c r="M4014" t="s">
        <v>27</v>
      </c>
      <c r="N4014" s="1">
        <v>18629</v>
      </c>
      <c r="O4014">
        <v>0</v>
      </c>
      <c r="P4014">
        <v>0</v>
      </c>
      <c r="Q4014" t="s">
        <v>37</v>
      </c>
      <c r="R4014" t="s">
        <v>29</v>
      </c>
      <c r="S4014" t="s">
        <v>240</v>
      </c>
      <c r="T4014" t="s">
        <v>241</v>
      </c>
    </row>
    <row r="4015" spans="1:20" x14ac:dyDescent="0.25">
      <c r="A4015" t="s">
        <v>9432</v>
      </c>
      <c r="B4015" t="str">
        <f>"4585"</f>
        <v>4585</v>
      </c>
      <c r="C4015" t="str">
        <f>"191404585"</f>
        <v>191404585</v>
      </c>
      <c r="D4015" t="s">
        <v>9433</v>
      </c>
      <c r="E4015" t="s">
        <v>9434</v>
      </c>
      <c r="G4015" s="1">
        <v>18393</v>
      </c>
      <c r="H4015" s="1">
        <v>38169</v>
      </c>
      <c r="I4015" t="str">
        <f>"03"</f>
        <v>03</v>
      </c>
      <c r="J4015" t="s">
        <v>70</v>
      </c>
      <c r="K4015" t="s">
        <v>98</v>
      </c>
      <c r="L4015" t="s">
        <v>37</v>
      </c>
      <c r="M4015" t="s">
        <v>257</v>
      </c>
      <c r="N4015" s="1">
        <v>41617</v>
      </c>
      <c r="O4015">
        <v>10753.08</v>
      </c>
      <c r="P4015">
        <v>2688.4</v>
      </c>
      <c r="Q4015" t="s">
        <v>37</v>
      </c>
      <c r="R4015" t="s">
        <v>29</v>
      </c>
      <c r="S4015" t="s">
        <v>1422</v>
      </c>
      <c r="T4015" t="s">
        <v>1423</v>
      </c>
    </row>
    <row r="4016" spans="1:20" x14ac:dyDescent="0.25">
      <c r="A4016" t="s">
        <v>9435</v>
      </c>
      <c r="B4016" t="str">
        <f>"0340"</f>
        <v>0340</v>
      </c>
      <c r="C4016" t="str">
        <f>"274700340"</f>
        <v>274700340</v>
      </c>
      <c r="D4016" t="s">
        <v>9436</v>
      </c>
      <c r="E4016" t="s">
        <v>304</v>
      </c>
      <c r="F4016" t="s">
        <v>219</v>
      </c>
      <c r="G4016" s="1">
        <v>27727</v>
      </c>
      <c r="H4016" s="1">
        <v>38169</v>
      </c>
      <c r="I4016" t="str">
        <f>"30"</f>
        <v>30</v>
      </c>
      <c r="J4016" t="s">
        <v>50</v>
      </c>
      <c r="K4016" t="s">
        <v>25</v>
      </c>
      <c r="L4016" t="s">
        <v>26</v>
      </c>
      <c r="M4016" t="s">
        <v>27</v>
      </c>
      <c r="N4016" s="1">
        <v>18629</v>
      </c>
      <c r="O4016">
        <v>0</v>
      </c>
      <c r="P4016">
        <v>0</v>
      </c>
      <c r="Q4016" t="s">
        <v>28</v>
      </c>
      <c r="R4016" t="s">
        <v>71</v>
      </c>
      <c r="S4016" t="s">
        <v>373</v>
      </c>
      <c r="T4016" t="s">
        <v>374</v>
      </c>
    </row>
    <row r="4017" spans="1:20" x14ac:dyDescent="0.25">
      <c r="A4017" t="s">
        <v>9437</v>
      </c>
      <c r="B4017" t="str">
        <f>"8591"</f>
        <v>8591</v>
      </c>
      <c r="C4017" t="str">
        <f>"269448591"</f>
        <v>269448591</v>
      </c>
      <c r="D4017" t="s">
        <v>9438</v>
      </c>
      <c r="E4017" t="s">
        <v>2027</v>
      </c>
      <c r="F4017" t="s">
        <v>97</v>
      </c>
      <c r="G4017" s="1">
        <v>18188</v>
      </c>
      <c r="H4017" s="1">
        <v>38169</v>
      </c>
      <c r="I4017" t="str">
        <f>"30"</f>
        <v>30</v>
      </c>
      <c r="J4017" t="s">
        <v>50</v>
      </c>
      <c r="K4017" t="s">
        <v>25</v>
      </c>
      <c r="L4017" t="s">
        <v>26</v>
      </c>
      <c r="M4017" t="s">
        <v>27</v>
      </c>
      <c r="N4017" s="1">
        <v>18629</v>
      </c>
      <c r="O4017">
        <v>0</v>
      </c>
      <c r="P4017">
        <v>0</v>
      </c>
      <c r="Q4017" t="s">
        <v>28</v>
      </c>
      <c r="R4017" t="s">
        <v>71</v>
      </c>
      <c r="S4017" t="s">
        <v>373</v>
      </c>
      <c r="T4017" t="s">
        <v>374</v>
      </c>
    </row>
    <row r="4018" spans="1:20" x14ac:dyDescent="0.25">
      <c r="A4018" t="s">
        <v>9439</v>
      </c>
      <c r="B4018" t="str">
        <f>"5956"</f>
        <v>5956</v>
      </c>
      <c r="C4018" t="str">
        <f>"292705956"</f>
        <v>292705956</v>
      </c>
      <c r="D4018" t="s">
        <v>2696</v>
      </c>
      <c r="E4018" t="s">
        <v>1813</v>
      </c>
      <c r="F4018" t="s">
        <v>219</v>
      </c>
      <c r="G4018" s="1">
        <v>22387</v>
      </c>
      <c r="H4018" s="1">
        <v>38169</v>
      </c>
      <c r="I4018" t="str">
        <f>"05"</f>
        <v>05</v>
      </c>
      <c r="J4018" t="s">
        <v>58</v>
      </c>
      <c r="K4018" t="s">
        <v>98</v>
      </c>
      <c r="L4018" t="s">
        <v>37</v>
      </c>
      <c r="M4018" t="s">
        <v>117</v>
      </c>
      <c r="N4018" s="1">
        <v>41617</v>
      </c>
      <c r="O4018">
        <v>4951.96</v>
      </c>
      <c r="P4018">
        <v>1237.8599999999999</v>
      </c>
      <c r="Q4018" t="s">
        <v>37</v>
      </c>
      <c r="R4018" t="s">
        <v>38</v>
      </c>
      <c r="S4018" t="s">
        <v>913</v>
      </c>
      <c r="T4018" t="s">
        <v>914</v>
      </c>
    </row>
    <row r="4019" spans="1:20" x14ac:dyDescent="0.25">
      <c r="A4019" t="s">
        <v>9440</v>
      </c>
      <c r="B4019" t="str">
        <f>"1076"</f>
        <v>1076</v>
      </c>
      <c r="C4019" t="str">
        <f>"282481076"</f>
        <v>282481076</v>
      </c>
      <c r="D4019" t="s">
        <v>9441</v>
      </c>
      <c r="E4019" t="s">
        <v>6929</v>
      </c>
      <c r="F4019" t="s">
        <v>93</v>
      </c>
      <c r="G4019" s="1">
        <v>19134</v>
      </c>
      <c r="H4019" s="1">
        <v>38169</v>
      </c>
      <c r="I4019" t="str">
        <f>"30"</f>
        <v>30</v>
      </c>
      <c r="J4019" t="s">
        <v>50</v>
      </c>
      <c r="K4019" t="s">
        <v>25</v>
      </c>
      <c r="L4019" t="s">
        <v>26</v>
      </c>
      <c r="M4019" t="s">
        <v>27</v>
      </c>
      <c r="N4019" s="1">
        <v>18629</v>
      </c>
      <c r="O4019">
        <v>0</v>
      </c>
      <c r="P4019">
        <v>0</v>
      </c>
      <c r="Q4019" t="s">
        <v>37</v>
      </c>
      <c r="R4019" t="s">
        <v>51</v>
      </c>
      <c r="S4019" t="s">
        <v>2084</v>
      </c>
      <c r="T4019" t="s">
        <v>2085</v>
      </c>
    </row>
    <row r="4020" spans="1:20" x14ac:dyDescent="0.25">
      <c r="A4020" t="s">
        <v>9442</v>
      </c>
      <c r="B4020" t="str">
        <f>"4024"</f>
        <v>4024</v>
      </c>
      <c r="C4020" t="str">
        <f>"299824024"</f>
        <v>299824024</v>
      </c>
      <c r="D4020" t="s">
        <v>9443</v>
      </c>
      <c r="E4020" t="s">
        <v>609</v>
      </c>
      <c r="F4020" t="s">
        <v>219</v>
      </c>
      <c r="G4020" s="1">
        <v>27150</v>
      </c>
      <c r="H4020" s="1">
        <v>38169</v>
      </c>
      <c r="I4020" t="str">
        <f>"30"</f>
        <v>30</v>
      </c>
      <c r="J4020" t="s">
        <v>50</v>
      </c>
      <c r="K4020" t="s">
        <v>25</v>
      </c>
      <c r="L4020" t="s">
        <v>26</v>
      </c>
      <c r="M4020" t="s">
        <v>27</v>
      </c>
      <c r="N4020" s="1">
        <v>18629</v>
      </c>
      <c r="O4020">
        <v>0</v>
      </c>
      <c r="P4020">
        <v>0</v>
      </c>
      <c r="Q4020" t="s">
        <v>28</v>
      </c>
      <c r="R4020" t="s">
        <v>71</v>
      </c>
      <c r="S4020" t="s">
        <v>373</v>
      </c>
      <c r="T4020" t="s">
        <v>374</v>
      </c>
    </row>
    <row r="4021" spans="1:20" x14ac:dyDescent="0.25">
      <c r="A4021" t="s">
        <v>9444</v>
      </c>
      <c r="B4021" t="str">
        <f>"6069"</f>
        <v>6069</v>
      </c>
      <c r="C4021" t="str">
        <f>"282766069"</f>
        <v>282766069</v>
      </c>
      <c r="D4021" t="s">
        <v>9445</v>
      </c>
      <c r="E4021" t="s">
        <v>22</v>
      </c>
      <c r="F4021" t="s">
        <v>165</v>
      </c>
      <c r="G4021" s="1">
        <v>29366</v>
      </c>
      <c r="H4021" s="1">
        <v>38159</v>
      </c>
      <c r="I4021" t="str">
        <f>"05"</f>
        <v>05</v>
      </c>
      <c r="J4021" t="s">
        <v>58</v>
      </c>
      <c r="K4021" t="s">
        <v>98</v>
      </c>
      <c r="L4021" t="s">
        <v>37</v>
      </c>
      <c r="M4021" t="s">
        <v>117</v>
      </c>
      <c r="N4021" s="1">
        <v>41617</v>
      </c>
      <c r="O4021">
        <v>4951.96</v>
      </c>
      <c r="P4021">
        <v>1237.8599999999999</v>
      </c>
      <c r="Q4021" t="s">
        <v>28</v>
      </c>
      <c r="R4021" t="s">
        <v>29</v>
      </c>
      <c r="S4021" t="s">
        <v>1173</v>
      </c>
      <c r="T4021" t="s">
        <v>1174</v>
      </c>
    </row>
    <row r="4022" spans="1:20" x14ac:dyDescent="0.25">
      <c r="A4022" t="s">
        <v>9446</v>
      </c>
      <c r="B4022" t="str">
        <f>"9028"</f>
        <v>9028</v>
      </c>
      <c r="C4022" t="str">
        <f>"299729028"</f>
        <v>299729028</v>
      </c>
      <c r="D4022" t="s">
        <v>9447</v>
      </c>
      <c r="E4022" t="s">
        <v>2060</v>
      </c>
      <c r="F4022" t="s">
        <v>44</v>
      </c>
      <c r="G4022" s="1">
        <v>28554</v>
      </c>
      <c r="H4022" s="1">
        <v>38145</v>
      </c>
      <c r="I4022" t="str">
        <f>"08"</f>
        <v>08</v>
      </c>
      <c r="J4022" t="s">
        <v>265</v>
      </c>
      <c r="K4022" t="s">
        <v>175</v>
      </c>
      <c r="L4022" t="s">
        <v>37</v>
      </c>
      <c r="M4022" t="s">
        <v>99</v>
      </c>
      <c r="N4022" s="1">
        <v>41617</v>
      </c>
      <c r="O4022">
        <v>16411.72</v>
      </c>
      <c r="P4022">
        <v>4102.8</v>
      </c>
      <c r="Q4022" t="s">
        <v>28</v>
      </c>
      <c r="R4022" t="s">
        <v>71</v>
      </c>
      <c r="S4022" t="s">
        <v>5588</v>
      </c>
      <c r="T4022" t="s">
        <v>5589</v>
      </c>
    </row>
    <row r="4023" spans="1:20" x14ac:dyDescent="0.25">
      <c r="A4023" t="s">
        <v>9448</v>
      </c>
      <c r="B4023" t="str">
        <f>"4581"</f>
        <v>4581</v>
      </c>
      <c r="C4023" t="str">
        <f>"276024581"</f>
        <v>276024581</v>
      </c>
      <c r="D4023" t="s">
        <v>9449</v>
      </c>
      <c r="E4023" t="s">
        <v>9450</v>
      </c>
      <c r="F4023" t="s">
        <v>28</v>
      </c>
      <c r="G4023" s="1">
        <v>24042</v>
      </c>
      <c r="H4023" s="1">
        <v>38131</v>
      </c>
      <c r="I4023" t="str">
        <f>"51"</f>
        <v>51</v>
      </c>
      <c r="J4023" t="s">
        <v>471</v>
      </c>
      <c r="K4023" t="s">
        <v>25</v>
      </c>
      <c r="L4023" t="s">
        <v>26</v>
      </c>
      <c r="M4023" t="s">
        <v>27</v>
      </c>
      <c r="N4023" s="1">
        <v>18629</v>
      </c>
      <c r="O4023">
        <v>0</v>
      </c>
      <c r="P4023">
        <v>0</v>
      </c>
      <c r="Q4023" t="s">
        <v>28</v>
      </c>
      <c r="R4023" t="s">
        <v>51</v>
      </c>
      <c r="S4023" s="2" t="s">
        <v>3136</v>
      </c>
      <c r="T4023" t="s">
        <v>3137</v>
      </c>
    </row>
    <row r="4024" spans="1:20" x14ac:dyDescent="0.25">
      <c r="A4024" t="s">
        <v>9451</v>
      </c>
      <c r="B4024" t="str">
        <f>"5480"</f>
        <v>5480</v>
      </c>
      <c r="C4024" t="str">
        <f>"295745480"</f>
        <v>295745480</v>
      </c>
      <c r="D4024" t="s">
        <v>4555</v>
      </c>
      <c r="E4024" t="s">
        <v>9452</v>
      </c>
      <c r="F4024" t="s">
        <v>28</v>
      </c>
      <c r="G4024" s="1">
        <v>19428</v>
      </c>
      <c r="H4024" s="1">
        <v>38131</v>
      </c>
      <c r="I4024" t="str">
        <f>"51"</f>
        <v>51</v>
      </c>
      <c r="J4024" t="s">
        <v>471</v>
      </c>
      <c r="K4024" t="s">
        <v>25</v>
      </c>
      <c r="L4024" t="s">
        <v>26</v>
      </c>
      <c r="M4024" t="s">
        <v>27</v>
      </c>
      <c r="N4024" s="1">
        <v>18629</v>
      </c>
      <c r="O4024">
        <v>0</v>
      </c>
      <c r="P4024">
        <v>0</v>
      </c>
      <c r="Q4024" t="s">
        <v>28</v>
      </c>
      <c r="R4024" t="s">
        <v>29</v>
      </c>
      <c r="S4024" t="s">
        <v>1555</v>
      </c>
      <c r="T4024" t="s">
        <v>1556</v>
      </c>
    </row>
    <row r="4025" spans="1:20" x14ac:dyDescent="0.25">
      <c r="A4025" t="s">
        <v>9453</v>
      </c>
      <c r="B4025" t="str">
        <f>"6063"</f>
        <v>6063</v>
      </c>
      <c r="C4025" t="str">
        <f>"270586063"</f>
        <v>270586063</v>
      </c>
      <c r="D4025" t="s">
        <v>9454</v>
      </c>
      <c r="E4025" t="s">
        <v>1001</v>
      </c>
      <c r="F4025" t="s">
        <v>282</v>
      </c>
      <c r="G4025" s="1">
        <v>20265</v>
      </c>
      <c r="H4025" s="1">
        <v>38110</v>
      </c>
      <c r="I4025" t="str">
        <f>"52"</f>
        <v>52</v>
      </c>
      <c r="J4025" t="s">
        <v>330</v>
      </c>
      <c r="K4025" t="s">
        <v>25</v>
      </c>
      <c r="L4025" t="s">
        <v>26</v>
      </c>
      <c r="M4025" t="s">
        <v>27</v>
      </c>
      <c r="N4025" s="1">
        <v>18629</v>
      </c>
      <c r="O4025">
        <v>0</v>
      </c>
      <c r="P4025">
        <v>0</v>
      </c>
      <c r="Q4025" t="s">
        <v>28</v>
      </c>
      <c r="R4025" t="s">
        <v>258</v>
      </c>
      <c r="S4025" t="s">
        <v>336</v>
      </c>
      <c r="T4025" t="s">
        <v>337</v>
      </c>
    </row>
    <row r="4026" spans="1:20" x14ac:dyDescent="0.25">
      <c r="A4026" t="s">
        <v>9455</v>
      </c>
      <c r="B4026" t="str">
        <f>"5121"</f>
        <v>5121</v>
      </c>
      <c r="C4026" t="str">
        <f>"284405121"</f>
        <v>284405121</v>
      </c>
      <c r="D4026" t="s">
        <v>9456</v>
      </c>
      <c r="E4026" t="s">
        <v>900</v>
      </c>
      <c r="G4026" s="1">
        <v>16762</v>
      </c>
      <c r="H4026" s="1">
        <v>38089</v>
      </c>
      <c r="I4026" t="str">
        <f>"30"</f>
        <v>30</v>
      </c>
      <c r="J4026" t="s">
        <v>50</v>
      </c>
      <c r="K4026" t="s">
        <v>25</v>
      </c>
      <c r="L4026" t="s">
        <v>26</v>
      </c>
      <c r="M4026" t="s">
        <v>27</v>
      </c>
      <c r="N4026" s="1">
        <v>18629</v>
      </c>
      <c r="O4026">
        <v>0</v>
      </c>
      <c r="P4026">
        <v>0</v>
      </c>
      <c r="Q4026" t="s">
        <v>37</v>
      </c>
      <c r="R4026" t="s">
        <v>51</v>
      </c>
      <c r="S4026" s="2" t="s">
        <v>198</v>
      </c>
      <c r="T4026" t="s">
        <v>199</v>
      </c>
    </row>
    <row r="4027" spans="1:20" x14ac:dyDescent="0.25">
      <c r="A4027" t="s">
        <v>9457</v>
      </c>
      <c r="B4027" t="str">
        <f>"3149"</f>
        <v>3149</v>
      </c>
      <c r="C4027" t="str">
        <f>"293403149"</f>
        <v>293403149</v>
      </c>
      <c r="D4027" t="s">
        <v>860</v>
      </c>
      <c r="E4027" t="s">
        <v>4887</v>
      </c>
      <c r="F4027" t="s">
        <v>276</v>
      </c>
      <c r="G4027" s="1">
        <v>16200</v>
      </c>
      <c r="H4027" s="1">
        <v>38089</v>
      </c>
      <c r="I4027" t="str">
        <f>"30"</f>
        <v>30</v>
      </c>
      <c r="J4027" t="s">
        <v>50</v>
      </c>
      <c r="K4027" t="s">
        <v>25</v>
      </c>
      <c r="L4027" t="s">
        <v>26</v>
      </c>
      <c r="M4027" t="s">
        <v>27</v>
      </c>
      <c r="N4027" s="1">
        <v>18629</v>
      </c>
      <c r="O4027">
        <v>0</v>
      </c>
      <c r="P4027">
        <v>0</v>
      </c>
      <c r="Q4027" t="s">
        <v>37</v>
      </c>
      <c r="R4027" t="s">
        <v>29</v>
      </c>
      <c r="S4027" t="s">
        <v>973</v>
      </c>
      <c r="T4027" t="s">
        <v>974</v>
      </c>
    </row>
    <row r="4028" spans="1:20" x14ac:dyDescent="0.25">
      <c r="A4028" t="s">
        <v>9458</v>
      </c>
      <c r="B4028" t="str">
        <f>"2195"</f>
        <v>2195</v>
      </c>
      <c r="C4028" t="str">
        <f>"282362195"</f>
        <v>282362195</v>
      </c>
      <c r="D4028" t="s">
        <v>6623</v>
      </c>
      <c r="E4028" t="s">
        <v>304</v>
      </c>
      <c r="F4028" t="s">
        <v>264</v>
      </c>
      <c r="G4028" s="1">
        <v>15442</v>
      </c>
      <c r="H4028" s="1">
        <v>38078</v>
      </c>
      <c r="I4028" t="str">
        <f>"50"</f>
        <v>50</v>
      </c>
      <c r="J4028" t="s">
        <v>208</v>
      </c>
      <c r="K4028" t="s">
        <v>25</v>
      </c>
      <c r="L4028" t="s">
        <v>26</v>
      </c>
      <c r="M4028" t="s">
        <v>27</v>
      </c>
      <c r="N4028" s="1">
        <v>18629</v>
      </c>
      <c r="O4028">
        <v>0</v>
      </c>
      <c r="P4028">
        <v>0</v>
      </c>
      <c r="Q4028" t="s">
        <v>28</v>
      </c>
      <c r="R4028" t="s">
        <v>29</v>
      </c>
      <c r="S4028" t="s">
        <v>185</v>
      </c>
      <c r="T4028" t="s">
        <v>186</v>
      </c>
    </row>
    <row r="4029" spans="1:20" x14ac:dyDescent="0.25">
      <c r="A4029" t="s">
        <v>9459</v>
      </c>
      <c r="B4029" t="str">
        <f>"1653"</f>
        <v>1653</v>
      </c>
      <c r="C4029" t="str">
        <f>"297501653"</f>
        <v>297501653</v>
      </c>
      <c r="D4029" t="s">
        <v>9460</v>
      </c>
      <c r="E4029" t="s">
        <v>35</v>
      </c>
      <c r="F4029" t="s">
        <v>37</v>
      </c>
      <c r="G4029" s="1">
        <v>18935</v>
      </c>
      <c r="H4029" s="1">
        <v>38078</v>
      </c>
      <c r="I4029" t="str">
        <f>"50"</f>
        <v>50</v>
      </c>
      <c r="J4029" t="s">
        <v>208</v>
      </c>
      <c r="K4029" t="s">
        <v>25</v>
      </c>
      <c r="L4029" t="s">
        <v>26</v>
      </c>
      <c r="M4029" t="s">
        <v>27</v>
      </c>
      <c r="N4029" s="1">
        <v>18629</v>
      </c>
      <c r="O4029">
        <v>0</v>
      </c>
      <c r="P4029">
        <v>0</v>
      </c>
      <c r="Q4029" t="s">
        <v>28</v>
      </c>
      <c r="R4029" t="s">
        <v>29</v>
      </c>
      <c r="S4029" t="s">
        <v>185</v>
      </c>
      <c r="T4029" t="s">
        <v>186</v>
      </c>
    </row>
    <row r="4030" spans="1:20" x14ac:dyDescent="0.25">
      <c r="A4030" t="s">
        <v>9461</v>
      </c>
      <c r="B4030" t="str">
        <f>"6197"</f>
        <v>6197</v>
      </c>
      <c r="C4030" t="str">
        <f>"269546197"</f>
        <v>269546197</v>
      </c>
      <c r="D4030" t="s">
        <v>6243</v>
      </c>
      <c r="E4030" t="s">
        <v>724</v>
      </c>
      <c r="F4030" t="s">
        <v>264</v>
      </c>
      <c r="G4030" s="1">
        <v>20042</v>
      </c>
      <c r="H4030" s="1">
        <v>38054</v>
      </c>
      <c r="I4030" t="str">
        <f>"08"</f>
        <v>08</v>
      </c>
      <c r="J4030" t="s">
        <v>265</v>
      </c>
      <c r="K4030" t="s">
        <v>98</v>
      </c>
      <c r="L4030" t="s">
        <v>37</v>
      </c>
      <c r="M4030" t="s">
        <v>99</v>
      </c>
      <c r="N4030" s="1">
        <v>41617</v>
      </c>
      <c r="O4030">
        <v>14801.8</v>
      </c>
      <c r="P4030">
        <v>3700.32</v>
      </c>
      <c r="Q4030" t="s">
        <v>28</v>
      </c>
      <c r="R4030" t="s">
        <v>29</v>
      </c>
      <c r="S4030" t="s">
        <v>266</v>
      </c>
      <c r="T4030" t="s">
        <v>267</v>
      </c>
    </row>
    <row r="4031" spans="1:20" x14ac:dyDescent="0.25">
      <c r="A4031" t="s">
        <v>9462</v>
      </c>
      <c r="B4031" t="str">
        <f>"4033"</f>
        <v>4033</v>
      </c>
      <c r="C4031" t="str">
        <f>"293464033"</f>
        <v>293464033</v>
      </c>
      <c r="D4031" t="s">
        <v>9463</v>
      </c>
      <c r="E4031" t="s">
        <v>82</v>
      </c>
      <c r="G4031" s="1">
        <v>19377</v>
      </c>
      <c r="H4031" s="1">
        <v>38054</v>
      </c>
      <c r="I4031" t="str">
        <f>"05"</f>
        <v>05</v>
      </c>
      <c r="J4031" t="s">
        <v>58</v>
      </c>
      <c r="K4031" t="s">
        <v>98</v>
      </c>
      <c r="L4031" t="s">
        <v>37</v>
      </c>
      <c r="M4031" t="s">
        <v>257</v>
      </c>
      <c r="N4031" s="1">
        <v>41617</v>
      </c>
      <c r="O4031">
        <v>10753.08</v>
      </c>
      <c r="P4031">
        <v>2688.4</v>
      </c>
      <c r="Q4031" t="s">
        <v>37</v>
      </c>
      <c r="R4031" t="s">
        <v>51</v>
      </c>
      <c r="S4031" s="2" t="s">
        <v>52</v>
      </c>
      <c r="T4031" t="s">
        <v>53</v>
      </c>
    </row>
    <row r="4032" spans="1:20" x14ac:dyDescent="0.25">
      <c r="A4032" t="s">
        <v>9464</v>
      </c>
      <c r="B4032" t="str">
        <f>"2573"</f>
        <v>2573</v>
      </c>
      <c r="C4032" t="str">
        <f>"284602573"</f>
        <v>284602573</v>
      </c>
      <c r="D4032" t="s">
        <v>9465</v>
      </c>
      <c r="E4032" t="s">
        <v>4556</v>
      </c>
      <c r="F4032" t="s">
        <v>44</v>
      </c>
      <c r="G4032" s="1">
        <v>25709</v>
      </c>
      <c r="H4032" s="1">
        <v>38047</v>
      </c>
      <c r="I4032" t="str">
        <f>"12"</f>
        <v>12</v>
      </c>
      <c r="J4032" t="s">
        <v>245</v>
      </c>
      <c r="K4032" t="s">
        <v>98</v>
      </c>
      <c r="L4032" t="s">
        <v>37</v>
      </c>
      <c r="M4032" t="s">
        <v>257</v>
      </c>
      <c r="N4032" s="1">
        <v>41617</v>
      </c>
      <c r="O4032">
        <v>10753.08</v>
      </c>
      <c r="P4032">
        <v>2688.4</v>
      </c>
      <c r="Q4032" t="s">
        <v>37</v>
      </c>
      <c r="R4032" t="s">
        <v>29</v>
      </c>
      <c r="S4032" t="s">
        <v>336</v>
      </c>
      <c r="T4032" t="s">
        <v>337</v>
      </c>
    </row>
    <row r="4033" spans="1:20" x14ac:dyDescent="0.25">
      <c r="A4033" t="s">
        <v>9466</v>
      </c>
      <c r="B4033" t="str">
        <f>"2585"</f>
        <v>2585</v>
      </c>
      <c r="C4033" t="str">
        <f>"297522585"</f>
        <v>297522585</v>
      </c>
      <c r="D4033" t="s">
        <v>3043</v>
      </c>
      <c r="E4033" t="s">
        <v>9467</v>
      </c>
      <c r="F4033" t="s">
        <v>329</v>
      </c>
      <c r="G4033" s="1">
        <v>19067</v>
      </c>
      <c r="H4033" s="1">
        <v>38047</v>
      </c>
      <c r="I4033" t="str">
        <f>"09"</f>
        <v>09</v>
      </c>
      <c r="J4033" t="s">
        <v>4483</v>
      </c>
      <c r="L4033" t="s">
        <v>37</v>
      </c>
      <c r="M4033" t="s">
        <v>143</v>
      </c>
      <c r="N4033" s="1">
        <v>41617</v>
      </c>
      <c r="O4033">
        <v>185.9</v>
      </c>
      <c r="P4033">
        <v>-185.9</v>
      </c>
      <c r="Q4033" t="s">
        <v>37</v>
      </c>
      <c r="R4033" t="s">
        <v>38</v>
      </c>
      <c r="S4033" t="s">
        <v>3986</v>
      </c>
      <c r="T4033" t="s">
        <v>3987</v>
      </c>
    </row>
    <row r="4034" spans="1:20" x14ac:dyDescent="0.25">
      <c r="A4034" t="s">
        <v>9468</v>
      </c>
      <c r="B4034" t="str">
        <f>"1207"</f>
        <v>1207</v>
      </c>
      <c r="C4034" t="str">
        <f>"302721207"</f>
        <v>302721207</v>
      </c>
      <c r="D4034" t="s">
        <v>9469</v>
      </c>
      <c r="E4034" t="s">
        <v>1248</v>
      </c>
      <c r="F4034" t="s">
        <v>264</v>
      </c>
      <c r="G4034" s="1">
        <v>23212</v>
      </c>
      <c r="H4034" s="1">
        <v>38047</v>
      </c>
      <c r="I4034" t="str">
        <f>"03"</f>
        <v>03</v>
      </c>
      <c r="J4034" t="s">
        <v>70</v>
      </c>
      <c r="K4034" t="s">
        <v>98</v>
      </c>
      <c r="L4034" t="s">
        <v>37</v>
      </c>
      <c r="M4034" t="s">
        <v>99</v>
      </c>
      <c r="N4034" s="1">
        <v>41617</v>
      </c>
      <c r="O4034">
        <v>14801.8</v>
      </c>
      <c r="P4034">
        <v>3700.32</v>
      </c>
      <c r="Q4034" t="s">
        <v>37</v>
      </c>
      <c r="R4034" t="s">
        <v>29</v>
      </c>
      <c r="S4034" t="s">
        <v>2732</v>
      </c>
      <c r="T4034" t="s">
        <v>2733</v>
      </c>
    </row>
    <row r="4035" spans="1:20" x14ac:dyDescent="0.25">
      <c r="A4035" t="s">
        <v>9470</v>
      </c>
      <c r="B4035" t="str">
        <f>"5599"</f>
        <v>5599</v>
      </c>
      <c r="C4035" t="str">
        <f>"293905599"</f>
        <v>293905599</v>
      </c>
      <c r="D4035" t="s">
        <v>9471</v>
      </c>
      <c r="E4035" t="s">
        <v>430</v>
      </c>
      <c r="F4035" t="s">
        <v>174</v>
      </c>
      <c r="G4035" s="1">
        <v>29912</v>
      </c>
      <c r="H4035" s="1">
        <v>38034</v>
      </c>
      <c r="I4035" t="str">
        <f>"51"</f>
        <v>51</v>
      </c>
      <c r="J4035" t="s">
        <v>471</v>
      </c>
      <c r="K4035" t="s">
        <v>25</v>
      </c>
      <c r="L4035" t="s">
        <v>26</v>
      </c>
      <c r="M4035" t="s">
        <v>27</v>
      </c>
      <c r="N4035" s="1">
        <v>18629</v>
      </c>
      <c r="O4035">
        <v>0</v>
      </c>
      <c r="P4035">
        <v>0</v>
      </c>
      <c r="Q4035" t="s">
        <v>28</v>
      </c>
      <c r="R4035" t="s">
        <v>29</v>
      </c>
      <c r="S4035" t="s">
        <v>3258</v>
      </c>
      <c r="T4035" t="s">
        <v>3259</v>
      </c>
    </row>
    <row r="4036" spans="1:20" x14ac:dyDescent="0.25">
      <c r="A4036" t="s">
        <v>9472</v>
      </c>
      <c r="B4036" t="str">
        <f>"5053"</f>
        <v>5053</v>
      </c>
      <c r="C4036" t="str">
        <f>"301725053"</f>
        <v>301725053</v>
      </c>
      <c r="D4036" t="s">
        <v>9473</v>
      </c>
      <c r="E4036" t="s">
        <v>56</v>
      </c>
      <c r="F4036" t="s">
        <v>69</v>
      </c>
      <c r="G4036" s="1">
        <v>28254</v>
      </c>
      <c r="H4036" s="1">
        <v>38030</v>
      </c>
      <c r="I4036" t="str">
        <f>"51"</f>
        <v>51</v>
      </c>
      <c r="J4036" t="s">
        <v>471</v>
      </c>
      <c r="K4036" t="s">
        <v>25</v>
      </c>
      <c r="L4036" t="s">
        <v>26</v>
      </c>
      <c r="M4036" t="s">
        <v>27</v>
      </c>
      <c r="N4036" s="1">
        <v>18629</v>
      </c>
      <c r="O4036">
        <v>0</v>
      </c>
      <c r="P4036">
        <v>0</v>
      </c>
      <c r="Q4036" t="s">
        <v>28</v>
      </c>
      <c r="R4036" t="s">
        <v>29</v>
      </c>
      <c r="S4036" t="s">
        <v>138</v>
      </c>
      <c r="T4036" t="s">
        <v>139</v>
      </c>
    </row>
    <row r="4037" spans="1:20" x14ac:dyDescent="0.25">
      <c r="A4037" t="s">
        <v>9474</v>
      </c>
      <c r="B4037" t="str">
        <f>"9064"</f>
        <v>9064</v>
      </c>
      <c r="C4037" t="str">
        <f>"301809064"</f>
        <v>301809064</v>
      </c>
      <c r="D4037" t="s">
        <v>9475</v>
      </c>
      <c r="E4037" t="s">
        <v>2049</v>
      </c>
      <c r="F4037" t="s">
        <v>556</v>
      </c>
      <c r="G4037" s="1">
        <v>24839</v>
      </c>
      <c r="H4037" s="1">
        <v>38023</v>
      </c>
      <c r="I4037" t="str">
        <f>"41"</f>
        <v>41</v>
      </c>
      <c r="J4037" t="s">
        <v>24</v>
      </c>
      <c r="K4037" t="s">
        <v>25</v>
      </c>
      <c r="L4037" t="s">
        <v>26</v>
      </c>
      <c r="M4037" t="s">
        <v>27</v>
      </c>
      <c r="N4037" s="1">
        <v>18629</v>
      </c>
      <c r="O4037">
        <v>0</v>
      </c>
      <c r="P4037">
        <v>0</v>
      </c>
      <c r="Q4037" t="s">
        <v>28</v>
      </c>
      <c r="R4037" t="s">
        <v>51</v>
      </c>
      <c r="S4037" t="s">
        <v>2066</v>
      </c>
      <c r="T4037" t="s">
        <v>2067</v>
      </c>
    </row>
    <row r="4038" spans="1:20" x14ac:dyDescent="0.25">
      <c r="A4038" t="s">
        <v>9476</v>
      </c>
      <c r="B4038" t="str">
        <f>"2226"</f>
        <v>2226</v>
      </c>
      <c r="C4038" t="str">
        <f>"288642226"</f>
        <v>288642226</v>
      </c>
      <c r="D4038" t="s">
        <v>2730</v>
      </c>
      <c r="E4038" t="s">
        <v>463</v>
      </c>
      <c r="F4038" t="s">
        <v>438</v>
      </c>
      <c r="G4038" s="1">
        <v>26533</v>
      </c>
      <c r="H4038" s="1">
        <v>38019</v>
      </c>
      <c r="I4038" t="str">
        <f>"08"</f>
        <v>08</v>
      </c>
      <c r="J4038" t="s">
        <v>265</v>
      </c>
      <c r="K4038" t="s">
        <v>175</v>
      </c>
      <c r="L4038" t="s">
        <v>37</v>
      </c>
      <c r="M4038" t="s">
        <v>117</v>
      </c>
      <c r="N4038" s="1">
        <v>41617</v>
      </c>
      <c r="O4038">
        <v>5288.66</v>
      </c>
      <c r="P4038">
        <v>1322.1</v>
      </c>
      <c r="Q4038" t="s">
        <v>28</v>
      </c>
      <c r="R4038" t="s">
        <v>51</v>
      </c>
      <c r="S4038" t="s">
        <v>993</v>
      </c>
      <c r="T4038" t="s">
        <v>994</v>
      </c>
    </row>
    <row r="4039" spans="1:20" x14ac:dyDescent="0.25">
      <c r="A4039" t="s">
        <v>9477</v>
      </c>
      <c r="B4039" t="str">
        <f>"1327"</f>
        <v>1327</v>
      </c>
      <c r="C4039" t="str">
        <f>"301861327"</f>
        <v>301861327</v>
      </c>
      <c r="D4039" t="s">
        <v>9478</v>
      </c>
      <c r="E4039" t="s">
        <v>9479</v>
      </c>
      <c r="G4039" s="1">
        <v>30584</v>
      </c>
      <c r="H4039" s="1">
        <v>38019</v>
      </c>
      <c r="I4039" t="str">
        <f>"41"</f>
        <v>41</v>
      </c>
      <c r="J4039" t="s">
        <v>24</v>
      </c>
      <c r="K4039" t="s">
        <v>25</v>
      </c>
      <c r="L4039" t="s">
        <v>26</v>
      </c>
      <c r="M4039" t="s">
        <v>27</v>
      </c>
      <c r="N4039" s="1">
        <v>18629</v>
      </c>
      <c r="O4039">
        <v>0</v>
      </c>
      <c r="P4039">
        <v>0</v>
      </c>
      <c r="Q4039" t="s">
        <v>37</v>
      </c>
      <c r="R4039" t="s">
        <v>71</v>
      </c>
      <c r="S4039" t="s">
        <v>505</v>
      </c>
      <c r="T4039" t="s">
        <v>506</v>
      </c>
    </row>
    <row r="4040" spans="1:20" x14ac:dyDescent="0.25">
      <c r="A4040" t="s">
        <v>9480</v>
      </c>
      <c r="B4040" t="str">
        <f>"2074"</f>
        <v>2074</v>
      </c>
      <c r="C4040" t="str">
        <f>"268522074"</f>
        <v>268522074</v>
      </c>
      <c r="D4040" t="s">
        <v>9481</v>
      </c>
      <c r="E4040" t="s">
        <v>35</v>
      </c>
      <c r="G4040" s="1">
        <v>18781</v>
      </c>
      <c r="H4040" s="1">
        <v>38019</v>
      </c>
      <c r="I4040" t="str">
        <f>"08"</f>
        <v>08</v>
      </c>
      <c r="J4040" t="s">
        <v>265</v>
      </c>
      <c r="K4040" t="s">
        <v>98</v>
      </c>
      <c r="L4040" t="s">
        <v>37</v>
      </c>
      <c r="M4040" t="s">
        <v>99</v>
      </c>
      <c r="N4040" s="1">
        <v>41617</v>
      </c>
      <c r="O4040">
        <v>14801.8</v>
      </c>
      <c r="P4040">
        <v>3700.32</v>
      </c>
      <c r="Q4040" t="s">
        <v>28</v>
      </c>
      <c r="R4040" t="s">
        <v>71</v>
      </c>
      <c r="S4040" t="s">
        <v>5588</v>
      </c>
      <c r="T4040" t="s">
        <v>5589</v>
      </c>
    </row>
    <row r="4041" spans="1:20" x14ac:dyDescent="0.25">
      <c r="A4041" t="s">
        <v>9482</v>
      </c>
      <c r="B4041" t="str">
        <f>"4388"</f>
        <v>4388</v>
      </c>
      <c r="C4041" t="str">
        <f>"278404388"</f>
        <v>278404388</v>
      </c>
      <c r="D4041" t="s">
        <v>9483</v>
      </c>
      <c r="E4041" t="s">
        <v>106</v>
      </c>
      <c r="F4041" t="s">
        <v>97</v>
      </c>
      <c r="G4041" s="1">
        <v>16781</v>
      </c>
      <c r="H4041" s="1">
        <v>38012</v>
      </c>
      <c r="I4041" t="str">
        <f>"51"</f>
        <v>51</v>
      </c>
      <c r="J4041" t="s">
        <v>471</v>
      </c>
      <c r="K4041" t="s">
        <v>25</v>
      </c>
      <c r="L4041" t="s">
        <v>26</v>
      </c>
      <c r="M4041" t="s">
        <v>27</v>
      </c>
      <c r="N4041" s="1">
        <v>18629</v>
      </c>
      <c r="O4041">
        <v>0</v>
      </c>
      <c r="P4041">
        <v>0</v>
      </c>
      <c r="Q4041" t="s">
        <v>28</v>
      </c>
      <c r="R4041" t="s">
        <v>71</v>
      </c>
      <c r="S4041" t="s">
        <v>790</v>
      </c>
      <c r="T4041" t="s">
        <v>791</v>
      </c>
    </row>
    <row r="4042" spans="1:20" x14ac:dyDescent="0.25">
      <c r="A4042" t="s">
        <v>9484</v>
      </c>
      <c r="B4042" t="str">
        <f>"0211"</f>
        <v>0211</v>
      </c>
      <c r="C4042" t="str">
        <f>"273820211"</f>
        <v>273820211</v>
      </c>
      <c r="D4042" t="s">
        <v>9485</v>
      </c>
      <c r="E4042" t="s">
        <v>1453</v>
      </c>
      <c r="F4042" t="s">
        <v>37</v>
      </c>
      <c r="G4042" s="1">
        <v>28050</v>
      </c>
      <c r="H4042" s="1">
        <v>38012</v>
      </c>
      <c r="I4042" t="str">
        <f>"51"</f>
        <v>51</v>
      </c>
      <c r="J4042" t="s">
        <v>471</v>
      </c>
      <c r="K4042" t="s">
        <v>25</v>
      </c>
      <c r="L4042" t="s">
        <v>26</v>
      </c>
      <c r="M4042" t="s">
        <v>27</v>
      </c>
      <c r="N4042" s="1">
        <v>18629</v>
      </c>
      <c r="O4042">
        <v>0</v>
      </c>
      <c r="P4042">
        <v>0</v>
      </c>
      <c r="Q4042" t="s">
        <v>28</v>
      </c>
      <c r="R4042" t="s">
        <v>71</v>
      </c>
      <c r="S4042" t="s">
        <v>955</v>
      </c>
      <c r="T4042" t="s">
        <v>956</v>
      </c>
    </row>
    <row r="4043" spans="1:20" x14ac:dyDescent="0.25">
      <c r="A4043" t="s">
        <v>9486</v>
      </c>
      <c r="B4043" t="str">
        <f>"5535"</f>
        <v>5535</v>
      </c>
      <c r="C4043" t="str">
        <f>"287485535"</f>
        <v>287485535</v>
      </c>
      <c r="D4043" t="s">
        <v>3882</v>
      </c>
      <c r="E4043" t="s">
        <v>430</v>
      </c>
      <c r="F4043" t="s">
        <v>239</v>
      </c>
      <c r="G4043" s="1">
        <v>20332</v>
      </c>
      <c r="H4043" s="1">
        <v>38012</v>
      </c>
      <c r="I4043" t="str">
        <f>"51"</f>
        <v>51</v>
      </c>
      <c r="J4043" t="s">
        <v>471</v>
      </c>
      <c r="K4043" t="s">
        <v>25</v>
      </c>
      <c r="L4043" t="s">
        <v>26</v>
      </c>
      <c r="M4043" t="s">
        <v>27</v>
      </c>
      <c r="N4043" s="1">
        <v>18629</v>
      </c>
      <c r="O4043">
        <v>0</v>
      </c>
      <c r="P4043">
        <v>0</v>
      </c>
      <c r="Q4043" t="s">
        <v>28</v>
      </c>
      <c r="R4043" t="s">
        <v>346</v>
      </c>
      <c r="S4043" t="s">
        <v>2825</v>
      </c>
      <c r="T4043" t="s">
        <v>2826</v>
      </c>
    </row>
    <row r="4044" spans="1:20" x14ac:dyDescent="0.25">
      <c r="A4044" t="s">
        <v>9487</v>
      </c>
      <c r="B4044" t="str">
        <f>"2317"</f>
        <v>2317</v>
      </c>
      <c r="C4044" t="str">
        <f>"289602317"</f>
        <v>289602317</v>
      </c>
      <c r="D4044" t="s">
        <v>9488</v>
      </c>
      <c r="E4044" t="s">
        <v>1050</v>
      </c>
      <c r="F4044" t="s">
        <v>414</v>
      </c>
      <c r="G4044" s="1">
        <v>23856</v>
      </c>
      <c r="H4044" s="1">
        <v>38005</v>
      </c>
      <c r="I4044" t="str">
        <f>"52"</f>
        <v>52</v>
      </c>
      <c r="J4044" t="s">
        <v>330</v>
      </c>
      <c r="K4044" t="s">
        <v>25</v>
      </c>
      <c r="L4044" t="s">
        <v>26</v>
      </c>
      <c r="M4044" t="s">
        <v>27</v>
      </c>
      <c r="N4044" s="1">
        <v>18629</v>
      </c>
      <c r="O4044">
        <v>0</v>
      </c>
      <c r="P4044">
        <v>0</v>
      </c>
      <c r="Q4044" t="s">
        <v>28</v>
      </c>
      <c r="R4044" t="s">
        <v>258</v>
      </c>
      <c r="S4044" t="s">
        <v>331</v>
      </c>
      <c r="T4044" t="s">
        <v>332</v>
      </c>
    </row>
    <row r="4045" spans="1:20" x14ac:dyDescent="0.25">
      <c r="A4045" t="s">
        <v>9489</v>
      </c>
      <c r="B4045" t="str">
        <f>"3155"</f>
        <v>3155</v>
      </c>
      <c r="C4045" t="str">
        <f>"270563155"</f>
        <v>270563155</v>
      </c>
      <c r="D4045" t="s">
        <v>9490</v>
      </c>
      <c r="E4045" t="s">
        <v>56</v>
      </c>
      <c r="F4045" t="s">
        <v>165</v>
      </c>
      <c r="G4045" s="1">
        <v>20349</v>
      </c>
      <c r="H4045" s="1">
        <v>38005</v>
      </c>
      <c r="I4045" t="str">
        <f>"03"</f>
        <v>03</v>
      </c>
      <c r="J4045" t="s">
        <v>70</v>
      </c>
      <c r="K4045" t="s">
        <v>98</v>
      </c>
      <c r="L4045" t="s">
        <v>37</v>
      </c>
      <c r="M4045" t="s">
        <v>99</v>
      </c>
      <c r="N4045" s="1">
        <v>41617</v>
      </c>
      <c r="O4045">
        <v>14801.8</v>
      </c>
      <c r="P4045">
        <v>3700.32</v>
      </c>
      <c r="Q4045" t="s">
        <v>28</v>
      </c>
      <c r="R4045" t="s">
        <v>29</v>
      </c>
      <c r="S4045" t="s">
        <v>2066</v>
      </c>
      <c r="T4045" t="s">
        <v>2067</v>
      </c>
    </row>
    <row r="4046" spans="1:20" x14ac:dyDescent="0.25">
      <c r="A4046" t="s">
        <v>9491</v>
      </c>
      <c r="B4046" t="str">
        <f>"0045"</f>
        <v>0045</v>
      </c>
      <c r="C4046" t="str">
        <f>"278500045"</f>
        <v>278500045</v>
      </c>
      <c r="D4046" t="s">
        <v>9492</v>
      </c>
      <c r="E4046" t="s">
        <v>335</v>
      </c>
      <c r="F4046" t="s">
        <v>174</v>
      </c>
      <c r="G4046" s="1">
        <v>24212</v>
      </c>
      <c r="H4046" s="1">
        <v>38005</v>
      </c>
      <c r="I4046" t="str">
        <f>"42"</f>
        <v>42</v>
      </c>
      <c r="J4046" t="s">
        <v>367</v>
      </c>
      <c r="K4046" t="s">
        <v>25</v>
      </c>
      <c r="L4046" t="s">
        <v>26</v>
      </c>
      <c r="M4046" t="s">
        <v>27</v>
      </c>
      <c r="N4046" s="1">
        <v>18629</v>
      </c>
      <c r="O4046">
        <v>0</v>
      </c>
      <c r="P4046">
        <v>0</v>
      </c>
      <c r="Q4046" t="s">
        <v>28</v>
      </c>
      <c r="R4046" t="s">
        <v>29</v>
      </c>
      <c r="S4046" t="s">
        <v>982</v>
      </c>
      <c r="T4046" t="s">
        <v>983</v>
      </c>
    </row>
    <row r="4047" spans="1:20" x14ac:dyDescent="0.25">
      <c r="A4047" t="s">
        <v>9493</v>
      </c>
      <c r="B4047" t="str">
        <f>"8236"</f>
        <v>8236</v>
      </c>
      <c r="C4047" t="str">
        <f>"273528236"</f>
        <v>273528236</v>
      </c>
      <c r="D4047" t="s">
        <v>9494</v>
      </c>
      <c r="E4047" t="s">
        <v>1808</v>
      </c>
      <c r="G4047" s="1">
        <v>18852</v>
      </c>
      <c r="H4047" s="1">
        <v>38005</v>
      </c>
      <c r="I4047" t="str">
        <f>"42"</f>
        <v>42</v>
      </c>
      <c r="J4047" t="s">
        <v>367</v>
      </c>
      <c r="K4047" t="s">
        <v>25</v>
      </c>
      <c r="L4047" t="s">
        <v>26</v>
      </c>
      <c r="M4047" t="s">
        <v>27</v>
      </c>
      <c r="N4047" s="1">
        <v>18629</v>
      </c>
      <c r="O4047">
        <v>0</v>
      </c>
      <c r="P4047">
        <v>0</v>
      </c>
      <c r="Q4047" t="s">
        <v>37</v>
      </c>
      <c r="R4047" t="s">
        <v>51</v>
      </c>
      <c r="S4047" t="s">
        <v>1222</v>
      </c>
      <c r="T4047" t="s">
        <v>1223</v>
      </c>
    </row>
    <row r="4048" spans="1:20" x14ac:dyDescent="0.25">
      <c r="A4048" t="s">
        <v>9495</v>
      </c>
      <c r="B4048" t="str">
        <f>"5163"</f>
        <v>5163</v>
      </c>
      <c r="C4048" t="str">
        <f>"286425163"</f>
        <v>286425163</v>
      </c>
      <c r="D4048" t="s">
        <v>9496</v>
      </c>
      <c r="E4048" t="s">
        <v>35</v>
      </c>
      <c r="F4048" t="s">
        <v>438</v>
      </c>
      <c r="G4048" s="1">
        <v>21066</v>
      </c>
      <c r="H4048" s="1">
        <v>38001</v>
      </c>
      <c r="I4048" t="str">
        <f>"01"</f>
        <v>01</v>
      </c>
      <c r="J4048" t="s">
        <v>116</v>
      </c>
      <c r="L4048" t="s">
        <v>37</v>
      </c>
      <c r="M4048" t="s">
        <v>143</v>
      </c>
      <c r="N4048" s="1">
        <v>41617</v>
      </c>
      <c r="O4048">
        <v>185.9</v>
      </c>
      <c r="P4048">
        <v>-185.9</v>
      </c>
      <c r="Q4048" t="s">
        <v>28</v>
      </c>
      <c r="R4048" t="s">
        <v>29</v>
      </c>
      <c r="S4048" t="s">
        <v>2251</v>
      </c>
      <c r="T4048" t="s">
        <v>2252</v>
      </c>
    </row>
    <row r="4049" spans="1:20" x14ac:dyDescent="0.25">
      <c r="A4049" t="s">
        <v>9497</v>
      </c>
      <c r="B4049" t="str">
        <f>"6815"</f>
        <v>6815</v>
      </c>
      <c r="C4049" t="str">
        <f>"099586815"</f>
        <v>099586815</v>
      </c>
      <c r="D4049" t="s">
        <v>9498</v>
      </c>
      <c r="E4049" t="s">
        <v>463</v>
      </c>
      <c r="F4049" t="s">
        <v>556</v>
      </c>
      <c r="G4049" s="1">
        <v>18473</v>
      </c>
      <c r="H4049" s="1">
        <v>37998</v>
      </c>
      <c r="I4049" t="str">
        <f t="shared" ref="I4049:I4058" si="90">"51"</f>
        <v>51</v>
      </c>
      <c r="J4049" t="s">
        <v>471</v>
      </c>
      <c r="K4049" t="s">
        <v>25</v>
      </c>
      <c r="L4049" t="s">
        <v>26</v>
      </c>
      <c r="M4049" t="s">
        <v>27</v>
      </c>
      <c r="N4049" s="1">
        <v>18629</v>
      </c>
      <c r="O4049">
        <v>0</v>
      </c>
      <c r="P4049">
        <v>0</v>
      </c>
      <c r="Q4049" t="s">
        <v>28</v>
      </c>
      <c r="R4049" t="s">
        <v>51</v>
      </c>
      <c r="S4049" s="2" t="s">
        <v>774</v>
      </c>
      <c r="T4049" t="s">
        <v>775</v>
      </c>
    </row>
    <row r="4050" spans="1:20" x14ac:dyDescent="0.25">
      <c r="A4050" t="s">
        <v>9499</v>
      </c>
      <c r="B4050" t="str">
        <f>"6443"</f>
        <v>6443</v>
      </c>
      <c r="C4050" t="str">
        <f>"284686443"</f>
        <v>284686443</v>
      </c>
      <c r="D4050" t="s">
        <v>9500</v>
      </c>
      <c r="E4050" t="s">
        <v>263</v>
      </c>
      <c r="F4050" t="s">
        <v>264</v>
      </c>
      <c r="G4050" s="1">
        <v>25892</v>
      </c>
      <c r="H4050" s="1">
        <v>37998</v>
      </c>
      <c r="I4050" t="str">
        <f t="shared" si="90"/>
        <v>51</v>
      </c>
      <c r="J4050" t="s">
        <v>471</v>
      </c>
      <c r="K4050" t="s">
        <v>25</v>
      </c>
      <c r="L4050" t="s">
        <v>26</v>
      </c>
      <c r="M4050" t="s">
        <v>27</v>
      </c>
      <c r="N4050" s="1">
        <v>18629</v>
      </c>
      <c r="O4050">
        <v>0</v>
      </c>
      <c r="P4050">
        <v>0</v>
      </c>
      <c r="Q4050" t="s">
        <v>28</v>
      </c>
      <c r="R4050" t="s">
        <v>29</v>
      </c>
      <c r="S4050" t="s">
        <v>6614</v>
      </c>
      <c r="T4050" t="s">
        <v>6615</v>
      </c>
    </row>
    <row r="4051" spans="1:20" x14ac:dyDescent="0.25">
      <c r="A4051" t="s">
        <v>9501</v>
      </c>
      <c r="B4051" t="str">
        <f>"3791"</f>
        <v>3791</v>
      </c>
      <c r="C4051" t="str">
        <f>"170603791"</f>
        <v>170603791</v>
      </c>
      <c r="D4051" t="s">
        <v>9502</v>
      </c>
      <c r="E4051" t="s">
        <v>1813</v>
      </c>
      <c r="F4051" t="s">
        <v>414</v>
      </c>
      <c r="G4051" s="1">
        <v>23177</v>
      </c>
      <c r="H4051" s="1">
        <v>37998</v>
      </c>
      <c r="I4051" t="str">
        <f t="shared" si="90"/>
        <v>51</v>
      </c>
      <c r="J4051" t="s">
        <v>471</v>
      </c>
      <c r="K4051" t="s">
        <v>25</v>
      </c>
      <c r="L4051" t="s">
        <v>26</v>
      </c>
      <c r="M4051" t="s">
        <v>27</v>
      </c>
      <c r="N4051" s="1">
        <v>18629</v>
      </c>
      <c r="O4051">
        <v>0</v>
      </c>
      <c r="P4051">
        <v>0</v>
      </c>
      <c r="Q4051" t="s">
        <v>37</v>
      </c>
      <c r="R4051" t="s">
        <v>29</v>
      </c>
      <c r="S4051" t="s">
        <v>3588</v>
      </c>
      <c r="T4051" t="s">
        <v>3589</v>
      </c>
    </row>
    <row r="4052" spans="1:20" x14ac:dyDescent="0.25">
      <c r="A4052" t="s">
        <v>9503</v>
      </c>
      <c r="B4052" t="str">
        <f>"0948"</f>
        <v>0948</v>
      </c>
      <c r="C4052" t="str">
        <f>"283780948"</f>
        <v>283780948</v>
      </c>
      <c r="D4052" t="s">
        <v>7780</v>
      </c>
      <c r="E4052" t="s">
        <v>3241</v>
      </c>
      <c r="F4052" t="s">
        <v>28</v>
      </c>
      <c r="G4052" s="1">
        <v>25518</v>
      </c>
      <c r="H4052" s="1">
        <v>37998</v>
      </c>
      <c r="I4052" t="str">
        <f t="shared" si="90"/>
        <v>51</v>
      </c>
      <c r="J4052" t="s">
        <v>471</v>
      </c>
      <c r="K4052" t="s">
        <v>25</v>
      </c>
      <c r="L4052" t="s">
        <v>26</v>
      </c>
      <c r="M4052" t="s">
        <v>27</v>
      </c>
      <c r="N4052" s="1">
        <v>18629</v>
      </c>
      <c r="O4052">
        <v>0</v>
      </c>
      <c r="P4052">
        <v>0</v>
      </c>
      <c r="Q4052" t="s">
        <v>37</v>
      </c>
      <c r="R4052" t="s">
        <v>71</v>
      </c>
      <c r="S4052" s="2" t="s">
        <v>2202</v>
      </c>
      <c r="T4052" t="s">
        <v>2203</v>
      </c>
    </row>
    <row r="4053" spans="1:20" x14ac:dyDescent="0.25">
      <c r="A4053" t="s">
        <v>9504</v>
      </c>
      <c r="B4053" t="str">
        <f>"6185"</f>
        <v>6185</v>
      </c>
      <c r="C4053" t="str">
        <f>"269546185"</f>
        <v>269546185</v>
      </c>
      <c r="D4053" t="s">
        <v>91</v>
      </c>
      <c r="E4053" t="s">
        <v>109</v>
      </c>
      <c r="F4053" t="s">
        <v>93</v>
      </c>
      <c r="G4053" s="1">
        <v>24160</v>
      </c>
      <c r="H4053" s="1">
        <v>37998</v>
      </c>
      <c r="I4053" t="str">
        <f t="shared" si="90"/>
        <v>51</v>
      </c>
      <c r="J4053" t="s">
        <v>471</v>
      </c>
      <c r="K4053" t="s">
        <v>25</v>
      </c>
      <c r="L4053" t="s">
        <v>26</v>
      </c>
      <c r="M4053" t="s">
        <v>27</v>
      </c>
      <c r="N4053" s="1">
        <v>18629</v>
      </c>
      <c r="O4053">
        <v>0</v>
      </c>
      <c r="P4053">
        <v>0</v>
      </c>
      <c r="Q4053" t="s">
        <v>37</v>
      </c>
      <c r="R4053" t="s">
        <v>71</v>
      </c>
      <c r="S4053" t="s">
        <v>2406</v>
      </c>
      <c r="T4053" t="s">
        <v>2407</v>
      </c>
    </row>
    <row r="4054" spans="1:20" x14ac:dyDescent="0.25">
      <c r="A4054" t="s">
        <v>9505</v>
      </c>
      <c r="B4054" t="str">
        <f>"3959"</f>
        <v>3959</v>
      </c>
      <c r="C4054" t="str">
        <f>"160603959"</f>
        <v>160603959</v>
      </c>
      <c r="D4054" t="s">
        <v>9506</v>
      </c>
      <c r="E4054" t="s">
        <v>2267</v>
      </c>
      <c r="F4054" t="s">
        <v>26</v>
      </c>
      <c r="G4054" s="1">
        <v>27813</v>
      </c>
      <c r="H4054" s="1">
        <v>37998</v>
      </c>
      <c r="I4054" t="str">
        <f t="shared" si="90"/>
        <v>51</v>
      </c>
      <c r="J4054" t="s">
        <v>471</v>
      </c>
      <c r="K4054" t="s">
        <v>25</v>
      </c>
      <c r="L4054" t="s">
        <v>26</v>
      </c>
      <c r="M4054" t="s">
        <v>27</v>
      </c>
      <c r="N4054" s="1">
        <v>18629</v>
      </c>
      <c r="O4054">
        <v>0</v>
      </c>
      <c r="P4054">
        <v>0</v>
      </c>
      <c r="Q4054" t="s">
        <v>28</v>
      </c>
      <c r="R4054" t="s">
        <v>71</v>
      </c>
      <c r="S4054" t="s">
        <v>790</v>
      </c>
      <c r="T4054" t="s">
        <v>791</v>
      </c>
    </row>
    <row r="4055" spans="1:20" x14ac:dyDescent="0.25">
      <c r="A4055" t="s">
        <v>9507</v>
      </c>
      <c r="B4055" t="str">
        <f>"3480"</f>
        <v>3480</v>
      </c>
      <c r="C4055" t="str">
        <f>"273423480"</f>
        <v>273423480</v>
      </c>
      <c r="D4055" t="s">
        <v>9508</v>
      </c>
      <c r="E4055" t="s">
        <v>56</v>
      </c>
      <c r="F4055" t="s">
        <v>37</v>
      </c>
      <c r="G4055" s="1">
        <v>17490</v>
      </c>
      <c r="H4055" s="1">
        <v>37998</v>
      </c>
      <c r="I4055" t="str">
        <f t="shared" si="90"/>
        <v>51</v>
      </c>
      <c r="J4055" t="s">
        <v>471</v>
      </c>
      <c r="K4055" t="s">
        <v>25</v>
      </c>
      <c r="L4055" t="s">
        <v>26</v>
      </c>
      <c r="M4055" t="s">
        <v>27</v>
      </c>
      <c r="N4055" s="1">
        <v>18629</v>
      </c>
      <c r="O4055">
        <v>0</v>
      </c>
      <c r="P4055">
        <v>0</v>
      </c>
      <c r="Q4055" t="s">
        <v>28</v>
      </c>
      <c r="R4055" t="s">
        <v>71</v>
      </c>
      <c r="S4055" t="s">
        <v>2590</v>
      </c>
      <c r="T4055" t="s">
        <v>2591</v>
      </c>
    </row>
    <row r="4056" spans="1:20" x14ac:dyDescent="0.25">
      <c r="A4056" t="s">
        <v>9509</v>
      </c>
      <c r="B4056" t="str">
        <f>"9114"</f>
        <v>9114</v>
      </c>
      <c r="C4056" t="str">
        <f>"268709114"</f>
        <v>268709114</v>
      </c>
      <c r="D4056" t="s">
        <v>9510</v>
      </c>
      <c r="E4056" t="s">
        <v>963</v>
      </c>
      <c r="F4056" t="s">
        <v>556</v>
      </c>
      <c r="G4056" s="1">
        <v>27426</v>
      </c>
      <c r="H4056" s="1">
        <v>37998</v>
      </c>
      <c r="I4056" t="str">
        <f t="shared" si="90"/>
        <v>51</v>
      </c>
      <c r="J4056" t="s">
        <v>471</v>
      </c>
      <c r="K4056" t="s">
        <v>25</v>
      </c>
      <c r="L4056" t="s">
        <v>26</v>
      </c>
      <c r="M4056" t="s">
        <v>27</v>
      </c>
      <c r="N4056" s="1">
        <v>18629</v>
      </c>
      <c r="O4056">
        <v>0</v>
      </c>
      <c r="P4056">
        <v>0</v>
      </c>
      <c r="Q4056" t="s">
        <v>37</v>
      </c>
      <c r="R4056" t="s">
        <v>258</v>
      </c>
      <c r="S4056" t="s">
        <v>1462</v>
      </c>
      <c r="T4056" t="s">
        <v>1463</v>
      </c>
    </row>
    <row r="4057" spans="1:20" x14ac:dyDescent="0.25">
      <c r="A4057" t="s">
        <v>9511</v>
      </c>
      <c r="B4057" t="str">
        <f>"3598"</f>
        <v>3598</v>
      </c>
      <c r="C4057" t="str">
        <f>"382963598"</f>
        <v>382963598</v>
      </c>
      <c r="D4057" t="s">
        <v>9512</v>
      </c>
      <c r="E4057" t="s">
        <v>778</v>
      </c>
      <c r="F4057" t="s">
        <v>9513</v>
      </c>
      <c r="G4057" s="1">
        <v>28144</v>
      </c>
      <c r="H4057" s="1">
        <v>37998</v>
      </c>
      <c r="I4057" t="str">
        <f t="shared" si="90"/>
        <v>51</v>
      </c>
      <c r="J4057" t="s">
        <v>471</v>
      </c>
      <c r="K4057" t="s">
        <v>25</v>
      </c>
      <c r="L4057" t="s">
        <v>26</v>
      </c>
      <c r="M4057" t="s">
        <v>27</v>
      </c>
      <c r="N4057" s="1">
        <v>18629</v>
      </c>
      <c r="O4057">
        <v>0</v>
      </c>
      <c r="P4057">
        <v>0</v>
      </c>
      <c r="Q4057" t="s">
        <v>37</v>
      </c>
      <c r="R4057" t="s">
        <v>51</v>
      </c>
      <c r="S4057" s="2" t="s">
        <v>1656</v>
      </c>
      <c r="T4057" t="s">
        <v>1657</v>
      </c>
    </row>
    <row r="4058" spans="1:20" x14ac:dyDescent="0.25">
      <c r="A4058" t="s">
        <v>9514</v>
      </c>
      <c r="B4058" t="str">
        <f>"7389"</f>
        <v>7389</v>
      </c>
      <c r="C4058" t="str">
        <f>"272707389"</f>
        <v>272707389</v>
      </c>
      <c r="D4058" t="s">
        <v>9515</v>
      </c>
      <c r="E4058" t="s">
        <v>93</v>
      </c>
      <c r="F4058" t="s">
        <v>358</v>
      </c>
      <c r="G4058" s="1">
        <v>22124</v>
      </c>
      <c r="H4058" s="1">
        <v>37998</v>
      </c>
      <c r="I4058" t="str">
        <f t="shared" si="90"/>
        <v>51</v>
      </c>
      <c r="J4058" t="s">
        <v>471</v>
      </c>
      <c r="K4058" t="s">
        <v>25</v>
      </c>
      <c r="L4058" t="s">
        <v>26</v>
      </c>
      <c r="M4058" t="s">
        <v>27</v>
      </c>
      <c r="N4058" s="1">
        <v>18629</v>
      </c>
      <c r="O4058">
        <v>0</v>
      </c>
      <c r="P4058">
        <v>0</v>
      </c>
      <c r="Q4058" t="s">
        <v>37</v>
      </c>
      <c r="R4058" t="s">
        <v>29</v>
      </c>
      <c r="S4058" t="s">
        <v>1555</v>
      </c>
      <c r="T4058" t="s">
        <v>1556</v>
      </c>
    </row>
    <row r="4059" spans="1:20" x14ac:dyDescent="0.25">
      <c r="A4059" t="s">
        <v>9516</v>
      </c>
      <c r="B4059" t="str">
        <f>"9570"</f>
        <v>9570</v>
      </c>
      <c r="C4059" t="str">
        <f>"283569570"</f>
        <v>283569570</v>
      </c>
      <c r="D4059" t="s">
        <v>9517</v>
      </c>
      <c r="E4059" t="s">
        <v>2385</v>
      </c>
      <c r="F4059" t="s">
        <v>97</v>
      </c>
      <c r="G4059" s="1">
        <v>25515</v>
      </c>
      <c r="H4059" s="1">
        <v>37935</v>
      </c>
      <c r="I4059" t="str">
        <f>"03"</f>
        <v>03</v>
      </c>
      <c r="J4059" t="s">
        <v>70</v>
      </c>
      <c r="K4059" t="s">
        <v>98</v>
      </c>
      <c r="L4059" t="s">
        <v>37</v>
      </c>
      <c r="M4059" t="s">
        <v>117</v>
      </c>
      <c r="N4059" s="1">
        <v>41617</v>
      </c>
      <c r="O4059">
        <v>4951.96</v>
      </c>
      <c r="P4059">
        <v>1237.8599999999999</v>
      </c>
      <c r="Q4059" t="s">
        <v>37</v>
      </c>
      <c r="R4059" t="s">
        <v>71</v>
      </c>
      <c r="S4059" t="s">
        <v>3635</v>
      </c>
      <c r="T4059" t="s">
        <v>3636</v>
      </c>
    </row>
    <row r="4060" spans="1:20" x14ac:dyDescent="0.25">
      <c r="A4060" t="s">
        <v>9518</v>
      </c>
      <c r="B4060" t="str">
        <f>"9369"</f>
        <v>9369</v>
      </c>
      <c r="C4060" t="str">
        <f>"291809369"</f>
        <v>291809369</v>
      </c>
      <c r="D4060" t="s">
        <v>9519</v>
      </c>
      <c r="E4060" t="s">
        <v>35</v>
      </c>
      <c r="F4060" t="s">
        <v>93</v>
      </c>
      <c r="G4060" s="1">
        <v>27829</v>
      </c>
      <c r="H4060" s="1">
        <v>37935</v>
      </c>
      <c r="I4060" t="str">
        <f>"05"</f>
        <v>05</v>
      </c>
      <c r="J4060" t="s">
        <v>58</v>
      </c>
      <c r="K4060" t="s">
        <v>175</v>
      </c>
      <c r="L4060" t="s">
        <v>37</v>
      </c>
      <c r="M4060" t="s">
        <v>117</v>
      </c>
      <c r="N4060" s="1">
        <v>41617</v>
      </c>
      <c r="O4060">
        <v>5288.66</v>
      </c>
      <c r="P4060">
        <v>1322.1</v>
      </c>
      <c r="Q4060" t="s">
        <v>28</v>
      </c>
      <c r="R4060" t="s">
        <v>71</v>
      </c>
      <c r="S4060" t="s">
        <v>373</v>
      </c>
      <c r="T4060" t="s">
        <v>374</v>
      </c>
    </row>
    <row r="4061" spans="1:20" x14ac:dyDescent="0.25">
      <c r="A4061" t="s">
        <v>9520</v>
      </c>
      <c r="B4061" t="str">
        <f>"8935"</f>
        <v>8935</v>
      </c>
      <c r="C4061" t="str">
        <f>"283628935"</f>
        <v>283628935</v>
      </c>
      <c r="D4061" t="s">
        <v>674</v>
      </c>
      <c r="E4061" t="s">
        <v>137</v>
      </c>
      <c r="F4061" t="s">
        <v>44</v>
      </c>
      <c r="G4061" s="1">
        <v>22560</v>
      </c>
      <c r="H4061" s="1">
        <v>37928</v>
      </c>
      <c r="I4061" t="str">
        <f>"12"</f>
        <v>12</v>
      </c>
      <c r="J4061" t="s">
        <v>245</v>
      </c>
      <c r="K4061" t="s">
        <v>98</v>
      </c>
      <c r="L4061" t="s">
        <v>37</v>
      </c>
      <c r="M4061" t="s">
        <v>117</v>
      </c>
      <c r="N4061" s="1">
        <v>41617</v>
      </c>
      <c r="O4061">
        <v>4951.96</v>
      </c>
      <c r="P4061">
        <v>1237.8599999999999</v>
      </c>
      <c r="Q4061" t="s">
        <v>37</v>
      </c>
      <c r="R4061" t="s">
        <v>29</v>
      </c>
      <c r="S4061" t="s">
        <v>3090</v>
      </c>
      <c r="T4061" t="s">
        <v>3091</v>
      </c>
    </row>
    <row r="4062" spans="1:20" x14ac:dyDescent="0.25">
      <c r="A4062" t="s">
        <v>9521</v>
      </c>
      <c r="B4062" t="str">
        <f>"5711"</f>
        <v>5711</v>
      </c>
      <c r="C4062" t="str">
        <f>"276825711"</f>
        <v>276825711</v>
      </c>
      <c r="D4062" t="s">
        <v>3868</v>
      </c>
      <c r="E4062" t="s">
        <v>2014</v>
      </c>
      <c r="F4062" t="s">
        <v>556</v>
      </c>
      <c r="G4062" s="1">
        <v>22940</v>
      </c>
      <c r="H4062" s="1">
        <v>37921</v>
      </c>
      <c r="I4062" t="str">
        <f>"01"</f>
        <v>01</v>
      </c>
      <c r="J4062" t="s">
        <v>116</v>
      </c>
      <c r="L4062" t="s">
        <v>37</v>
      </c>
      <c r="M4062" t="s">
        <v>143</v>
      </c>
      <c r="N4062" s="1">
        <v>41617</v>
      </c>
      <c r="O4062">
        <v>185.9</v>
      </c>
      <c r="P4062">
        <v>-185.9</v>
      </c>
      <c r="Q4062" t="s">
        <v>37</v>
      </c>
      <c r="R4062" t="s">
        <v>38</v>
      </c>
      <c r="S4062" t="s">
        <v>913</v>
      </c>
      <c r="T4062" t="s">
        <v>914</v>
      </c>
    </row>
    <row r="4063" spans="1:20" x14ac:dyDescent="0.25">
      <c r="A4063" t="s">
        <v>9522</v>
      </c>
      <c r="B4063" t="str">
        <f>"4202"</f>
        <v>4202</v>
      </c>
      <c r="C4063" t="str">
        <f>"372724202"</f>
        <v>372724202</v>
      </c>
      <c r="D4063" t="s">
        <v>1502</v>
      </c>
      <c r="E4063" t="s">
        <v>944</v>
      </c>
      <c r="F4063" t="s">
        <v>93</v>
      </c>
      <c r="G4063" s="1">
        <v>21107</v>
      </c>
      <c r="H4063" s="1">
        <v>37921</v>
      </c>
      <c r="I4063" t="str">
        <f>"01"</f>
        <v>01</v>
      </c>
      <c r="J4063" t="s">
        <v>116</v>
      </c>
      <c r="K4063" t="s">
        <v>98</v>
      </c>
      <c r="L4063" t="s">
        <v>37</v>
      </c>
      <c r="M4063" t="s">
        <v>99</v>
      </c>
      <c r="N4063" s="1">
        <v>41827</v>
      </c>
      <c r="O4063">
        <v>14801.8</v>
      </c>
      <c r="P4063">
        <v>3700.32</v>
      </c>
      <c r="Q4063" t="s">
        <v>28</v>
      </c>
      <c r="R4063" t="s">
        <v>29</v>
      </c>
      <c r="S4063" t="s">
        <v>491</v>
      </c>
      <c r="T4063" t="s">
        <v>492</v>
      </c>
    </row>
    <row r="4064" spans="1:20" x14ac:dyDescent="0.25">
      <c r="A4064" t="s">
        <v>9523</v>
      </c>
      <c r="B4064" t="str">
        <f>"3306"</f>
        <v>3306</v>
      </c>
      <c r="C4064" t="str">
        <f>"280743306"</f>
        <v>280743306</v>
      </c>
      <c r="D4064" t="s">
        <v>9524</v>
      </c>
      <c r="E4064" t="s">
        <v>9525</v>
      </c>
      <c r="G4064" s="1">
        <v>23658</v>
      </c>
      <c r="H4064" s="1">
        <v>37921</v>
      </c>
      <c r="I4064" t="str">
        <f>"30"</f>
        <v>30</v>
      </c>
      <c r="J4064" t="s">
        <v>50</v>
      </c>
      <c r="K4064" t="s">
        <v>25</v>
      </c>
      <c r="L4064" t="s">
        <v>26</v>
      </c>
      <c r="M4064" t="s">
        <v>27</v>
      </c>
      <c r="N4064" s="1">
        <v>18629</v>
      </c>
      <c r="O4064">
        <v>0</v>
      </c>
      <c r="P4064">
        <v>0</v>
      </c>
      <c r="Q4064" t="s">
        <v>37</v>
      </c>
      <c r="R4064" t="s">
        <v>29</v>
      </c>
      <c r="S4064" t="s">
        <v>240</v>
      </c>
      <c r="T4064" t="s">
        <v>241</v>
      </c>
    </row>
    <row r="4065" spans="1:20" x14ac:dyDescent="0.25">
      <c r="A4065" t="s">
        <v>9526</v>
      </c>
      <c r="B4065" t="str">
        <f>"6551"</f>
        <v>6551</v>
      </c>
      <c r="C4065" t="str">
        <f>"284366551"</f>
        <v>284366551</v>
      </c>
      <c r="D4065" t="s">
        <v>8079</v>
      </c>
      <c r="E4065" t="s">
        <v>969</v>
      </c>
      <c r="F4065" t="s">
        <v>93</v>
      </c>
      <c r="G4065" s="1">
        <v>15578</v>
      </c>
      <c r="H4065" s="1">
        <v>37907</v>
      </c>
      <c r="I4065" t="str">
        <f>"41"</f>
        <v>41</v>
      </c>
      <c r="J4065" t="s">
        <v>24</v>
      </c>
      <c r="K4065" t="s">
        <v>25</v>
      </c>
      <c r="L4065" t="s">
        <v>26</v>
      </c>
      <c r="M4065" t="s">
        <v>27</v>
      </c>
      <c r="N4065" s="1">
        <v>18629</v>
      </c>
      <c r="O4065">
        <v>0</v>
      </c>
      <c r="P4065">
        <v>0</v>
      </c>
      <c r="Q4065" t="s">
        <v>37</v>
      </c>
      <c r="R4065" t="s">
        <v>51</v>
      </c>
      <c r="S4065" t="s">
        <v>4743</v>
      </c>
      <c r="T4065" t="s">
        <v>4744</v>
      </c>
    </row>
    <row r="4066" spans="1:20" x14ac:dyDescent="0.25">
      <c r="A4066" t="s">
        <v>9527</v>
      </c>
      <c r="B4066" t="str">
        <f>"9369"</f>
        <v>9369</v>
      </c>
      <c r="C4066" t="str">
        <f>"275529369"</f>
        <v>275529369</v>
      </c>
      <c r="D4066" t="s">
        <v>1084</v>
      </c>
      <c r="E4066" t="s">
        <v>944</v>
      </c>
      <c r="F4066" t="s">
        <v>197</v>
      </c>
      <c r="G4066" s="1">
        <v>22703</v>
      </c>
      <c r="H4066" s="1">
        <v>37900</v>
      </c>
      <c r="I4066" t="str">
        <f>"12"</f>
        <v>12</v>
      </c>
      <c r="J4066" t="s">
        <v>245</v>
      </c>
      <c r="K4066" t="s">
        <v>98</v>
      </c>
      <c r="L4066" t="s">
        <v>37</v>
      </c>
      <c r="M4066" t="s">
        <v>257</v>
      </c>
      <c r="N4066" s="1">
        <v>41617</v>
      </c>
      <c r="O4066">
        <v>10753.08</v>
      </c>
      <c r="P4066">
        <v>2688.4</v>
      </c>
      <c r="Q4066" t="s">
        <v>28</v>
      </c>
      <c r="R4066" t="s">
        <v>29</v>
      </c>
      <c r="S4066" t="s">
        <v>589</v>
      </c>
      <c r="T4066" t="s">
        <v>590</v>
      </c>
    </row>
    <row r="4067" spans="1:20" x14ac:dyDescent="0.25">
      <c r="A4067" t="s">
        <v>9528</v>
      </c>
      <c r="B4067" t="str">
        <f>"9454"</f>
        <v>9454</v>
      </c>
      <c r="C4067" t="str">
        <f>"293589454"</f>
        <v>293589454</v>
      </c>
      <c r="D4067" t="s">
        <v>9339</v>
      </c>
      <c r="E4067" t="s">
        <v>769</v>
      </c>
      <c r="F4067" t="s">
        <v>93</v>
      </c>
      <c r="G4067" s="1">
        <v>20734</v>
      </c>
      <c r="H4067" s="1">
        <v>37900</v>
      </c>
      <c r="I4067" t="str">
        <f>"30"</f>
        <v>30</v>
      </c>
      <c r="J4067" t="s">
        <v>50</v>
      </c>
      <c r="K4067" t="s">
        <v>25</v>
      </c>
      <c r="L4067" t="s">
        <v>26</v>
      </c>
      <c r="M4067" t="s">
        <v>27</v>
      </c>
      <c r="N4067" s="1">
        <v>18629</v>
      </c>
      <c r="O4067">
        <v>0</v>
      </c>
      <c r="P4067">
        <v>0</v>
      </c>
      <c r="Q4067" t="s">
        <v>37</v>
      </c>
      <c r="R4067" t="s">
        <v>71</v>
      </c>
      <c r="S4067" t="s">
        <v>277</v>
      </c>
      <c r="T4067" t="s">
        <v>278</v>
      </c>
    </row>
    <row r="4068" spans="1:20" x14ac:dyDescent="0.25">
      <c r="A4068" t="s">
        <v>9529</v>
      </c>
      <c r="B4068" t="str">
        <f>"0975"</f>
        <v>0975</v>
      </c>
      <c r="C4068" t="str">
        <f>"269540975"</f>
        <v>269540975</v>
      </c>
      <c r="D4068" t="s">
        <v>907</v>
      </c>
      <c r="E4068" t="s">
        <v>877</v>
      </c>
      <c r="F4068" t="s">
        <v>93</v>
      </c>
      <c r="G4068" s="1">
        <v>19798</v>
      </c>
      <c r="H4068" s="1">
        <v>37895</v>
      </c>
      <c r="I4068" t="str">
        <f>"05"</f>
        <v>05</v>
      </c>
      <c r="J4068" t="s">
        <v>58</v>
      </c>
      <c r="K4068" t="s">
        <v>98</v>
      </c>
      <c r="L4068" t="s">
        <v>37</v>
      </c>
      <c r="M4068" t="s">
        <v>117</v>
      </c>
      <c r="N4068" s="1">
        <v>41617</v>
      </c>
      <c r="O4068">
        <v>4951.96</v>
      </c>
      <c r="P4068">
        <v>1237.8599999999999</v>
      </c>
      <c r="Q4068" t="s">
        <v>37</v>
      </c>
      <c r="R4068" t="s">
        <v>29</v>
      </c>
      <c r="S4068" t="s">
        <v>1095</v>
      </c>
      <c r="T4068" t="s">
        <v>1096</v>
      </c>
    </row>
    <row r="4069" spans="1:20" x14ac:dyDescent="0.25">
      <c r="A4069" t="s">
        <v>9530</v>
      </c>
      <c r="B4069" t="str">
        <f>"9697"</f>
        <v>9697</v>
      </c>
      <c r="C4069" t="str">
        <f>"294629697"</f>
        <v>294629697</v>
      </c>
      <c r="D4069" t="s">
        <v>782</v>
      </c>
      <c r="E4069" t="s">
        <v>2359</v>
      </c>
      <c r="F4069" t="s">
        <v>264</v>
      </c>
      <c r="G4069" s="1">
        <v>23335</v>
      </c>
      <c r="H4069" s="1">
        <v>37895</v>
      </c>
      <c r="I4069" t="str">
        <f>"05"</f>
        <v>05</v>
      </c>
      <c r="J4069" t="s">
        <v>58</v>
      </c>
      <c r="K4069" t="s">
        <v>98</v>
      </c>
      <c r="L4069" t="s">
        <v>37</v>
      </c>
      <c r="M4069" t="s">
        <v>117</v>
      </c>
      <c r="N4069" s="1">
        <v>41617</v>
      </c>
      <c r="O4069">
        <v>4951.96</v>
      </c>
      <c r="P4069">
        <v>1237.8599999999999</v>
      </c>
      <c r="Q4069" t="s">
        <v>37</v>
      </c>
      <c r="R4069" t="s">
        <v>29</v>
      </c>
      <c r="S4069" t="s">
        <v>1095</v>
      </c>
      <c r="T4069" t="s">
        <v>1096</v>
      </c>
    </row>
    <row r="4070" spans="1:20" x14ac:dyDescent="0.25">
      <c r="A4070" t="s">
        <v>9531</v>
      </c>
      <c r="B4070" t="str">
        <f>"7829"</f>
        <v>7829</v>
      </c>
      <c r="C4070" t="str">
        <f>"293987829"</f>
        <v>293987829</v>
      </c>
      <c r="D4070" t="s">
        <v>9532</v>
      </c>
      <c r="E4070" t="s">
        <v>3649</v>
      </c>
      <c r="F4070" t="s">
        <v>9533</v>
      </c>
      <c r="G4070" s="1">
        <v>26802</v>
      </c>
      <c r="H4070" s="1">
        <v>37893</v>
      </c>
      <c r="I4070" t="str">
        <f>"05"</f>
        <v>05</v>
      </c>
      <c r="J4070" t="s">
        <v>58</v>
      </c>
      <c r="K4070" t="s">
        <v>175</v>
      </c>
      <c r="L4070" t="s">
        <v>37</v>
      </c>
      <c r="M4070" t="s">
        <v>99</v>
      </c>
      <c r="N4070" s="1">
        <v>41617</v>
      </c>
      <c r="O4070">
        <v>16411.72</v>
      </c>
      <c r="P4070">
        <v>4102.8</v>
      </c>
      <c r="Q4070" t="s">
        <v>37</v>
      </c>
      <c r="R4070" t="s">
        <v>38</v>
      </c>
      <c r="S4070" t="s">
        <v>913</v>
      </c>
      <c r="T4070" t="s">
        <v>914</v>
      </c>
    </row>
    <row r="4071" spans="1:20" x14ac:dyDescent="0.25">
      <c r="A4071" t="s">
        <v>9534</v>
      </c>
      <c r="B4071" t="str">
        <f>"1774"</f>
        <v>1774</v>
      </c>
      <c r="C4071" t="str">
        <f>"298961774"</f>
        <v>298961774</v>
      </c>
      <c r="D4071" t="s">
        <v>9535</v>
      </c>
      <c r="E4071" t="s">
        <v>9536</v>
      </c>
      <c r="G4071" s="1">
        <v>16551</v>
      </c>
      <c r="H4071" s="1">
        <v>37893</v>
      </c>
      <c r="I4071" t="str">
        <f>"33"</f>
        <v>33</v>
      </c>
      <c r="J4071" t="s">
        <v>45</v>
      </c>
      <c r="K4071" t="s">
        <v>25</v>
      </c>
      <c r="L4071" t="s">
        <v>26</v>
      </c>
      <c r="M4071" t="s">
        <v>27</v>
      </c>
      <c r="N4071" s="1">
        <v>18629</v>
      </c>
      <c r="O4071">
        <v>0</v>
      </c>
      <c r="P4071">
        <v>0</v>
      </c>
      <c r="Q4071" t="s">
        <v>28</v>
      </c>
      <c r="R4071" t="s">
        <v>29</v>
      </c>
      <c r="S4071" t="s">
        <v>594</v>
      </c>
      <c r="T4071" t="s">
        <v>595</v>
      </c>
    </row>
    <row r="4072" spans="1:20" x14ac:dyDescent="0.25">
      <c r="A4072" t="s">
        <v>9537</v>
      </c>
      <c r="B4072" t="str">
        <f>"9024"</f>
        <v>9024</v>
      </c>
      <c r="C4072" t="str">
        <f>"293849024"</f>
        <v>293849024</v>
      </c>
      <c r="D4072" t="s">
        <v>4782</v>
      </c>
      <c r="E4072" t="s">
        <v>9538</v>
      </c>
      <c r="F4072" t="s">
        <v>414</v>
      </c>
      <c r="G4072" s="1">
        <v>28224</v>
      </c>
      <c r="H4072" s="1">
        <v>37879</v>
      </c>
      <c r="I4072" t="str">
        <f>"05"</f>
        <v>05</v>
      </c>
      <c r="J4072" t="s">
        <v>58</v>
      </c>
      <c r="K4072" t="s">
        <v>98</v>
      </c>
      <c r="L4072" t="s">
        <v>37</v>
      </c>
      <c r="M4072" t="s">
        <v>99</v>
      </c>
      <c r="N4072" s="1">
        <v>41617</v>
      </c>
      <c r="O4072">
        <v>14801.8</v>
      </c>
      <c r="P4072">
        <v>3700.32</v>
      </c>
      <c r="Q4072" t="s">
        <v>37</v>
      </c>
      <c r="R4072" t="s">
        <v>51</v>
      </c>
      <c r="S4072" s="2" t="s">
        <v>1922</v>
      </c>
      <c r="T4072" t="s">
        <v>1923</v>
      </c>
    </row>
    <row r="4073" spans="1:20" x14ac:dyDescent="0.25">
      <c r="A4073" t="s">
        <v>9539</v>
      </c>
      <c r="B4073" t="str">
        <f>"6922"</f>
        <v>6922</v>
      </c>
      <c r="C4073" t="str">
        <f>"270586922"</f>
        <v>270586922</v>
      </c>
      <c r="D4073" t="s">
        <v>9540</v>
      </c>
      <c r="E4073" t="s">
        <v>3412</v>
      </c>
      <c r="F4073" t="s">
        <v>165</v>
      </c>
      <c r="G4073" s="1">
        <v>20253</v>
      </c>
      <c r="H4073" s="1">
        <v>37875</v>
      </c>
      <c r="I4073" t="str">
        <f>"52"</f>
        <v>52</v>
      </c>
      <c r="J4073" t="s">
        <v>330</v>
      </c>
      <c r="K4073" t="s">
        <v>25</v>
      </c>
      <c r="L4073" t="s">
        <v>26</v>
      </c>
      <c r="M4073" t="s">
        <v>27</v>
      </c>
      <c r="N4073" s="1">
        <v>18629</v>
      </c>
      <c r="O4073">
        <v>0</v>
      </c>
      <c r="P4073">
        <v>0</v>
      </c>
      <c r="Q4073" t="s">
        <v>28</v>
      </c>
      <c r="R4073" t="s">
        <v>29</v>
      </c>
      <c r="S4073" t="s">
        <v>336</v>
      </c>
      <c r="T4073" t="s">
        <v>337</v>
      </c>
    </row>
    <row r="4074" spans="1:20" x14ac:dyDescent="0.25">
      <c r="A4074" t="s">
        <v>9541</v>
      </c>
      <c r="B4074" t="str">
        <f>"0365"</f>
        <v>0365</v>
      </c>
      <c r="C4074" t="str">
        <f>"294980365"</f>
        <v>294980365</v>
      </c>
      <c r="D4074" t="s">
        <v>9542</v>
      </c>
      <c r="E4074" t="s">
        <v>9543</v>
      </c>
      <c r="F4074" t="s">
        <v>9544</v>
      </c>
      <c r="G4074" s="1">
        <v>23070</v>
      </c>
      <c r="H4074" s="1">
        <v>37872</v>
      </c>
      <c r="I4074" t="str">
        <f>"33"</f>
        <v>33</v>
      </c>
      <c r="J4074" t="s">
        <v>45</v>
      </c>
      <c r="K4074" t="s">
        <v>25</v>
      </c>
      <c r="L4074" t="s">
        <v>26</v>
      </c>
      <c r="M4074" t="s">
        <v>27</v>
      </c>
      <c r="N4074" s="1">
        <v>18629</v>
      </c>
      <c r="O4074">
        <v>0</v>
      </c>
      <c r="P4074">
        <v>0</v>
      </c>
      <c r="Q4074" t="s">
        <v>28</v>
      </c>
      <c r="R4074" t="s">
        <v>29</v>
      </c>
      <c r="S4074" t="s">
        <v>594</v>
      </c>
      <c r="T4074" t="s">
        <v>595</v>
      </c>
    </row>
    <row r="4075" spans="1:20" x14ac:dyDescent="0.25">
      <c r="A4075" t="s">
        <v>9545</v>
      </c>
      <c r="B4075" t="str">
        <f>"2246"</f>
        <v>2246</v>
      </c>
      <c r="C4075" t="str">
        <f>"282482246"</f>
        <v>282482246</v>
      </c>
      <c r="D4075" t="s">
        <v>9546</v>
      </c>
      <c r="E4075" t="s">
        <v>769</v>
      </c>
      <c r="F4075" t="s">
        <v>414</v>
      </c>
      <c r="G4075" s="1">
        <v>19273</v>
      </c>
      <c r="H4075" s="1">
        <v>37867</v>
      </c>
      <c r="I4075" t="str">
        <f>"50"</f>
        <v>50</v>
      </c>
      <c r="J4075" t="s">
        <v>208</v>
      </c>
      <c r="K4075" t="s">
        <v>25</v>
      </c>
      <c r="L4075" t="s">
        <v>26</v>
      </c>
      <c r="M4075" t="s">
        <v>27</v>
      </c>
      <c r="N4075" s="1">
        <v>18629</v>
      </c>
      <c r="O4075">
        <v>0</v>
      </c>
      <c r="P4075">
        <v>0</v>
      </c>
      <c r="Q4075" t="s">
        <v>37</v>
      </c>
      <c r="R4075" t="s">
        <v>71</v>
      </c>
      <c r="S4075" t="s">
        <v>1547</v>
      </c>
      <c r="T4075" t="s">
        <v>1548</v>
      </c>
    </row>
    <row r="4076" spans="1:20" x14ac:dyDescent="0.25">
      <c r="A4076" t="s">
        <v>9547</v>
      </c>
      <c r="B4076" t="str">
        <f>"1917"</f>
        <v>1917</v>
      </c>
      <c r="C4076" t="str">
        <f>"293621917"</f>
        <v>293621917</v>
      </c>
      <c r="D4076" t="s">
        <v>1798</v>
      </c>
      <c r="E4076" t="s">
        <v>3981</v>
      </c>
      <c r="F4076" t="s">
        <v>282</v>
      </c>
      <c r="G4076" s="1">
        <v>21869</v>
      </c>
      <c r="H4076" s="1">
        <v>37866</v>
      </c>
      <c r="I4076" t="str">
        <f>"12"</f>
        <v>12</v>
      </c>
      <c r="J4076" t="s">
        <v>245</v>
      </c>
      <c r="K4076" t="s">
        <v>98</v>
      </c>
      <c r="L4076" t="s">
        <v>37</v>
      </c>
      <c r="M4076" t="s">
        <v>99</v>
      </c>
      <c r="N4076" s="1">
        <v>41617</v>
      </c>
      <c r="O4076">
        <v>14801.8</v>
      </c>
      <c r="P4076">
        <v>3700.32</v>
      </c>
      <c r="Q4076" t="s">
        <v>28</v>
      </c>
      <c r="R4076" t="s">
        <v>258</v>
      </c>
      <c r="S4076" t="s">
        <v>472</v>
      </c>
      <c r="T4076" t="s">
        <v>473</v>
      </c>
    </row>
    <row r="4077" spans="1:20" x14ac:dyDescent="0.25">
      <c r="A4077" t="s">
        <v>9548</v>
      </c>
      <c r="B4077" t="str">
        <f>"4119"</f>
        <v>4119</v>
      </c>
      <c r="C4077" t="str">
        <f>"282544119"</f>
        <v>282544119</v>
      </c>
      <c r="D4077" t="s">
        <v>9549</v>
      </c>
      <c r="E4077" t="s">
        <v>4566</v>
      </c>
      <c r="F4077" t="s">
        <v>93</v>
      </c>
      <c r="G4077" s="1">
        <v>19967</v>
      </c>
      <c r="H4077" s="1">
        <v>37866</v>
      </c>
      <c r="I4077" t="str">
        <f>"08"</f>
        <v>08</v>
      </c>
      <c r="J4077" t="s">
        <v>265</v>
      </c>
      <c r="K4077" t="s">
        <v>98</v>
      </c>
      <c r="L4077" t="s">
        <v>37</v>
      </c>
      <c r="M4077" t="s">
        <v>257</v>
      </c>
      <c r="N4077" s="1">
        <v>41617</v>
      </c>
      <c r="O4077">
        <v>10753.08</v>
      </c>
      <c r="P4077">
        <v>2688.4</v>
      </c>
      <c r="Q4077" t="s">
        <v>37</v>
      </c>
      <c r="R4077" t="s">
        <v>71</v>
      </c>
      <c r="S4077" t="s">
        <v>1438</v>
      </c>
      <c r="T4077" t="s">
        <v>1439</v>
      </c>
    </row>
    <row r="4078" spans="1:20" x14ac:dyDescent="0.25">
      <c r="A4078" t="s">
        <v>9550</v>
      </c>
      <c r="B4078" t="str">
        <f>"0784"</f>
        <v>0784</v>
      </c>
      <c r="C4078" t="str">
        <f>"289900784"</f>
        <v>289900784</v>
      </c>
      <c r="D4078" t="s">
        <v>9551</v>
      </c>
      <c r="E4078" t="s">
        <v>9552</v>
      </c>
      <c r="G4078" s="1">
        <v>22741</v>
      </c>
      <c r="H4078" s="1">
        <v>37865</v>
      </c>
      <c r="I4078" t="str">
        <f>"33"</f>
        <v>33</v>
      </c>
      <c r="J4078" t="s">
        <v>45</v>
      </c>
      <c r="K4078" t="s">
        <v>25</v>
      </c>
      <c r="L4078" t="s">
        <v>26</v>
      </c>
      <c r="M4078" t="s">
        <v>27</v>
      </c>
      <c r="N4078" s="1">
        <v>18629</v>
      </c>
      <c r="O4078">
        <v>0</v>
      </c>
      <c r="P4078">
        <v>0</v>
      </c>
      <c r="Q4078" t="s">
        <v>28</v>
      </c>
      <c r="R4078" t="s">
        <v>29</v>
      </c>
      <c r="S4078" t="s">
        <v>594</v>
      </c>
      <c r="T4078" t="s">
        <v>595</v>
      </c>
    </row>
    <row r="4079" spans="1:20" x14ac:dyDescent="0.25">
      <c r="A4079" t="s">
        <v>9553</v>
      </c>
      <c r="B4079" t="str">
        <f>"9240"</f>
        <v>9240</v>
      </c>
      <c r="C4079" t="str">
        <f>"301029240"</f>
        <v>301029240</v>
      </c>
      <c r="D4079" t="s">
        <v>9554</v>
      </c>
      <c r="E4079" t="s">
        <v>9555</v>
      </c>
      <c r="F4079" t="s">
        <v>9556</v>
      </c>
      <c r="G4079" s="1">
        <v>25637</v>
      </c>
      <c r="H4079" s="1">
        <v>37865</v>
      </c>
      <c r="I4079" t="str">
        <f>"30"</f>
        <v>30</v>
      </c>
      <c r="J4079" t="s">
        <v>50</v>
      </c>
      <c r="K4079" t="s">
        <v>25</v>
      </c>
      <c r="L4079" t="s">
        <v>26</v>
      </c>
      <c r="M4079" t="s">
        <v>27</v>
      </c>
      <c r="N4079" s="1">
        <v>18629</v>
      </c>
      <c r="O4079">
        <v>0</v>
      </c>
      <c r="P4079">
        <v>0</v>
      </c>
      <c r="Q4079" t="s">
        <v>28</v>
      </c>
      <c r="R4079" t="s">
        <v>29</v>
      </c>
      <c r="S4079" t="s">
        <v>3275</v>
      </c>
      <c r="T4079" t="s">
        <v>3276</v>
      </c>
    </row>
    <row r="4080" spans="1:20" x14ac:dyDescent="0.25">
      <c r="A4080" t="s">
        <v>9557</v>
      </c>
      <c r="B4080" t="str">
        <f>"5425"</f>
        <v>5425</v>
      </c>
      <c r="C4080" t="str">
        <f>"275565425"</f>
        <v>275565425</v>
      </c>
      <c r="D4080" t="s">
        <v>9558</v>
      </c>
      <c r="E4080" t="s">
        <v>9559</v>
      </c>
      <c r="G4080" s="1">
        <v>19847</v>
      </c>
      <c r="H4080" s="1">
        <v>37865</v>
      </c>
      <c r="I4080" t="str">
        <f>"41"</f>
        <v>41</v>
      </c>
      <c r="J4080" t="s">
        <v>24</v>
      </c>
      <c r="K4080" t="s">
        <v>25</v>
      </c>
      <c r="L4080" t="s">
        <v>26</v>
      </c>
      <c r="M4080" t="s">
        <v>27</v>
      </c>
      <c r="N4080" s="1">
        <v>18629</v>
      </c>
      <c r="O4080">
        <v>0</v>
      </c>
      <c r="P4080">
        <v>0</v>
      </c>
      <c r="Q4080" t="s">
        <v>37</v>
      </c>
      <c r="R4080" t="s">
        <v>71</v>
      </c>
      <c r="S4080" t="s">
        <v>402</v>
      </c>
      <c r="T4080" t="s">
        <v>403</v>
      </c>
    </row>
    <row r="4081" spans="1:20" x14ac:dyDescent="0.25">
      <c r="A4081" t="s">
        <v>9560</v>
      </c>
      <c r="B4081" t="str">
        <f>"4875"</f>
        <v>4875</v>
      </c>
      <c r="C4081" t="str">
        <f>"280764875"</f>
        <v>280764875</v>
      </c>
      <c r="D4081" t="s">
        <v>2421</v>
      </c>
      <c r="E4081" t="s">
        <v>9561</v>
      </c>
      <c r="F4081" t="s">
        <v>44</v>
      </c>
      <c r="G4081" s="1">
        <v>28384</v>
      </c>
      <c r="H4081" s="1">
        <v>37858</v>
      </c>
      <c r="I4081" t="str">
        <f>"20"</f>
        <v>20</v>
      </c>
      <c r="J4081" t="s">
        <v>123</v>
      </c>
      <c r="K4081" t="s">
        <v>175</v>
      </c>
      <c r="L4081" t="s">
        <v>37</v>
      </c>
      <c r="M4081" t="s">
        <v>257</v>
      </c>
      <c r="N4081" s="1">
        <v>41631</v>
      </c>
      <c r="O4081">
        <v>11847.88</v>
      </c>
      <c r="P4081">
        <v>2962.08</v>
      </c>
      <c r="Q4081" t="s">
        <v>37</v>
      </c>
      <c r="R4081" t="s">
        <v>71</v>
      </c>
      <c r="S4081" t="s">
        <v>209</v>
      </c>
      <c r="T4081" t="s">
        <v>210</v>
      </c>
    </row>
    <row r="4082" spans="1:20" x14ac:dyDescent="0.25">
      <c r="A4082" t="s">
        <v>9562</v>
      </c>
      <c r="B4082" t="str">
        <f>"9534"</f>
        <v>9534</v>
      </c>
      <c r="C4082" t="str">
        <f>"293709534"</f>
        <v>293709534</v>
      </c>
      <c r="D4082" t="s">
        <v>9563</v>
      </c>
      <c r="E4082" t="s">
        <v>812</v>
      </c>
      <c r="F4082" t="s">
        <v>28</v>
      </c>
      <c r="G4082" s="1">
        <v>22175</v>
      </c>
      <c r="H4082" s="1">
        <v>37854</v>
      </c>
      <c r="I4082" t="str">
        <f>"51"</f>
        <v>51</v>
      </c>
      <c r="J4082" t="s">
        <v>471</v>
      </c>
      <c r="K4082" t="s">
        <v>25</v>
      </c>
      <c r="L4082" t="s">
        <v>26</v>
      </c>
      <c r="M4082" t="s">
        <v>27</v>
      </c>
      <c r="N4082" s="1">
        <v>18629</v>
      </c>
      <c r="O4082">
        <v>0</v>
      </c>
      <c r="P4082">
        <v>0</v>
      </c>
      <c r="Q4082" t="s">
        <v>37</v>
      </c>
      <c r="R4082" t="s">
        <v>71</v>
      </c>
      <c r="S4082" t="s">
        <v>2458</v>
      </c>
      <c r="T4082" t="s">
        <v>2459</v>
      </c>
    </row>
    <row r="4083" spans="1:20" x14ac:dyDescent="0.25">
      <c r="A4083" t="s">
        <v>9564</v>
      </c>
      <c r="B4083" t="str">
        <f>"5095"</f>
        <v>5095</v>
      </c>
      <c r="C4083" t="str">
        <f>"285585095"</f>
        <v>285585095</v>
      </c>
      <c r="D4083" t="s">
        <v>9565</v>
      </c>
      <c r="E4083" t="s">
        <v>430</v>
      </c>
      <c r="F4083" t="s">
        <v>239</v>
      </c>
      <c r="G4083" s="1">
        <v>25785</v>
      </c>
      <c r="H4083" s="1">
        <v>37854</v>
      </c>
      <c r="I4083" t="str">
        <f>"41"</f>
        <v>41</v>
      </c>
      <c r="J4083" t="s">
        <v>24</v>
      </c>
      <c r="K4083" t="s">
        <v>25</v>
      </c>
      <c r="L4083" t="s">
        <v>26</v>
      </c>
      <c r="M4083" t="s">
        <v>27</v>
      </c>
      <c r="N4083" s="1">
        <v>18629</v>
      </c>
      <c r="O4083">
        <v>0</v>
      </c>
      <c r="P4083">
        <v>0</v>
      </c>
      <c r="Q4083" t="s">
        <v>28</v>
      </c>
      <c r="R4083" t="s">
        <v>71</v>
      </c>
      <c r="S4083" t="s">
        <v>7054</v>
      </c>
      <c r="T4083" t="s">
        <v>7055</v>
      </c>
    </row>
    <row r="4084" spans="1:20" x14ac:dyDescent="0.25">
      <c r="A4084" t="s">
        <v>9566</v>
      </c>
      <c r="B4084" t="str">
        <f>"8981"</f>
        <v>8981</v>
      </c>
      <c r="C4084" t="str">
        <f>"299988981"</f>
        <v>299988981</v>
      </c>
      <c r="D4084" t="s">
        <v>5873</v>
      </c>
      <c r="E4084" t="s">
        <v>9567</v>
      </c>
      <c r="G4084" s="1">
        <v>26534</v>
      </c>
      <c r="H4084" s="1">
        <v>37854</v>
      </c>
      <c r="I4084" t="str">
        <f>"51"</f>
        <v>51</v>
      </c>
      <c r="J4084" t="s">
        <v>471</v>
      </c>
      <c r="K4084" t="s">
        <v>25</v>
      </c>
      <c r="L4084" t="s">
        <v>26</v>
      </c>
      <c r="M4084" t="s">
        <v>27</v>
      </c>
      <c r="N4084" s="1">
        <v>18629</v>
      </c>
      <c r="O4084">
        <v>0</v>
      </c>
      <c r="P4084">
        <v>0</v>
      </c>
      <c r="Q4084" t="s">
        <v>37</v>
      </c>
      <c r="R4084" t="s">
        <v>71</v>
      </c>
      <c r="S4084" t="s">
        <v>9568</v>
      </c>
      <c r="T4084" t="s">
        <v>9569</v>
      </c>
    </row>
    <row r="4085" spans="1:20" x14ac:dyDescent="0.25">
      <c r="A4085" t="s">
        <v>9570</v>
      </c>
      <c r="B4085" t="str">
        <f>"9285"</f>
        <v>9285</v>
      </c>
      <c r="C4085" t="str">
        <f>"269509285"</f>
        <v>269509285</v>
      </c>
      <c r="D4085" t="s">
        <v>9571</v>
      </c>
      <c r="E4085" t="s">
        <v>9572</v>
      </c>
      <c r="G4085" s="1">
        <v>19365</v>
      </c>
      <c r="H4085" s="1">
        <v>37854</v>
      </c>
      <c r="I4085" t="str">
        <f>"41"</f>
        <v>41</v>
      </c>
      <c r="J4085" t="s">
        <v>24</v>
      </c>
      <c r="K4085" t="s">
        <v>25</v>
      </c>
      <c r="L4085" t="s">
        <v>26</v>
      </c>
      <c r="M4085" t="s">
        <v>27</v>
      </c>
      <c r="N4085" s="1">
        <v>18629</v>
      </c>
      <c r="O4085">
        <v>0</v>
      </c>
      <c r="P4085">
        <v>0</v>
      </c>
      <c r="Q4085" t="s">
        <v>37</v>
      </c>
      <c r="R4085" t="s">
        <v>51</v>
      </c>
      <c r="S4085" t="s">
        <v>4743</v>
      </c>
      <c r="T4085" t="s">
        <v>4744</v>
      </c>
    </row>
    <row r="4086" spans="1:20" x14ac:dyDescent="0.25">
      <c r="A4086" t="s">
        <v>9573</v>
      </c>
      <c r="B4086" t="str">
        <f>"8468"</f>
        <v>8468</v>
      </c>
      <c r="C4086" t="str">
        <f>"283528468"</f>
        <v>283528468</v>
      </c>
      <c r="D4086" t="s">
        <v>9574</v>
      </c>
      <c r="E4086" t="s">
        <v>1854</v>
      </c>
      <c r="F4086" t="s">
        <v>5731</v>
      </c>
      <c r="G4086" s="1">
        <v>18803</v>
      </c>
      <c r="H4086" s="1">
        <v>37854</v>
      </c>
      <c r="I4086" t="str">
        <f t="shared" ref="I4086:I4103" si="91">"51"</f>
        <v>51</v>
      </c>
      <c r="J4086" t="s">
        <v>471</v>
      </c>
      <c r="K4086" t="s">
        <v>25</v>
      </c>
      <c r="L4086" t="s">
        <v>26</v>
      </c>
      <c r="M4086" t="s">
        <v>27</v>
      </c>
      <c r="N4086" s="1">
        <v>18629</v>
      </c>
      <c r="O4086">
        <v>0</v>
      </c>
      <c r="P4086">
        <v>0</v>
      </c>
      <c r="Q4086" t="s">
        <v>28</v>
      </c>
      <c r="R4086" t="s">
        <v>29</v>
      </c>
      <c r="S4086" t="s">
        <v>3671</v>
      </c>
      <c r="T4086" t="s">
        <v>3672</v>
      </c>
    </row>
    <row r="4087" spans="1:20" x14ac:dyDescent="0.25">
      <c r="A4087" t="s">
        <v>9575</v>
      </c>
      <c r="B4087" t="str">
        <f>"2065"</f>
        <v>2065</v>
      </c>
      <c r="C4087" t="str">
        <f>"285562065"</f>
        <v>285562065</v>
      </c>
      <c r="D4087" t="s">
        <v>9576</v>
      </c>
      <c r="E4087" t="s">
        <v>1381</v>
      </c>
      <c r="F4087" t="s">
        <v>97</v>
      </c>
      <c r="G4087" s="1">
        <v>19735</v>
      </c>
      <c r="H4087" s="1">
        <v>37854</v>
      </c>
      <c r="I4087" t="str">
        <f t="shared" si="91"/>
        <v>51</v>
      </c>
      <c r="J4087" t="s">
        <v>471</v>
      </c>
      <c r="K4087" t="s">
        <v>25</v>
      </c>
      <c r="L4087" t="s">
        <v>26</v>
      </c>
      <c r="M4087" t="s">
        <v>27</v>
      </c>
      <c r="N4087" s="1">
        <v>18629</v>
      </c>
      <c r="O4087">
        <v>0</v>
      </c>
      <c r="P4087">
        <v>0</v>
      </c>
      <c r="Q4087" t="s">
        <v>28</v>
      </c>
      <c r="R4087" t="s">
        <v>71</v>
      </c>
      <c r="S4087" t="s">
        <v>4234</v>
      </c>
      <c r="T4087" t="s">
        <v>4235</v>
      </c>
    </row>
    <row r="4088" spans="1:20" x14ac:dyDescent="0.25">
      <c r="A4088" t="s">
        <v>9577</v>
      </c>
      <c r="B4088" t="str">
        <f>"0950"</f>
        <v>0950</v>
      </c>
      <c r="C4088" t="str">
        <f>"277500950"</f>
        <v>277500950</v>
      </c>
      <c r="D4088" t="s">
        <v>9471</v>
      </c>
      <c r="E4088" t="s">
        <v>430</v>
      </c>
      <c r="F4088" t="s">
        <v>7601</v>
      </c>
      <c r="G4088" s="1">
        <v>18271</v>
      </c>
      <c r="H4088" s="1">
        <v>37854</v>
      </c>
      <c r="I4088" t="str">
        <f t="shared" si="91"/>
        <v>51</v>
      </c>
      <c r="J4088" t="s">
        <v>471</v>
      </c>
      <c r="K4088" t="s">
        <v>25</v>
      </c>
      <c r="L4088" t="s">
        <v>26</v>
      </c>
      <c r="M4088" t="s">
        <v>27</v>
      </c>
      <c r="N4088" s="1">
        <v>18629</v>
      </c>
      <c r="O4088">
        <v>0</v>
      </c>
      <c r="P4088">
        <v>0</v>
      </c>
      <c r="Q4088" t="s">
        <v>28</v>
      </c>
      <c r="R4088" t="s">
        <v>29</v>
      </c>
      <c r="S4088" t="s">
        <v>2781</v>
      </c>
      <c r="T4088" t="s">
        <v>2782</v>
      </c>
    </row>
    <row r="4089" spans="1:20" x14ac:dyDescent="0.25">
      <c r="A4089" t="s">
        <v>9578</v>
      </c>
      <c r="B4089" t="str">
        <f>"4575"</f>
        <v>4575</v>
      </c>
      <c r="C4089" t="str">
        <f>"268704575"</f>
        <v>268704575</v>
      </c>
      <c r="D4089" t="s">
        <v>9579</v>
      </c>
      <c r="E4089" t="s">
        <v>1970</v>
      </c>
      <c r="F4089" t="s">
        <v>28</v>
      </c>
      <c r="G4089" s="1">
        <v>22703</v>
      </c>
      <c r="H4089" s="1">
        <v>37854</v>
      </c>
      <c r="I4089" t="str">
        <f t="shared" si="91"/>
        <v>51</v>
      </c>
      <c r="J4089" t="s">
        <v>471</v>
      </c>
      <c r="K4089" t="s">
        <v>25</v>
      </c>
      <c r="L4089" t="s">
        <v>26</v>
      </c>
      <c r="M4089" t="s">
        <v>27</v>
      </c>
      <c r="N4089" s="1">
        <v>18629</v>
      </c>
      <c r="O4089">
        <v>0</v>
      </c>
      <c r="P4089">
        <v>0</v>
      </c>
      <c r="Q4089" t="s">
        <v>37</v>
      </c>
      <c r="R4089" t="s">
        <v>29</v>
      </c>
      <c r="S4089" t="s">
        <v>138</v>
      </c>
      <c r="T4089" t="s">
        <v>139</v>
      </c>
    </row>
    <row r="4090" spans="1:20" x14ac:dyDescent="0.25">
      <c r="A4090" t="s">
        <v>9580</v>
      </c>
      <c r="B4090" t="str">
        <f>"0397"</f>
        <v>0397</v>
      </c>
      <c r="C4090" t="str">
        <f>"204660397"</f>
        <v>204660397</v>
      </c>
      <c r="D4090" t="s">
        <v>9581</v>
      </c>
      <c r="E4090" t="s">
        <v>598</v>
      </c>
      <c r="F4090" t="s">
        <v>438</v>
      </c>
      <c r="G4090" s="1">
        <v>26060</v>
      </c>
      <c r="H4090" s="1">
        <v>37854</v>
      </c>
      <c r="I4090" t="str">
        <f t="shared" si="91"/>
        <v>51</v>
      </c>
      <c r="J4090" t="s">
        <v>471</v>
      </c>
      <c r="K4090" t="s">
        <v>25</v>
      </c>
      <c r="L4090" t="s">
        <v>26</v>
      </c>
      <c r="M4090" t="s">
        <v>27</v>
      </c>
      <c r="N4090" s="1">
        <v>18629</v>
      </c>
      <c r="O4090">
        <v>0</v>
      </c>
      <c r="P4090">
        <v>0</v>
      </c>
      <c r="Q4090" t="s">
        <v>37</v>
      </c>
      <c r="R4090" t="s">
        <v>29</v>
      </c>
      <c r="S4090" t="s">
        <v>83</v>
      </c>
      <c r="T4090" t="s">
        <v>84</v>
      </c>
    </row>
    <row r="4091" spans="1:20" x14ac:dyDescent="0.25">
      <c r="A4091" t="s">
        <v>9582</v>
      </c>
      <c r="B4091" t="str">
        <f>"6769"</f>
        <v>6769</v>
      </c>
      <c r="C4091" t="str">
        <f>"299406769"</f>
        <v>299406769</v>
      </c>
      <c r="D4091" t="s">
        <v>9583</v>
      </c>
      <c r="E4091" t="s">
        <v>127</v>
      </c>
      <c r="F4091" t="s">
        <v>97</v>
      </c>
      <c r="G4091" s="1">
        <v>15835</v>
      </c>
      <c r="H4091" s="1">
        <v>37854</v>
      </c>
      <c r="I4091" t="str">
        <f t="shared" si="91"/>
        <v>51</v>
      </c>
      <c r="J4091" t="s">
        <v>471</v>
      </c>
      <c r="K4091" t="s">
        <v>25</v>
      </c>
      <c r="L4091" t="s">
        <v>26</v>
      </c>
      <c r="M4091" t="s">
        <v>27</v>
      </c>
      <c r="N4091" s="1">
        <v>18629</v>
      </c>
      <c r="O4091">
        <v>0</v>
      </c>
      <c r="P4091">
        <v>0</v>
      </c>
      <c r="Q4091" t="s">
        <v>28</v>
      </c>
      <c r="R4091" t="s">
        <v>51</v>
      </c>
      <c r="S4091" s="2" t="s">
        <v>4118</v>
      </c>
      <c r="T4091" t="s">
        <v>4119</v>
      </c>
    </row>
    <row r="4092" spans="1:20" x14ac:dyDescent="0.25">
      <c r="A4092" t="s">
        <v>9584</v>
      </c>
      <c r="B4092" t="str">
        <f>"9769"</f>
        <v>9769</v>
      </c>
      <c r="C4092" t="str">
        <f>"280609769"</f>
        <v>280609769</v>
      </c>
      <c r="D4092" t="s">
        <v>9585</v>
      </c>
      <c r="E4092" t="s">
        <v>9586</v>
      </c>
      <c r="G4092" s="1">
        <v>21777</v>
      </c>
      <c r="H4092" s="1">
        <v>37854</v>
      </c>
      <c r="I4092" t="str">
        <f t="shared" si="91"/>
        <v>51</v>
      </c>
      <c r="J4092" t="s">
        <v>471</v>
      </c>
      <c r="K4092" t="s">
        <v>25</v>
      </c>
      <c r="L4092" t="s">
        <v>26</v>
      </c>
      <c r="M4092" t="s">
        <v>27</v>
      </c>
      <c r="N4092" s="1">
        <v>18629</v>
      </c>
      <c r="O4092">
        <v>0</v>
      </c>
      <c r="P4092">
        <v>0</v>
      </c>
      <c r="Q4092" t="s">
        <v>37</v>
      </c>
      <c r="R4092" t="s">
        <v>29</v>
      </c>
      <c r="S4092" t="s">
        <v>1422</v>
      </c>
      <c r="T4092" t="s">
        <v>1423</v>
      </c>
    </row>
    <row r="4093" spans="1:20" x14ac:dyDescent="0.25">
      <c r="A4093" t="s">
        <v>9587</v>
      </c>
      <c r="B4093" t="str">
        <f>"3488"</f>
        <v>3488</v>
      </c>
      <c r="C4093" t="str">
        <f>"290663488"</f>
        <v>290663488</v>
      </c>
      <c r="D4093" t="s">
        <v>9588</v>
      </c>
      <c r="E4093" t="s">
        <v>35</v>
      </c>
      <c r="F4093" t="s">
        <v>165</v>
      </c>
      <c r="G4093" s="1">
        <v>27292</v>
      </c>
      <c r="H4093" s="1">
        <v>37854</v>
      </c>
      <c r="I4093" t="str">
        <f t="shared" si="91"/>
        <v>51</v>
      </c>
      <c r="J4093" t="s">
        <v>471</v>
      </c>
      <c r="K4093" t="s">
        <v>25</v>
      </c>
      <c r="L4093" t="s">
        <v>26</v>
      </c>
      <c r="M4093" t="s">
        <v>27</v>
      </c>
      <c r="N4093" s="1">
        <v>18629</v>
      </c>
      <c r="O4093">
        <v>0</v>
      </c>
      <c r="P4093">
        <v>0</v>
      </c>
      <c r="Q4093" t="s">
        <v>28</v>
      </c>
      <c r="R4093" t="s">
        <v>71</v>
      </c>
      <c r="S4093" t="s">
        <v>157</v>
      </c>
      <c r="T4093" t="s">
        <v>158</v>
      </c>
    </row>
    <row r="4094" spans="1:20" x14ac:dyDescent="0.25">
      <c r="A4094" t="s">
        <v>9589</v>
      </c>
      <c r="B4094" t="str">
        <f>"7855"</f>
        <v>7855</v>
      </c>
      <c r="C4094" t="str">
        <f>"286427855"</f>
        <v>286427855</v>
      </c>
      <c r="D4094" t="s">
        <v>9590</v>
      </c>
      <c r="E4094" t="s">
        <v>184</v>
      </c>
      <c r="F4094" t="s">
        <v>28</v>
      </c>
      <c r="G4094" s="1">
        <v>18641</v>
      </c>
      <c r="H4094" s="1">
        <v>37854</v>
      </c>
      <c r="I4094" t="str">
        <f t="shared" si="91"/>
        <v>51</v>
      </c>
      <c r="J4094" t="s">
        <v>471</v>
      </c>
      <c r="K4094" t="s">
        <v>25</v>
      </c>
      <c r="L4094" t="s">
        <v>26</v>
      </c>
      <c r="M4094" t="s">
        <v>27</v>
      </c>
      <c r="N4094" s="1">
        <v>18629</v>
      </c>
      <c r="O4094">
        <v>0</v>
      </c>
      <c r="P4094">
        <v>0</v>
      </c>
      <c r="Q4094" t="s">
        <v>37</v>
      </c>
      <c r="R4094" t="s">
        <v>29</v>
      </c>
      <c r="S4094" t="s">
        <v>138</v>
      </c>
      <c r="T4094" t="s">
        <v>139</v>
      </c>
    </row>
    <row r="4095" spans="1:20" x14ac:dyDescent="0.25">
      <c r="A4095" t="s">
        <v>9591</v>
      </c>
      <c r="B4095" t="str">
        <f>"0489"</f>
        <v>0489</v>
      </c>
      <c r="C4095" t="str">
        <f>"296420489"</f>
        <v>296420489</v>
      </c>
      <c r="D4095" t="s">
        <v>9592</v>
      </c>
      <c r="E4095" t="s">
        <v>642</v>
      </c>
      <c r="F4095" t="s">
        <v>282</v>
      </c>
      <c r="G4095" s="1">
        <v>17281</v>
      </c>
      <c r="H4095" s="1">
        <v>37854</v>
      </c>
      <c r="I4095" t="str">
        <f t="shared" si="91"/>
        <v>51</v>
      </c>
      <c r="J4095" t="s">
        <v>471</v>
      </c>
      <c r="K4095" t="s">
        <v>25</v>
      </c>
      <c r="L4095" t="s">
        <v>26</v>
      </c>
      <c r="M4095" t="s">
        <v>27</v>
      </c>
      <c r="N4095" s="1">
        <v>18629</v>
      </c>
      <c r="O4095">
        <v>0</v>
      </c>
      <c r="P4095">
        <v>0</v>
      </c>
      <c r="Q4095" t="s">
        <v>28</v>
      </c>
      <c r="R4095" t="s">
        <v>71</v>
      </c>
      <c r="S4095" t="s">
        <v>770</v>
      </c>
      <c r="T4095" t="s">
        <v>771</v>
      </c>
    </row>
    <row r="4096" spans="1:20" x14ac:dyDescent="0.25">
      <c r="A4096" t="s">
        <v>9593</v>
      </c>
      <c r="B4096" t="str">
        <f>"1202"</f>
        <v>1202</v>
      </c>
      <c r="C4096" t="str">
        <f>"273441202"</f>
        <v>273441202</v>
      </c>
      <c r="D4096" t="s">
        <v>9594</v>
      </c>
      <c r="E4096" t="s">
        <v>9595</v>
      </c>
      <c r="F4096" t="s">
        <v>97</v>
      </c>
      <c r="G4096" s="1">
        <v>17802</v>
      </c>
      <c r="H4096" s="1">
        <v>37854</v>
      </c>
      <c r="I4096" t="str">
        <f t="shared" si="91"/>
        <v>51</v>
      </c>
      <c r="J4096" t="s">
        <v>471</v>
      </c>
      <c r="K4096" t="s">
        <v>25</v>
      </c>
      <c r="L4096" t="s">
        <v>26</v>
      </c>
      <c r="M4096" t="s">
        <v>27</v>
      </c>
      <c r="N4096" s="1">
        <v>18629</v>
      </c>
      <c r="O4096">
        <v>0</v>
      </c>
      <c r="P4096">
        <v>0</v>
      </c>
      <c r="Q4096" t="s">
        <v>28</v>
      </c>
      <c r="R4096" t="s">
        <v>71</v>
      </c>
      <c r="S4096" t="s">
        <v>2458</v>
      </c>
      <c r="T4096" t="s">
        <v>2459</v>
      </c>
    </row>
    <row r="4097" spans="1:20" x14ac:dyDescent="0.25">
      <c r="A4097" t="s">
        <v>9596</v>
      </c>
      <c r="B4097" t="str">
        <f>"9209"</f>
        <v>9209</v>
      </c>
      <c r="C4097" t="str">
        <f>"289329209"</f>
        <v>289329209</v>
      </c>
      <c r="D4097" t="s">
        <v>7904</v>
      </c>
      <c r="E4097" t="s">
        <v>1639</v>
      </c>
      <c r="F4097" t="s">
        <v>93</v>
      </c>
      <c r="G4097" s="1">
        <v>13198</v>
      </c>
      <c r="H4097" s="1">
        <v>37854</v>
      </c>
      <c r="I4097" t="str">
        <f t="shared" si="91"/>
        <v>51</v>
      </c>
      <c r="J4097" t="s">
        <v>471</v>
      </c>
      <c r="K4097" t="s">
        <v>25</v>
      </c>
      <c r="L4097" t="s">
        <v>26</v>
      </c>
      <c r="M4097" t="s">
        <v>27</v>
      </c>
      <c r="N4097" s="1">
        <v>18629</v>
      </c>
      <c r="O4097">
        <v>0</v>
      </c>
      <c r="P4097">
        <v>0</v>
      </c>
      <c r="Q4097" t="s">
        <v>28</v>
      </c>
      <c r="R4097" t="s">
        <v>51</v>
      </c>
      <c r="S4097" s="2" t="s">
        <v>4118</v>
      </c>
      <c r="T4097" t="s">
        <v>4119</v>
      </c>
    </row>
    <row r="4098" spans="1:20" x14ac:dyDescent="0.25">
      <c r="A4098" t="s">
        <v>9597</v>
      </c>
      <c r="B4098" t="str">
        <f>"2333"</f>
        <v>2333</v>
      </c>
      <c r="C4098" t="str">
        <f>"293402333"</f>
        <v>293402333</v>
      </c>
      <c r="D4098" t="s">
        <v>9598</v>
      </c>
      <c r="E4098" t="s">
        <v>33</v>
      </c>
      <c r="F4098" t="s">
        <v>219</v>
      </c>
      <c r="G4098" s="1">
        <v>17814</v>
      </c>
      <c r="H4098" s="1">
        <v>37854</v>
      </c>
      <c r="I4098" t="str">
        <f t="shared" si="91"/>
        <v>51</v>
      </c>
      <c r="J4098" t="s">
        <v>471</v>
      </c>
      <c r="K4098" t="s">
        <v>25</v>
      </c>
      <c r="L4098" t="s">
        <v>26</v>
      </c>
      <c r="M4098" t="s">
        <v>27</v>
      </c>
      <c r="N4098" s="1">
        <v>18629</v>
      </c>
      <c r="O4098">
        <v>0</v>
      </c>
      <c r="P4098">
        <v>0</v>
      </c>
      <c r="Q4098" t="s">
        <v>28</v>
      </c>
      <c r="R4098" t="s">
        <v>29</v>
      </c>
      <c r="S4098" t="s">
        <v>2458</v>
      </c>
      <c r="T4098" t="s">
        <v>2459</v>
      </c>
    </row>
    <row r="4099" spans="1:20" x14ac:dyDescent="0.25">
      <c r="A4099" t="s">
        <v>9599</v>
      </c>
      <c r="B4099" t="str">
        <f>"8095"</f>
        <v>8095</v>
      </c>
      <c r="C4099" t="str">
        <f>"234868095"</f>
        <v>234868095</v>
      </c>
      <c r="D4099" t="s">
        <v>9600</v>
      </c>
      <c r="E4099" t="s">
        <v>2476</v>
      </c>
      <c r="F4099" t="s">
        <v>219</v>
      </c>
      <c r="G4099" s="1">
        <v>18739</v>
      </c>
      <c r="H4099" s="1">
        <v>37854</v>
      </c>
      <c r="I4099" t="str">
        <f t="shared" si="91"/>
        <v>51</v>
      </c>
      <c r="J4099" t="s">
        <v>471</v>
      </c>
      <c r="K4099" t="s">
        <v>25</v>
      </c>
      <c r="L4099" t="s">
        <v>26</v>
      </c>
      <c r="M4099" t="s">
        <v>27</v>
      </c>
      <c r="N4099" s="1">
        <v>18629</v>
      </c>
      <c r="O4099">
        <v>0</v>
      </c>
      <c r="P4099">
        <v>0</v>
      </c>
      <c r="Q4099" t="s">
        <v>37</v>
      </c>
      <c r="R4099" t="s">
        <v>29</v>
      </c>
      <c r="S4099" t="s">
        <v>765</v>
      </c>
      <c r="T4099" t="s">
        <v>766</v>
      </c>
    </row>
    <row r="4100" spans="1:20" x14ac:dyDescent="0.25">
      <c r="A4100" t="s">
        <v>9601</v>
      </c>
      <c r="B4100" t="str">
        <f>"7327"</f>
        <v>7327</v>
      </c>
      <c r="C4100" t="str">
        <f>"289667327"</f>
        <v>289667327</v>
      </c>
      <c r="D4100" t="s">
        <v>9602</v>
      </c>
      <c r="E4100" t="s">
        <v>1468</v>
      </c>
      <c r="F4100" t="s">
        <v>28</v>
      </c>
      <c r="G4100" s="1">
        <v>25903</v>
      </c>
      <c r="H4100" s="1">
        <v>37854</v>
      </c>
      <c r="I4100" t="str">
        <f t="shared" si="91"/>
        <v>51</v>
      </c>
      <c r="J4100" t="s">
        <v>471</v>
      </c>
      <c r="K4100" t="s">
        <v>25</v>
      </c>
      <c r="L4100" t="s">
        <v>26</v>
      </c>
      <c r="M4100" t="s">
        <v>27</v>
      </c>
      <c r="N4100" s="1">
        <v>18629</v>
      </c>
      <c r="O4100">
        <v>0</v>
      </c>
      <c r="P4100">
        <v>0</v>
      </c>
      <c r="Q4100" t="s">
        <v>37</v>
      </c>
      <c r="R4100" t="s">
        <v>29</v>
      </c>
      <c r="S4100" t="s">
        <v>2732</v>
      </c>
      <c r="T4100" t="s">
        <v>2733</v>
      </c>
    </row>
    <row r="4101" spans="1:20" x14ac:dyDescent="0.25">
      <c r="A4101" t="s">
        <v>9603</v>
      </c>
      <c r="B4101" t="str">
        <f>"1171"</f>
        <v>1171</v>
      </c>
      <c r="C4101" t="str">
        <f>"275361171"</f>
        <v>275361171</v>
      </c>
      <c r="D4101" t="s">
        <v>9604</v>
      </c>
      <c r="E4101" t="s">
        <v>9605</v>
      </c>
      <c r="G4101" s="1">
        <v>15358</v>
      </c>
      <c r="H4101" s="1">
        <v>37854</v>
      </c>
      <c r="I4101" t="str">
        <f t="shared" si="91"/>
        <v>51</v>
      </c>
      <c r="J4101" t="s">
        <v>471</v>
      </c>
      <c r="K4101" t="s">
        <v>25</v>
      </c>
      <c r="L4101" t="s">
        <v>26</v>
      </c>
      <c r="M4101" t="s">
        <v>27</v>
      </c>
      <c r="N4101" s="1">
        <v>18629</v>
      </c>
      <c r="O4101">
        <v>0</v>
      </c>
      <c r="P4101">
        <v>0</v>
      </c>
      <c r="Q4101" t="s">
        <v>37</v>
      </c>
      <c r="R4101" t="s">
        <v>71</v>
      </c>
      <c r="S4101" s="2" t="s">
        <v>2693</v>
      </c>
      <c r="T4101" t="s">
        <v>2694</v>
      </c>
    </row>
    <row r="4102" spans="1:20" x14ac:dyDescent="0.25">
      <c r="A4102" t="s">
        <v>9606</v>
      </c>
      <c r="B4102" t="str">
        <f>"3961"</f>
        <v>3961</v>
      </c>
      <c r="C4102" t="str">
        <f>"275843961"</f>
        <v>275843961</v>
      </c>
      <c r="D4102" t="s">
        <v>4572</v>
      </c>
      <c r="E4102" t="s">
        <v>9607</v>
      </c>
      <c r="F4102" t="s">
        <v>44</v>
      </c>
      <c r="G4102" s="1">
        <v>25506</v>
      </c>
      <c r="H4102" s="1">
        <v>37854</v>
      </c>
      <c r="I4102" t="str">
        <f t="shared" si="91"/>
        <v>51</v>
      </c>
      <c r="J4102" t="s">
        <v>471</v>
      </c>
      <c r="K4102" t="s">
        <v>25</v>
      </c>
      <c r="L4102" t="s">
        <v>26</v>
      </c>
      <c r="M4102" t="s">
        <v>27</v>
      </c>
      <c r="N4102" s="1">
        <v>18629</v>
      </c>
      <c r="O4102">
        <v>0</v>
      </c>
      <c r="P4102">
        <v>0</v>
      </c>
      <c r="Q4102" t="s">
        <v>37</v>
      </c>
      <c r="R4102" t="s">
        <v>71</v>
      </c>
      <c r="S4102" t="s">
        <v>2297</v>
      </c>
      <c r="T4102" t="s">
        <v>2298</v>
      </c>
    </row>
    <row r="4103" spans="1:20" x14ac:dyDescent="0.25">
      <c r="A4103" t="s">
        <v>9608</v>
      </c>
      <c r="B4103" t="str">
        <f>"7886"</f>
        <v>7886</v>
      </c>
      <c r="C4103" t="str">
        <f>"292487886"</f>
        <v>292487886</v>
      </c>
      <c r="D4103" t="s">
        <v>9609</v>
      </c>
      <c r="E4103" t="s">
        <v>304</v>
      </c>
      <c r="F4103" t="s">
        <v>1854</v>
      </c>
      <c r="G4103" s="1">
        <v>18018</v>
      </c>
      <c r="H4103" s="1">
        <v>37854</v>
      </c>
      <c r="I4103" t="str">
        <f t="shared" si="91"/>
        <v>51</v>
      </c>
      <c r="J4103" t="s">
        <v>471</v>
      </c>
      <c r="K4103" t="s">
        <v>25</v>
      </c>
      <c r="L4103" t="s">
        <v>26</v>
      </c>
      <c r="M4103" t="s">
        <v>27</v>
      </c>
      <c r="N4103" s="1">
        <v>18629</v>
      </c>
      <c r="O4103">
        <v>0</v>
      </c>
      <c r="P4103">
        <v>0</v>
      </c>
      <c r="Q4103" t="s">
        <v>28</v>
      </c>
      <c r="R4103" t="s">
        <v>29</v>
      </c>
      <c r="S4103" t="s">
        <v>1555</v>
      </c>
      <c r="T4103" t="s">
        <v>1556</v>
      </c>
    </row>
    <row r="4104" spans="1:20" x14ac:dyDescent="0.25">
      <c r="A4104" t="s">
        <v>9610</v>
      </c>
      <c r="B4104" t="str">
        <f>"2740"</f>
        <v>2740</v>
      </c>
      <c r="C4104" t="str">
        <f>"300622740"</f>
        <v>300622740</v>
      </c>
      <c r="D4104" t="s">
        <v>9611</v>
      </c>
      <c r="E4104" t="s">
        <v>35</v>
      </c>
      <c r="F4104" t="s">
        <v>219</v>
      </c>
      <c r="G4104" s="1">
        <v>21457</v>
      </c>
      <c r="H4104" s="1">
        <v>37851</v>
      </c>
      <c r="I4104" t="str">
        <f>"20"</f>
        <v>20</v>
      </c>
      <c r="J4104" t="s">
        <v>123</v>
      </c>
      <c r="K4104" t="s">
        <v>98</v>
      </c>
      <c r="L4104" t="s">
        <v>37</v>
      </c>
      <c r="M4104" t="s">
        <v>117</v>
      </c>
      <c r="N4104" s="1">
        <v>41631</v>
      </c>
      <c r="O4104">
        <v>4951.9799999999996</v>
      </c>
      <c r="P4104">
        <v>1237.94</v>
      </c>
      <c r="Q4104" t="s">
        <v>28</v>
      </c>
      <c r="R4104" t="s">
        <v>71</v>
      </c>
      <c r="S4104" t="s">
        <v>2590</v>
      </c>
      <c r="T4104" t="s">
        <v>2591</v>
      </c>
    </row>
    <row r="4105" spans="1:20" x14ac:dyDescent="0.25">
      <c r="A4105" t="s">
        <v>9612</v>
      </c>
      <c r="B4105" t="str">
        <f>"4599"</f>
        <v>4599</v>
      </c>
      <c r="C4105" t="str">
        <f>"285584599"</f>
        <v>285584599</v>
      </c>
      <c r="D4105" t="s">
        <v>463</v>
      </c>
      <c r="E4105" t="s">
        <v>430</v>
      </c>
      <c r="F4105" t="s">
        <v>3934</v>
      </c>
      <c r="G4105" s="1">
        <v>22655</v>
      </c>
      <c r="H4105" s="1">
        <v>37851</v>
      </c>
      <c r="I4105" t="str">
        <f>"30"</f>
        <v>30</v>
      </c>
      <c r="J4105" t="s">
        <v>50</v>
      </c>
      <c r="K4105" t="s">
        <v>25</v>
      </c>
      <c r="L4105" t="s">
        <v>26</v>
      </c>
      <c r="M4105" t="s">
        <v>27</v>
      </c>
      <c r="N4105" s="1">
        <v>18629</v>
      </c>
      <c r="O4105">
        <v>0</v>
      </c>
      <c r="P4105">
        <v>0</v>
      </c>
      <c r="Q4105" t="s">
        <v>28</v>
      </c>
      <c r="R4105" t="s">
        <v>29</v>
      </c>
      <c r="S4105" t="s">
        <v>1795</v>
      </c>
      <c r="T4105" t="s">
        <v>1796</v>
      </c>
    </row>
    <row r="4106" spans="1:20" x14ac:dyDescent="0.25">
      <c r="A4106" t="s">
        <v>9613</v>
      </c>
      <c r="B4106" t="str">
        <f>"4835"</f>
        <v>4835</v>
      </c>
      <c r="C4106" t="str">
        <f>"195644835"</f>
        <v>195644835</v>
      </c>
      <c r="D4106" t="s">
        <v>9614</v>
      </c>
      <c r="E4106" t="s">
        <v>933</v>
      </c>
      <c r="F4106" t="s">
        <v>69</v>
      </c>
      <c r="G4106" s="1">
        <v>26053</v>
      </c>
      <c r="H4106" s="1">
        <v>37851</v>
      </c>
      <c r="I4106" t="str">
        <f>"20"</f>
        <v>20</v>
      </c>
      <c r="J4106" t="s">
        <v>123</v>
      </c>
      <c r="K4106" t="s">
        <v>98</v>
      </c>
      <c r="L4106" t="s">
        <v>37</v>
      </c>
      <c r="M4106" t="s">
        <v>257</v>
      </c>
      <c r="N4106" s="1">
        <v>41631</v>
      </c>
      <c r="O4106">
        <v>10753.16</v>
      </c>
      <c r="P4106">
        <v>2688.4</v>
      </c>
      <c r="Q4106" t="s">
        <v>28</v>
      </c>
      <c r="R4106" t="s">
        <v>5592</v>
      </c>
      <c r="S4106" t="s">
        <v>717</v>
      </c>
      <c r="T4106" t="s">
        <v>718</v>
      </c>
    </row>
    <row r="4107" spans="1:20" x14ac:dyDescent="0.25">
      <c r="A4107" t="s">
        <v>9615</v>
      </c>
      <c r="B4107" t="str">
        <f>"2791"</f>
        <v>2791</v>
      </c>
      <c r="C4107" t="str">
        <f>"272462791"</f>
        <v>272462791</v>
      </c>
      <c r="D4107" t="s">
        <v>8260</v>
      </c>
      <c r="E4107" t="s">
        <v>146</v>
      </c>
      <c r="F4107" t="s">
        <v>97</v>
      </c>
      <c r="G4107" s="1">
        <v>22679</v>
      </c>
      <c r="H4107" s="1">
        <v>37851</v>
      </c>
      <c r="I4107" t="str">
        <f>"20"</f>
        <v>20</v>
      </c>
      <c r="J4107" t="s">
        <v>123</v>
      </c>
      <c r="K4107" t="s">
        <v>98</v>
      </c>
      <c r="L4107" t="s">
        <v>37</v>
      </c>
      <c r="M4107" t="s">
        <v>257</v>
      </c>
      <c r="N4107" s="1">
        <v>41631</v>
      </c>
      <c r="O4107">
        <v>10753.16</v>
      </c>
      <c r="P4107">
        <v>2688.4</v>
      </c>
      <c r="Q4107" t="s">
        <v>37</v>
      </c>
      <c r="R4107" t="s">
        <v>29</v>
      </c>
      <c r="S4107" t="s">
        <v>1640</v>
      </c>
      <c r="T4107" t="s">
        <v>983</v>
      </c>
    </row>
    <row r="4108" spans="1:20" x14ac:dyDescent="0.25">
      <c r="A4108" t="s">
        <v>9616</v>
      </c>
      <c r="B4108" t="str">
        <f>"8856"</f>
        <v>8856</v>
      </c>
      <c r="C4108" t="str">
        <f>"275648856"</f>
        <v>275648856</v>
      </c>
      <c r="D4108" t="s">
        <v>8491</v>
      </c>
      <c r="E4108" t="s">
        <v>35</v>
      </c>
      <c r="G4108" s="1">
        <v>23522</v>
      </c>
      <c r="H4108" s="1">
        <v>37849</v>
      </c>
      <c r="I4108" t="str">
        <f>"51"</f>
        <v>51</v>
      </c>
      <c r="J4108" t="s">
        <v>471</v>
      </c>
      <c r="K4108" t="s">
        <v>25</v>
      </c>
      <c r="L4108" t="s">
        <v>26</v>
      </c>
      <c r="M4108" t="s">
        <v>27</v>
      </c>
      <c r="N4108" s="1">
        <v>18629</v>
      </c>
      <c r="O4108">
        <v>0</v>
      </c>
      <c r="P4108">
        <v>0</v>
      </c>
      <c r="Q4108" t="s">
        <v>28</v>
      </c>
      <c r="R4108" t="s">
        <v>71</v>
      </c>
      <c r="S4108" t="s">
        <v>2590</v>
      </c>
      <c r="T4108" t="s">
        <v>2591</v>
      </c>
    </row>
    <row r="4109" spans="1:20" x14ac:dyDescent="0.25">
      <c r="A4109" t="s">
        <v>9617</v>
      </c>
      <c r="B4109" t="str">
        <f>"0781"</f>
        <v>0781</v>
      </c>
      <c r="C4109" t="str">
        <f>"222600781"</f>
        <v>222600781</v>
      </c>
      <c r="D4109" t="s">
        <v>3089</v>
      </c>
      <c r="E4109" t="s">
        <v>6585</v>
      </c>
      <c r="F4109" t="s">
        <v>97</v>
      </c>
      <c r="G4109" s="1">
        <v>26071</v>
      </c>
      <c r="H4109" s="1">
        <v>37844</v>
      </c>
      <c r="I4109" t="str">
        <f t="shared" ref="I4109:I4117" si="92">"20"</f>
        <v>20</v>
      </c>
      <c r="J4109" t="s">
        <v>123</v>
      </c>
      <c r="K4109" t="s">
        <v>98</v>
      </c>
      <c r="L4109" t="s">
        <v>37</v>
      </c>
      <c r="M4109" t="s">
        <v>117</v>
      </c>
      <c r="N4109" s="1">
        <v>41631</v>
      </c>
      <c r="O4109">
        <v>4951.9799999999996</v>
      </c>
      <c r="P4109">
        <v>1237.94</v>
      </c>
      <c r="Q4109" t="s">
        <v>37</v>
      </c>
      <c r="R4109" t="s">
        <v>29</v>
      </c>
      <c r="S4109" t="s">
        <v>5192</v>
      </c>
      <c r="T4109" t="s">
        <v>5193</v>
      </c>
    </row>
    <row r="4110" spans="1:20" x14ac:dyDescent="0.25">
      <c r="A4110" t="s">
        <v>9618</v>
      </c>
      <c r="B4110" t="str">
        <f>"6111"</f>
        <v>6111</v>
      </c>
      <c r="C4110" t="str">
        <f>"278506111"</f>
        <v>278506111</v>
      </c>
      <c r="D4110" t="s">
        <v>9619</v>
      </c>
      <c r="E4110" t="s">
        <v>304</v>
      </c>
      <c r="G4110" s="1">
        <v>18753</v>
      </c>
      <c r="H4110" s="1">
        <v>37844</v>
      </c>
      <c r="I4110" t="str">
        <f t="shared" si="92"/>
        <v>20</v>
      </c>
      <c r="J4110" t="s">
        <v>123</v>
      </c>
      <c r="K4110" t="s">
        <v>98</v>
      </c>
      <c r="L4110" t="s">
        <v>37</v>
      </c>
      <c r="M4110" t="s">
        <v>257</v>
      </c>
      <c r="N4110" s="1">
        <v>41631</v>
      </c>
      <c r="O4110">
        <v>10753.16</v>
      </c>
      <c r="P4110">
        <v>2688.4</v>
      </c>
      <c r="Q4110" t="s">
        <v>28</v>
      </c>
      <c r="R4110" t="s">
        <v>51</v>
      </c>
      <c r="S4110" s="2" t="s">
        <v>5402</v>
      </c>
      <c r="T4110" t="s">
        <v>5403</v>
      </c>
    </row>
    <row r="4111" spans="1:20" x14ac:dyDescent="0.25">
      <c r="A4111" t="s">
        <v>9620</v>
      </c>
      <c r="B4111" t="str">
        <f>"3290"</f>
        <v>3290</v>
      </c>
      <c r="C4111" t="str">
        <f>"272683290"</f>
        <v>272683290</v>
      </c>
      <c r="D4111" t="s">
        <v>1798</v>
      </c>
      <c r="E4111" t="s">
        <v>9621</v>
      </c>
      <c r="F4111" t="s">
        <v>282</v>
      </c>
      <c r="G4111" s="1">
        <v>21969</v>
      </c>
      <c r="H4111" s="1">
        <v>37844</v>
      </c>
      <c r="I4111" t="str">
        <f t="shared" si="92"/>
        <v>20</v>
      </c>
      <c r="J4111" t="s">
        <v>123</v>
      </c>
      <c r="K4111" t="s">
        <v>98</v>
      </c>
      <c r="L4111" t="s">
        <v>37</v>
      </c>
      <c r="M4111" t="s">
        <v>99</v>
      </c>
      <c r="N4111" s="1">
        <v>41631</v>
      </c>
      <c r="O4111">
        <v>14801.82</v>
      </c>
      <c r="P4111">
        <v>3700.4</v>
      </c>
      <c r="Q4111" t="s">
        <v>28</v>
      </c>
      <c r="R4111" t="s">
        <v>29</v>
      </c>
      <c r="S4111" t="s">
        <v>1555</v>
      </c>
      <c r="T4111" t="s">
        <v>1556</v>
      </c>
    </row>
    <row r="4112" spans="1:20" x14ac:dyDescent="0.25">
      <c r="A4112" t="s">
        <v>9622</v>
      </c>
      <c r="B4112" t="str">
        <f>"4253"</f>
        <v>4253</v>
      </c>
      <c r="C4112" t="str">
        <f>"289504253"</f>
        <v>289504253</v>
      </c>
      <c r="D4112" t="s">
        <v>1341</v>
      </c>
      <c r="E4112" t="s">
        <v>430</v>
      </c>
      <c r="F4112" t="s">
        <v>556</v>
      </c>
      <c r="G4112" s="1">
        <v>18460</v>
      </c>
      <c r="H4112" s="1">
        <v>37844</v>
      </c>
      <c r="I4112" t="str">
        <f t="shared" si="92"/>
        <v>20</v>
      </c>
      <c r="J4112" t="s">
        <v>123</v>
      </c>
      <c r="K4112" t="s">
        <v>98</v>
      </c>
      <c r="L4112" t="s">
        <v>37</v>
      </c>
      <c r="M4112" t="s">
        <v>117</v>
      </c>
      <c r="N4112" s="1">
        <v>41631</v>
      </c>
      <c r="O4112">
        <v>4951.9799999999996</v>
      </c>
      <c r="P4112">
        <v>1237.94</v>
      </c>
      <c r="Q4112" t="s">
        <v>28</v>
      </c>
      <c r="R4112" t="s">
        <v>51</v>
      </c>
      <c r="S4112" s="2" t="s">
        <v>1568</v>
      </c>
      <c r="T4112" t="s">
        <v>1569</v>
      </c>
    </row>
    <row r="4113" spans="1:20" x14ac:dyDescent="0.25">
      <c r="A4113" t="s">
        <v>9623</v>
      </c>
      <c r="B4113" t="str">
        <f>"7817"</f>
        <v>7817</v>
      </c>
      <c r="C4113" t="str">
        <f>"290527817"</f>
        <v>290527817</v>
      </c>
      <c r="D4113" t="s">
        <v>9624</v>
      </c>
      <c r="E4113" t="s">
        <v>2385</v>
      </c>
      <c r="F4113" t="s">
        <v>97</v>
      </c>
      <c r="G4113" s="1">
        <v>21419</v>
      </c>
      <c r="H4113" s="1">
        <v>37844</v>
      </c>
      <c r="I4113" t="str">
        <f t="shared" si="92"/>
        <v>20</v>
      </c>
      <c r="J4113" t="s">
        <v>123</v>
      </c>
      <c r="K4113" t="s">
        <v>98</v>
      </c>
      <c r="L4113" t="s">
        <v>37</v>
      </c>
      <c r="M4113" t="s">
        <v>257</v>
      </c>
      <c r="N4113" s="1">
        <v>41631</v>
      </c>
      <c r="O4113">
        <v>10753.16</v>
      </c>
      <c r="P4113">
        <v>2688.4</v>
      </c>
      <c r="Q4113" t="s">
        <v>37</v>
      </c>
      <c r="R4113" t="s">
        <v>29</v>
      </c>
      <c r="S4113" t="s">
        <v>1555</v>
      </c>
      <c r="T4113" t="s">
        <v>1556</v>
      </c>
    </row>
    <row r="4114" spans="1:20" x14ac:dyDescent="0.25">
      <c r="A4114" t="s">
        <v>9625</v>
      </c>
      <c r="B4114" t="str">
        <f>"7935"</f>
        <v>7935</v>
      </c>
      <c r="C4114" t="str">
        <f>"378907935"</f>
        <v>378907935</v>
      </c>
      <c r="D4114" t="s">
        <v>2753</v>
      </c>
      <c r="E4114" t="s">
        <v>351</v>
      </c>
      <c r="F4114" t="s">
        <v>438</v>
      </c>
      <c r="G4114" s="1">
        <v>25488</v>
      </c>
      <c r="H4114" s="1">
        <v>37844</v>
      </c>
      <c r="I4114" t="str">
        <f t="shared" si="92"/>
        <v>20</v>
      </c>
      <c r="J4114" t="s">
        <v>123</v>
      </c>
      <c r="K4114" t="s">
        <v>98</v>
      </c>
      <c r="L4114" t="s">
        <v>37</v>
      </c>
      <c r="M4114" t="s">
        <v>257</v>
      </c>
      <c r="N4114" s="1">
        <v>41631</v>
      </c>
      <c r="O4114">
        <v>10753.16</v>
      </c>
      <c r="P4114">
        <v>2688.4</v>
      </c>
      <c r="Q4114" t="s">
        <v>28</v>
      </c>
      <c r="R4114" t="s">
        <v>71</v>
      </c>
      <c r="S4114" t="s">
        <v>157</v>
      </c>
      <c r="T4114" t="s">
        <v>158</v>
      </c>
    </row>
    <row r="4115" spans="1:20" x14ac:dyDescent="0.25">
      <c r="A4115" t="s">
        <v>9626</v>
      </c>
      <c r="B4115" t="str">
        <f>"6731"</f>
        <v>6731</v>
      </c>
      <c r="C4115" t="str">
        <f>"525376731"</f>
        <v>525376731</v>
      </c>
      <c r="D4115" t="s">
        <v>9627</v>
      </c>
      <c r="E4115" t="s">
        <v>782</v>
      </c>
      <c r="F4115" t="s">
        <v>69</v>
      </c>
      <c r="G4115" s="1">
        <v>26861</v>
      </c>
      <c r="H4115" s="1">
        <v>37844</v>
      </c>
      <c r="I4115" t="str">
        <f t="shared" si="92"/>
        <v>20</v>
      </c>
      <c r="J4115" t="s">
        <v>123</v>
      </c>
      <c r="K4115" t="s">
        <v>98</v>
      </c>
      <c r="L4115" t="s">
        <v>37</v>
      </c>
      <c r="M4115" t="s">
        <v>117</v>
      </c>
      <c r="N4115" s="1">
        <v>41631</v>
      </c>
      <c r="O4115">
        <v>4951.9799999999996</v>
      </c>
      <c r="P4115">
        <v>1237.94</v>
      </c>
      <c r="Q4115" t="s">
        <v>37</v>
      </c>
      <c r="R4115" t="s">
        <v>71</v>
      </c>
      <c r="S4115" t="s">
        <v>2458</v>
      </c>
      <c r="T4115" t="s">
        <v>2459</v>
      </c>
    </row>
    <row r="4116" spans="1:20" x14ac:dyDescent="0.25">
      <c r="A4116" t="s">
        <v>9628</v>
      </c>
      <c r="B4116" t="str">
        <f>"4674"</f>
        <v>4674</v>
      </c>
      <c r="C4116" t="str">
        <f>"287784674"</f>
        <v>287784674</v>
      </c>
      <c r="D4116" t="s">
        <v>9629</v>
      </c>
      <c r="E4116" t="s">
        <v>3646</v>
      </c>
      <c r="F4116" t="s">
        <v>174</v>
      </c>
      <c r="G4116" s="1">
        <v>25049</v>
      </c>
      <c r="H4116" s="1">
        <v>37844</v>
      </c>
      <c r="I4116" t="str">
        <f t="shared" si="92"/>
        <v>20</v>
      </c>
      <c r="J4116" t="s">
        <v>123</v>
      </c>
      <c r="K4116" t="s">
        <v>175</v>
      </c>
      <c r="L4116" t="s">
        <v>37</v>
      </c>
      <c r="M4116" t="s">
        <v>99</v>
      </c>
      <c r="N4116" s="1">
        <v>41631</v>
      </c>
      <c r="O4116">
        <v>16411.78</v>
      </c>
      <c r="P4116">
        <v>4103</v>
      </c>
      <c r="Q4116" t="s">
        <v>28</v>
      </c>
      <c r="R4116" t="s">
        <v>51</v>
      </c>
      <c r="S4116" s="2" t="s">
        <v>2202</v>
      </c>
      <c r="T4116" t="s">
        <v>2203</v>
      </c>
    </row>
    <row r="4117" spans="1:20" x14ac:dyDescent="0.25">
      <c r="A4117" t="s">
        <v>9630</v>
      </c>
      <c r="B4117" t="str">
        <f>"4741"</f>
        <v>4741</v>
      </c>
      <c r="C4117" t="str">
        <f>"274864741"</f>
        <v>274864741</v>
      </c>
      <c r="D4117" t="s">
        <v>114</v>
      </c>
      <c r="E4117" t="s">
        <v>6044</v>
      </c>
      <c r="F4117" t="s">
        <v>165</v>
      </c>
      <c r="G4117" s="1">
        <v>26804</v>
      </c>
      <c r="H4117" s="1">
        <v>37844</v>
      </c>
      <c r="I4117" t="str">
        <f t="shared" si="92"/>
        <v>20</v>
      </c>
      <c r="J4117" t="s">
        <v>123</v>
      </c>
      <c r="L4117" t="s">
        <v>37</v>
      </c>
      <c r="M4117" t="s">
        <v>143</v>
      </c>
      <c r="N4117" s="1">
        <v>41631</v>
      </c>
      <c r="O4117">
        <v>185.9</v>
      </c>
      <c r="P4117">
        <v>-185.9</v>
      </c>
      <c r="Q4117" t="s">
        <v>28</v>
      </c>
      <c r="R4117" t="s">
        <v>71</v>
      </c>
      <c r="S4117" t="s">
        <v>2458</v>
      </c>
      <c r="T4117" t="s">
        <v>2459</v>
      </c>
    </row>
    <row r="4118" spans="1:20" x14ac:dyDescent="0.25">
      <c r="A4118" t="s">
        <v>9631</v>
      </c>
      <c r="B4118" t="str">
        <f>"8196"</f>
        <v>8196</v>
      </c>
      <c r="C4118" t="str">
        <f>"298608196"</f>
        <v>298608196</v>
      </c>
      <c r="D4118" t="s">
        <v>4102</v>
      </c>
      <c r="E4118" t="s">
        <v>544</v>
      </c>
      <c r="F4118" t="s">
        <v>28</v>
      </c>
      <c r="G4118" s="1">
        <v>23260</v>
      </c>
      <c r="H4118" s="1">
        <v>37837</v>
      </c>
      <c r="I4118" t="str">
        <f>"51"</f>
        <v>51</v>
      </c>
      <c r="J4118" t="s">
        <v>471</v>
      </c>
      <c r="K4118" t="s">
        <v>25</v>
      </c>
      <c r="L4118" t="s">
        <v>26</v>
      </c>
      <c r="M4118" t="s">
        <v>27</v>
      </c>
      <c r="N4118" s="1">
        <v>18629</v>
      </c>
      <c r="O4118">
        <v>0</v>
      </c>
      <c r="P4118">
        <v>0</v>
      </c>
      <c r="Q4118" t="s">
        <v>37</v>
      </c>
      <c r="R4118" t="s">
        <v>51</v>
      </c>
      <c r="S4118" s="2" t="s">
        <v>2333</v>
      </c>
      <c r="T4118" t="s">
        <v>2334</v>
      </c>
    </row>
    <row r="4119" spans="1:20" x14ac:dyDescent="0.25">
      <c r="A4119" t="s">
        <v>9632</v>
      </c>
      <c r="B4119" t="str">
        <f>"6563"</f>
        <v>6563</v>
      </c>
      <c r="C4119" t="str">
        <f>"218446563"</f>
        <v>218446563</v>
      </c>
      <c r="D4119" t="s">
        <v>9633</v>
      </c>
      <c r="E4119" t="s">
        <v>372</v>
      </c>
      <c r="F4119" t="s">
        <v>5656</v>
      </c>
      <c r="G4119" s="1">
        <v>15990</v>
      </c>
      <c r="H4119" s="1">
        <v>37837</v>
      </c>
      <c r="I4119" t="str">
        <f>"51"</f>
        <v>51</v>
      </c>
      <c r="J4119" t="s">
        <v>471</v>
      </c>
      <c r="K4119" t="s">
        <v>25</v>
      </c>
      <c r="L4119" t="s">
        <v>26</v>
      </c>
      <c r="M4119" t="s">
        <v>27</v>
      </c>
      <c r="N4119" s="1">
        <v>18629</v>
      </c>
      <c r="O4119">
        <v>0</v>
      </c>
      <c r="P4119">
        <v>0</v>
      </c>
      <c r="Q4119" t="s">
        <v>37</v>
      </c>
      <c r="R4119" t="s">
        <v>29</v>
      </c>
      <c r="S4119" t="s">
        <v>1707</v>
      </c>
      <c r="T4119" t="s">
        <v>1708</v>
      </c>
    </row>
    <row r="4120" spans="1:20" x14ac:dyDescent="0.25">
      <c r="A4120" t="s">
        <v>9634</v>
      </c>
      <c r="B4120" t="str">
        <f>"8483"</f>
        <v>8483</v>
      </c>
      <c r="C4120" t="str">
        <f>"287828483"</f>
        <v>287828483</v>
      </c>
      <c r="D4120" t="s">
        <v>9635</v>
      </c>
      <c r="E4120" t="s">
        <v>137</v>
      </c>
      <c r="F4120" t="s">
        <v>49</v>
      </c>
      <c r="G4120" s="1">
        <v>25459</v>
      </c>
      <c r="H4120" s="1">
        <v>37834</v>
      </c>
      <c r="I4120" t="str">
        <f>"41"</f>
        <v>41</v>
      </c>
      <c r="J4120" t="s">
        <v>24</v>
      </c>
      <c r="K4120" t="s">
        <v>25</v>
      </c>
      <c r="L4120" t="s">
        <v>26</v>
      </c>
      <c r="M4120" t="s">
        <v>27</v>
      </c>
      <c r="N4120" s="1">
        <v>18629</v>
      </c>
      <c r="O4120">
        <v>0</v>
      </c>
      <c r="P4120">
        <v>0</v>
      </c>
      <c r="Q4120" t="s">
        <v>37</v>
      </c>
      <c r="R4120" t="s">
        <v>29</v>
      </c>
      <c r="S4120" t="s">
        <v>138</v>
      </c>
      <c r="T4120" t="s">
        <v>139</v>
      </c>
    </row>
    <row r="4121" spans="1:20" x14ac:dyDescent="0.25">
      <c r="A4121" t="s">
        <v>9636</v>
      </c>
      <c r="B4121" t="str">
        <f>"0470"</f>
        <v>0470</v>
      </c>
      <c r="C4121" t="str">
        <f>"295660470"</f>
        <v>295660470</v>
      </c>
      <c r="D4121" t="s">
        <v>9637</v>
      </c>
      <c r="E4121" t="s">
        <v>49</v>
      </c>
      <c r="F4121" t="s">
        <v>28</v>
      </c>
      <c r="G4121" s="1">
        <v>26062</v>
      </c>
      <c r="H4121" s="1">
        <v>37809</v>
      </c>
      <c r="I4121" t="str">
        <f>"52"</f>
        <v>52</v>
      </c>
      <c r="J4121" t="s">
        <v>330</v>
      </c>
      <c r="K4121" t="s">
        <v>25</v>
      </c>
      <c r="L4121" t="s">
        <v>26</v>
      </c>
      <c r="M4121" t="s">
        <v>27</v>
      </c>
      <c r="N4121" s="1">
        <v>18629</v>
      </c>
      <c r="O4121">
        <v>0</v>
      </c>
      <c r="P4121">
        <v>0</v>
      </c>
      <c r="Q4121" t="s">
        <v>37</v>
      </c>
      <c r="R4121" t="s">
        <v>71</v>
      </c>
      <c r="S4121" t="s">
        <v>1774</v>
      </c>
      <c r="T4121" t="s">
        <v>1775</v>
      </c>
    </row>
    <row r="4122" spans="1:20" x14ac:dyDescent="0.25">
      <c r="A4122" t="s">
        <v>9638</v>
      </c>
      <c r="B4122" t="str">
        <f>"5945"</f>
        <v>5945</v>
      </c>
      <c r="C4122" t="str">
        <f>"290545945"</f>
        <v>290545945</v>
      </c>
      <c r="D4122" t="s">
        <v>9639</v>
      </c>
      <c r="E4122" t="s">
        <v>2351</v>
      </c>
      <c r="G4122" s="1">
        <v>19558</v>
      </c>
      <c r="H4122" s="1">
        <v>37809</v>
      </c>
      <c r="I4122" t="str">
        <f>"03"</f>
        <v>03</v>
      </c>
      <c r="J4122" t="s">
        <v>70</v>
      </c>
      <c r="K4122" t="s">
        <v>98</v>
      </c>
      <c r="L4122" t="s">
        <v>37</v>
      </c>
      <c r="M4122" t="s">
        <v>117</v>
      </c>
      <c r="N4122" s="1">
        <v>41617</v>
      </c>
      <c r="O4122">
        <v>4951.96</v>
      </c>
      <c r="P4122">
        <v>1237.8599999999999</v>
      </c>
      <c r="Q4122" t="s">
        <v>37</v>
      </c>
      <c r="R4122" t="s">
        <v>29</v>
      </c>
      <c r="S4122" t="s">
        <v>138</v>
      </c>
      <c r="T4122" t="s">
        <v>139</v>
      </c>
    </row>
    <row r="4123" spans="1:20" x14ac:dyDescent="0.25">
      <c r="A4123" t="s">
        <v>9640</v>
      </c>
      <c r="B4123" t="str">
        <f>"2779"</f>
        <v>2779</v>
      </c>
      <c r="C4123" t="str">
        <f>"285622779"</f>
        <v>285622779</v>
      </c>
      <c r="D4123" t="s">
        <v>9641</v>
      </c>
      <c r="E4123" t="s">
        <v>1655</v>
      </c>
      <c r="G4123" s="1">
        <v>23531</v>
      </c>
      <c r="H4123" s="1">
        <v>37803</v>
      </c>
      <c r="I4123" t="str">
        <f>"51"</f>
        <v>51</v>
      </c>
      <c r="J4123" t="s">
        <v>471</v>
      </c>
      <c r="K4123" t="s">
        <v>25</v>
      </c>
      <c r="L4123" t="s">
        <v>26</v>
      </c>
      <c r="M4123" t="s">
        <v>27</v>
      </c>
      <c r="N4123" s="1">
        <v>18629</v>
      </c>
      <c r="O4123">
        <v>0</v>
      </c>
      <c r="P4123">
        <v>0</v>
      </c>
      <c r="Q4123" t="s">
        <v>37</v>
      </c>
      <c r="R4123" t="s">
        <v>29</v>
      </c>
      <c r="S4123" t="s">
        <v>138</v>
      </c>
      <c r="T4123" t="s">
        <v>139</v>
      </c>
    </row>
    <row r="4124" spans="1:20" x14ac:dyDescent="0.25">
      <c r="A4124" t="s">
        <v>9642</v>
      </c>
      <c r="B4124" t="str">
        <f>"6141"</f>
        <v>6141</v>
      </c>
      <c r="C4124" t="str">
        <f>"297606141"</f>
        <v>297606141</v>
      </c>
      <c r="D4124" t="s">
        <v>9643</v>
      </c>
      <c r="E4124" t="s">
        <v>933</v>
      </c>
      <c r="G4124" s="1">
        <v>20398</v>
      </c>
      <c r="H4124" s="1">
        <v>37802</v>
      </c>
      <c r="I4124" t="str">
        <f>"01"</f>
        <v>01</v>
      </c>
      <c r="J4124" t="s">
        <v>116</v>
      </c>
      <c r="K4124" t="s">
        <v>175</v>
      </c>
      <c r="L4124" t="s">
        <v>37</v>
      </c>
      <c r="M4124" t="s">
        <v>257</v>
      </c>
      <c r="N4124" s="1">
        <v>41617</v>
      </c>
      <c r="O4124">
        <v>11847.94</v>
      </c>
      <c r="P4124">
        <v>2961.92</v>
      </c>
      <c r="Q4124" t="s">
        <v>28</v>
      </c>
      <c r="R4124" t="s">
        <v>29</v>
      </c>
      <c r="S4124" t="s">
        <v>240</v>
      </c>
      <c r="T4124" t="s">
        <v>241</v>
      </c>
    </row>
    <row r="4125" spans="1:20" x14ac:dyDescent="0.25">
      <c r="A4125" t="s">
        <v>9644</v>
      </c>
      <c r="B4125" t="str">
        <f>"2008"</f>
        <v>2008</v>
      </c>
      <c r="C4125" t="str">
        <f>"285382008"</f>
        <v>285382008</v>
      </c>
      <c r="D4125" t="s">
        <v>9645</v>
      </c>
      <c r="E4125" t="s">
        <v>3561</v>
      </c>
      <c r="F4125" t="s">
        <v>239</v>
      </c>
      <c r="G4125" s="1">
        <v>15628</v>
      </c>
      <c r="H4125" s="1">
        <v>37795</v>
      </c>
      <c r="I4125" t="str">
        <f>"51"</f>
        <v>51</v>
      </c>
      <c r="J4125" t="s">
        <v>471</v>
      </c>
      <c r="K4125" t="s">
        <v>25</v>
      </c>
      <c r="L4125" t="s">
        <v>26</v>
      </c>
      <c r="M4125" t="s">
        <v>27</v>
      </c>
      <c r="N4125" s="1">
        <v>18629</v>
      </c>
      <c r="O4125">
        <v>0</v>
      </c>
      <c r="P4125">
        <v>0</v>
      </c>
      <c r="Q4125" t="s">
        <v>37</v>
      </c>
      <c r="R4125" t="s">
        <v>29</v>
      </c>
      <c r="S4125" t="s">
        <v>1555</v>
      </c>
      <c r="T4125" t="s">
        <v>1556</v>
      </c>
    </row>
    <row r="4126" spans="1:20" x14ac:dyDescent="0.25">
      <c r="A4126" t="s">
        <v>9646</v>
      </c>
      <c r="B4126" t="str">
        <f>"8125"</f>
        <v>8125</v>
      </c>
      <c r="C4126" t="str">
        <f>"274488125"</f>
        <v>274488125</v>
      </c>
      <c r="D4126" t="s">
        <v>9647</v>
      </c>
      <c r="E4126" t="s">
        <v>682</v>
      </c>
      <c r="G4126" s="1">
        <v>17913</v>
      </c>
      <c r="H4126" s="1">
        <v>37788</v>
      </c>
      <c r="I4126" t="str">
        <f>"30"</f>
        <v>30</v>
      </c>
      <c r="J4126" t="s">
        <v>50</v>
      </c>
      <c r="K4126" t="s">
        <v>25</v>
      </c>
      <c r="L4126" t="s">
        <v>26</v>
      </c>
      <c r="M4126" t="s">
        <v>27</v>
      </c>
      <c r="N4126" s="1">
        <v>18629</v>
      </c>
      <c r="O4126">
        <v>0</v>
      </c>
      <c r="P4126">
        <v>0</v>
      </c>
      <c r="Q4126" t="s">
        <v>37</v>
      </c>
      <c r="R4126" t="s">
        <v>71</v>
      </c>
      <c r="S4126" t="s">
        <v>209</v>
      </c>
      <c r="T4126" t="s">
        <v>210</v>
      </c>
    </row>
    <row r="4127" spans="1:20" x14ac:dyDescent="0.25">
      <c r="A4127" t="s">
        <v>9648</v>
      </c>
      <c r="B4127" t="str">
        <f>"7734"</f>
        <v>7734</v>
      </c>
      <c r="C4127" t="str">
        <f>"272747734"</f>
        <v>272747734</v>
      </c>
      <c r="D4127" t="s">
        <v>9649</v>
      </c>
      <c r="E4127" t="s">
        <v>9650</v>
      </c>
      <c r="F4127" t="s">
        <v>93</v>
      </c>
      <c r="G4127" s="1">
        <v>20855</v>
      </c>
      <c r="H4127" s="1">
        <v>37768</v>
      </c>
      <c r="I4127" t="str">
        <f>"51"</f>
        <v>51</v>
      </c>
      <c r="J4127" t="s">
        <v>471</v>
      </c>
      <c r="K4127" t="s">
        <v>25</v>
      </c>
      <c r="L4127" t="s">
        <v>26</v>
      </c>
      <c r="M4127" t="s">
        <v>27</v>
      </c>
      <c r="N4127" s="1">
        <v>18629</v>
      </c>
      <c r="O4127">
        <v>0</v>
      </c>
      <c r="P4127">
        <v>0</v>
      </c>
      <c r="Q4127" t="s">
        <v>28</v>
      </c>
      <c r="R4127" t="s">
        <v>29</v>
      </c>
      <c r="S4127" t="s">
        <v>1494</v>
      </c>
      <c r="T4127" t="s">
        <v>1495</v>
      </c>
    </row>
    <row r="4128" spans="1:20" x14ac:dyDescent="0.25">
      <c r="A4128" t="s">
        <v>9651</v>
      </c>
      <c r="B4128" t="str">
        <f>"8721"</f>
        <v>8721</v>
      </c>
      <c r="C4128" t="str">
        <f>"293588721"</f>
        <v>293588721</v>
      </c>
      <c r="D4128" t="s">
        <v>9652</v>
      </c>
      <c r="E4128" t="s">
        <v>1589</v>
      </c>
      <c r="F4128" t="s">
        <v>69</v>
      </c>
      <c r="G4128" s="1">
        <v>20811</v>
      </c>
      <c r="H4128" s="1">
        <v>37768</v>
      </c>
      <c r="I4128" t="str">
        <f>"51"</f>
        <v>51</v>
      </c>
      <c r="J4128" t="s">
        <v>471</v>
      </c>
      <c r="K4128" t="s">
        <v>25</v>
      </c>
      <c r="L4128" t="s">
        <v>26</v>
      </c>
      <c r="M4128" t="s">
        <v>27</v>
      </c>
      <c r="N4128" s="1">
        <v>18629</v>
      </c>
      <c r="O4128">
        <v>0</v>
      </c>
      <c r="P4128">
        <v>0</v>
      </c>
      <c r="Q4128" t="s">
        <v>37</v>
      </c>
      <c r="R4128" t="s">
        <v>29</v>
      </c>
      <c r="S4128" t="s">
        <v>1555</v>
      </c>
      <c r="T4128" t="s">
        <v>1556</v>
      </c>
    </row>
    <row r="4129" spans="1:20" x14ac:dyDescent="0.25">
      <c r="A4129" t="s">
        <v>9653</v>
      </c>
      <c r="B4129" t="str">
        <f>"7881"</f>
        <v>7881</v>
      </c>
      <c r="C4129" t="str">
        <f>"283467881"</f>
        <v>283467881</v>
      </c>
      <c r="D4129" t="s">
        <v>9654</v>
      </c>
      <c r="E4129" t="s">
        <v>106</v>
      </c>
      <c r="F4129" t="s">
        <v>329</v>
      </c>
      <c r="G4129" s="1">
        <v>17869</v>
      </c>
      <c r="H4129" s="1">
        <v>37768</v>
      </c>
      <c r="I4129" t="str">
        <f>"51"</f>
        <v>51</v>
      </c>
      <c r="J4129" t="s">
        <v>471</v>
      </c>
      <c r="K4129" t="s">
        <v>25</v>
      </c>
      <c r="L4129" t="s">
        <v>26</v>
      </c>
      <c r="M4129" t="s">
        <v>27</v>
      </c>
      <c r="N4129" s="1">
        <v>18629</v>
      </c>
      <c r="O4129">
        <v>0</v>
      </c>
      <c r="P4129">
        <v>0</v>
      </c>
      <c r="Q4129" t="s">
        <v>28</v>
      </c>
      <c r="R4129" t="s">
        <v>29</v>
      </c>
      <c r="S4129" t="s">
        <v>1160</v>
      </c>
      <c r="T4129" t="s">
        <v>1161</v>
      </c>
    </row>
    <row r="4130" spans="1:20" x14ac:dyDescent="0.25">
      <c r="A4130" t="s">
        <v>9655</v>
      </c>
      <c r="B4130" t="str">
        <f>"9632"</f>
        <v>9632</v>
      </c>
      <c r="C4130" t="str">
        <f>"293489632"</f>
        <v>293489632</v>
      </c>
      <c r="D4130" t="s">
        <v>9656</v>
      </c>
      <c r="E4130" t="s">
        <v>2027</v>
      </c>
      <c r="G4130" s="1">
        <v>18429</v>
      </c>
      <c r="H4130" s="1">
        <v>37726</v>
      </c>
      <c r="I4130" t="str">
        <f>"52"</f>
        <v>52</v>
      </c>
      <c r="J4130" t="s">
        <v>330</v>
      </c>
      <c r="K4130" t="s">
        <v>25</v>
      </c>
      <c r="L4130" t="s">
        <v>26</v>
      </c>
      <c r="M4130" t="s">
        <v>27</v>
      </c>
      <c r="N4130" s="1">
        <v>18629</v>
      </c>
      <c r="O4130">
        <v>0</v>
      </c>
      <c r="P4130">
        <v>0</v>
      </c>
      <c r="Q4130" t="s">
        <v>28</v>
      </c>
      <c r="R4130" t="s">
        <v>258</v>
      </c>
      <c r="S4130" t="s">
        <v>1235</v>
      </c>
      <c r="T4130" t="s">
        <v>1236</v>
      </c>
    </row>
    <row r="4131" spans="1:20" x14ac:dyDescent="0.25">
      <c r="A4131" t="s">
        <v>9657</v>
      </c>
      <c r="B4131" t="str">
        <f>"4072"</f>
        <v>4072</v>
      </c>
      <c r="C4131" t="str">
        <f>"160464072"</f>
        <v>160464072</v>
      </c>
      <c r="D4131" t="s">
        <v>5218</v>
      </c>
      <c r="E4131" t="s">
        <v>56</v>
      </c>
      <c r="F4131" t="s">
        <v>28</v>
      </c>
      <c r="G4131" s="1">
        <v>25442</v>
      </c>
      <c r="H4131" s="1">
        <v>37718</v>
      </c>
      <c r="I4131" t="str">
        <f>"51"</f>
        <v>51</v>
      </c>
      <c r="J4131" t="s">
        <v>471</v>
      </c>
      <c r="K4131" t="s">
        <v>25</v>
      </c>
      <c r="L4131" t="s">
        <v>26</v>
      </c>
      <c r="M4131" t="s">
        <v>27</v>
      </c>
      <c r="N4131" s="1">
        <v>18629</v>
      </c>
      <c r="O4131">
        <v>0</v>
      </c>
      <c r="P4131">
        <v>0</v>
      </c>
      <c r="Q4131" t="s">
        <v>28</v>
      </c>
      <c r="R4131" t="s">
        <v>71</v>
      </c>
      <c r="S4131" t="s">
        <v>2634</v>
      </c>
      <c r="T4131" t="s">
        <v>2635</v>
      </c>
    </row>
    <row r="4132" spans="1:20" x14ac:dyDescent="0.25">
      <c r="A4132" t="s">
        <v>9658</v>
      </c>
      <c r="B4132" t="str">
        <f>"7253"</f>
        <v>7253</v>
      </c>
      <c r="C4132" t="str">
        <f>"300707253"</f>
        <v>300707253</v>
      </c>
      <c r="D4132" t="s">
        <v>907</v>
      </c>
      <c r="E4132" t="s">
        <v>2087</v>
      </c>
      <c r="G4132" s="1">
        <v>24595</v>
      </c>
      <c r="H4132" s="1">
        <v>37716</v>
      </c>
      <c r="I4132" t="str">
        <f>"52"</f>
        <v>52</v>
      </c>
      <c r="J4132" t="s">
        <v>330</v>
      </c>
      <c r="K4132" t="s">
        <v>25</v>
      </c>
      <c r="L4132" t="s">
        <v>26</v>
      </c>
      <c r="M4132" t="s">
        <v>27</v>
      </c>
      <c r="N4132" s="1">
        <v>18629</v>
      </c>
      <c r="O4132">
        <v>0</v>
      </c>
      <c r="P4132">
        <v>0</v>
      </c>
      <c r="Q4132" t="s">
        <v>28</v>
      </c>
      <c r="R4132" t="s">
        <v>71</v>
      </c>
      <c r="S4132" t="s">
        <v>377</v>
      </c>
      <c r="T4132" t="s">
        <v>378</v>
      </c>
    </row>
    <row r="4133" spans="1:20" x14ac:dyDescent="0.25">
      <c r="A4133" t="s">
        <v>9659</v>
      </c>
      <c r="B4133" t="str">
        <f>"9636"</f>
        <v>9636</v>
      </c>
      <c r="C4133" t="str">
        <f>"294849636"</f>
        <v>294849636</v>
      </c>
      <c r="D4133" t="s">
        <v>7758</v>
      </c>
      <c r="E4133" t="s">
        <v>9660</v>
      </c>
      <c r="F4133" t="s">
        <v>2917</v>
      </c>
      <c r="G4133" s="1">
        <v>30481</v>
      </c>
      <c r="H4133" s="1">
        <v>37711</v>
      </c>
      <c r="I4133" t="str">
        <f>"41"</f>
        <v>41</v>
      </c>
      <c r="J4133" t="s">
        <v>24</v>
      </c>
      <c r="K4133" t="s">
        <v>25</v>
      </c>
      <c r="L4133" t="s">
        <v>26</v>
      </c>
      <c r="M4133" t="s">
        <v>27</v>
      </c>
      <c r="N4133" s="1">
        <v>18629</v>
      </c>
      <c r="O4133">
        <v>0</v>
      </c>
      <c r="P4133">
        <v>0</v>
      </c>
      <c r="Q4133" t="s">
        <v>37</v>
      </c>
      <c r="R4133" t="s">
        <v>71</v>
      </c>
      <c r="S4133" t="s">
        <v>505</v>
      </c>
      <c r="T4133" t="s">
        <v>506</v>
      </c>
    </row>
    <row r="4134" spans="1:20" x14ac:dyDescent="0.25">
      <c r="A4134" t="s">
        <v>9661</v>
      </c>
      <c r="B4134" t="str">
        <f>"5624"</f>
        <v>5624</v>
      </c>
      <c r="C4134" t="str">
        <f>"302725624"</f>
        <v>302725624</v>
      </c>
      <c r="D4134" t="s">
        <v>9662</v>
      </c>
      <c r="E4134" t="s">
        <v>35</v>
      </c>
      <c r="G4134" s="1">
        <v>23572</v>
      </c>
      <c r="H4134" s="1">
        <v>37704</v>
      </c>
      <c r="I4134" t="str">
        <f>"07"</f>
        <v>07</v>
      </c>
      <c r="J4134" t="s">
        <v>1018</v>
      </c>
      <c r="L4134" t="s">
        <v>37</v>
      </c>
      <c r="M4134" t="s">
        <v>143</v>
      </c>
      <c r="N4134" s="1">
        <v>41617</v>
      </c>
      <c r="O4134">
        <v>185.9</v>
      </c>
      <c r="P4134">
        <v>-185.9</v>
      </c>
      <c r="Q4134" t="s">
        <v>28</v>
      </c>
      <c r="R4134" t="s">
        <v>71</v>
      </c>
      <c r="S4134" t="s">
        <v>5588</v>
      </c>
      <c r="T4134" t="s">
        <v>5589</v>
      </c>
    </row>
    <row r="4135" spans="1:20" x14ac:dyDescent="0.25">
      <c r="A4135" t="s">
        <v>9663</v>
      </c>
      <c r="B4135" t="str">
        <f>"5744"</f>
        <v>5744</v>
      </c>
      <c r="C4135" t="str">
        <f>"285285744"</f>
        <v>285285744</v>
      </c>
      <c r="D4135" t="s">
        <v>1087</v>
      </c>
      <c r="E4135" t="s">
        <v>6993</v>
      </c>
      <c r="F4135" t="s">
        <v>44</v>
      </c>
      <c r="G4135" s="1">
        <v>12767</v>
      </c>
      <c r="H4135" s="1">
        <v>37697</v>
      </c>
      <c r="I4135" t="str">
        <f>"08"</f>
        <v>08</v>
      </c>
      <c r="J4135" t="s">
        <v>265</v>
      </c>
      <c r="K4135" t="s">
        <v>98</v>
      </c>
      <c r="L4135" t="s">
        <v>37</v>
      </c>
      <c r="M4135" t="s">
        <v>117</v>
      </c>
      <c r="N4135" s="1">
        <v>41617</v>
      </c>
      <c r="O4135">
        <v>4951.96</v>
      </c>
      <c r="P4135">
        <v>1237.8599999999999</v>
      </c>
      <c r="Q4135" t="s">
        <v>28</v>
      </c>
      <c r="R4135" t="s">
        <v>51</v>
      </c>
      <c r="S4135" t="s">
        <v>3994</v>
      </c>
      <c r="T4135" t="s">
        <v>3995</v>
      </c>
    </row>
    <row r="4136" spans="1:20" x14ac:dyDescent="0.25">
      <c r="A4136" t="s">
        <v>9664</v>
      </c>
      <c r="B4136" t="str">
        <f>"6399"</f>
        <v>6399</v>
      </c>
      <c r="C4136" t="str">
        <f>"276666399"</f>
        <v>276666399</v>
      </c>
      <c r="D4136" t="s">
        <v>9665</v>
      </c>
      <c r="E4136" t="s">
        <v>184</v>
      </c>
      <c r="G4136" s="1">
        <v>20074</v>
      </c>
      <c r="H4136" s="1">
        <v>37697</v>
      </c>
      <c r="I4136" t="str">
        <f>"30"</f>
        <v>30</v>
      </c>
      <c r="J4136" t="s">
        <v>50</v>
      </c>
      <c r="K4136" t="s">
        <v>25</v>
      </c>
      <c r="L4136" t="s">
        <v>26</v>
      </c>
      <c r="M4136" t="s">
        <v>27</v>
      </c>
      <c r="N4136" s="1">
        <v>18629</v>
      </c>
      <c r="O4136">
        <v>0</v>
      </c>
      <c r="P4136">
        <v>0</v>
      </c>
      <c r="Q4136" t="s">
        <v>37</v>
      </c>
      <c r="R4136" t="s">
        <v>29</v>
      </c>
      <c r="S4136" t="s">
        <v>8777</v>
      </c>
      <c r="T4136" t="s">
        <v>8778</v>
      </c>
    </row>
    <row r="4137" spans="1:20" x14ac:dyDescent="0.25">
      <c r="A4137" t="s">
        <v>9666</v>
      </c>
      <c r="B4137" t="str">
        <f>"3880"</f>
        <v>3880</v>
      </c>
      <c r="C4137" t="str">
        <f>"276463880"</f>
        <v>276463880</v>
      </c>
      <c r="D4137" t="s">
        <v>7611</v>
      </c>
      <c r="E4137" t="s">
        <v>197</v>
      </c>
      <c r="F4137" t="s">
        <v>97</v>
      </c>
      <c r="G4137" s="1">
        <v>20084</v>
      </c>
      <c r="H4137" s="1">
        <v>37697</v>
      </c>
      <c r="I4137" t="str">
        <f>"51"</f>
        <v>51</v>
      </c>
      <c r="J4137" t="s">
        <v>471</v>
      </c>
      <c r="K4137" t="s">
        <v>25</v>
      </c>
      <c r="L4137" t="s">
        <v>26</v>
      </c>
      <c r="M4137" t="s">
        <v>27</v>
      </c>
      <c r="N4137" s="1">
        <v>18629</v>
      </c>
      <c r="O4137">
        <v>0</v>
      </c>
      <c r="P4137">
        <v>0</v>
      </c>
      <c r="Q4137" t="s">
        <v>28</v>
      </c>
      <c r="R4137" t="s">
        <v>71</v>
      </c>
      <c r="S4137" t="s">
        <v>4090</v>
      </c>
      <c r="T4137" t="s">
        <v>4091</v>
      </c>
    </row>
    <row r="4138" spans="1:20" x14ac:dyDescent="0.25">
      <c r="A4138" t="s">
        <v>9667</v>
      </c>
      <c r="B4138" t="str">
        <f>"9377"</f>
        <v>9377</v>
      </c>
      <c r="C4138" t="str">
        <f>"279669377"</f>
        <v>279669377</v>
      </c>
      <c r="D4138" t="s">
        <v>9668</v>
      </c>
      <c r="E4138" t="s">
        <v>794</v>
      </c>
      <c r="F4138" t="s">
        <v>649</v>
      </c>
      <c r="G4138" s="1">
        <v>21542</v>
      </c>
      <c r="H4138" s="1">
        <v>37697</v>
      </c>
      <c r="I4138" t="str">
        <f>"05"</f>
        <v>05</v>
      </c>
      <c r="J4138" t="s">
        <v>58</v>
      </c>
      <c r="K4138" t="s">
        <v>175</v>
      </c>
      <c r="L4138" t="s">
        <v>37</v>
      </c>
      <c r="M4138" t="s">
        <v>99</v>
      </c>
      <c r="N4138" s="1">
        <v>41617</v>
      </c>
      <c r="O4138">
        <v>16411.72</v>
      </c>
      <c r="P4138">
        <v>4102.8</v>
      </c>
      <c r="Q4138" t="s">
        <v>28</v>
      </c>
      <c r="R4138" t="s">
        <v>51</v>
      </c>
      <c r="S4138" s="2" t="s">
        <v>774</v>
      </c>
      <c r="T4138" t="s">
        <v>775</v>
      </c>
    </row>
    <row r="4139" spans="1:20" x14ac:dyDescent="0.25">
      <c r="A4139" t="s">
        <v>9669</v>
      </c>
      <c r="B4139" t="str">
        <f>"2947"</f>
        <v>2947</v>
      </c>
      <c r="C4139" t="str">
        <f>"205322947"</f>
        <v>205322947</v>
      </c>
      <c r="D4139" t="s">
        <v>9670</v>
      </c>
      <c r="E4139" t="s">
        <v>628</v>
      </c>
      <c r="F4139" t="s">
        <v>264</v>
      </c>
      <c r="G4139" s="1">
        <v>15507</v>
      </c>
      <c r="H4139" s="1">
        <v>37685</v>
      </c>
      <c r="I4139" t="str">
        <f>"52"</f>
        <v>52</v>
      </c>
      <c r="J4139" t="s">
        <v>330</v>
      </c>
      <c r="K4139" t="s">
        <v>25</v>
      </c>
      <c r="L4139" t="s">
        <v>26</v>
      </c>
      <c r="M4139" t="s">
        <v>27</v>
      </c>
      <c r="N4139" s="1">
        <v>18629</v>
      </c>
      <c r="O4139">
        <v>0</v>
      </c>
      <c r="P4139">
        <v>0</v>
      </c>
      <c r="Q4139" t="s">
        <v>37</v>
      </c>
      <c r="R4139" t="s">
        <v>51</v>
      </c>
      <c r="S4139" s="2" t="s">
        <v>362</v>
      </c>
      <c r="T4139" t="s">
        <v>363</v>
      </c>
    </row>
    <row r="4140" spans="1:20" x14ac:dyDescent="0.25">
      <c r="A4140" t="s">
        <v>9671</v>
      </c>
      <c r="B4140" t="str">
        <f>"8716"</f>
        <v>8716</v>
      </c>
      <c r="C4140" t="str">
        <f>"293328716"</f>
        <v>293328716</v>
      </c>
      <c r="D4140" t="s">
        <v>9672</v>
      </c>
      <c r="E4140" t="s">
        <v>2786</v>
      </c>
      <c r="F4140" t="s">
        <v>97</v>
      </c>
      <c r="G4140" s="1">
        <v>13782</v>
      </c>
      <c r="H4140" s="1">
        <v>37683</v>
      </c>
      <c r="I4140" t="str">
        <f>"30"</f>
        <v>30</v>
      </c>
      <c r="J4140" t="s">
        <v>50</v>
      </c>
      <c r="K4140" t="s">
        <v>25</v>
      </c>
      <c r="L4140" t="s">
        <v>26</v>
      </c>
      <c r="M4140" t="s">
        <v>27</v>
      </c>
      <c r="N4140" s="1">
        <v>18629</v>
      </c>
      <c r="O4140">
        <v>0</v>
      </c>
      <c r="P4140">
        <v>0</v>
      </c>
      <c r="Q4140" t="s">
        <v>37</v>
      </c>
      <c r="R4140" t="s">
        <v>51</v>
      </c>
      <c r="S4140" s="2" t="s">
        <v>220</v>
      </c>
      <c r="T4140" t="s">
        <v>221</v>
      </c>
    </row>
    <row r="4141" spans="1:20" x14ac:dyDescent="0.25">
      <c r="A4141" t="s">
        <v>9673</v>
      </c>
      <c r="B4141" t="str">
        <f>"3147"</f>
        <v>3147</v>
      </c>
      <c r="C4141" t="str">
        <f>"269763147"</f>
        <v>269763147</v>
      </c>
      <c r="D4141" t="s">
        <v>2176</v>
      </c>
      <c r="E4141" t="s">
        <v>9674</v>
      </c>
      <c r="F4141" t="s">
        <v>26</v>
      </c>
      <c r="G4141" s="1">
        <v>26836</v>
      </c>
      <c r="H4141" s="1">
        <v>37681</v>
      </c>
      <c r="I4141" t="str">
        <f>"52"</f>
        <v>52</v>
      </c>
      <c r="J4141" t="s">
        <v>330</v>
      </c>
      <c r="K4141" t="s">
        <v>25</v>
      </c>
      <c r="L4141" t="s">
        <v>26</v>
      </c>
      <c r="M4141" t="s">
        <v>27</v>
      </c>
      <c r="N4141" s="1">
        <v>18629</v>
      </c>
      <c r="O4141">
        <v>0</v>
      </c>
      <c r="P4141">
        <v>0</v>
      </c>
      <c r="Q4141" t="s">
        <v>28</v>
      </c>
      <c r="R4141" t="s">
        <v>29</v>
      </c>
      <c r="S4141" t="s">
        <v>4000</v>
      </c>
      <c r="T4141" t="s">
        <v>4001</v>
      </c>
    </row>
    <row r="4142" spans="1:20" x14ac:dyDescent="0.25">
      <c r="A4142" t="s">
        <v>9675</v>
      </c>
      <c r="B4142" t="str">
        <f>"8504"</f>
        <v>8504</v>
      </c>
      <c r="C4142" t="str">
        <f>"089428504"</f>
        <v>089428504</v>
      </c>
      <c r="D4142" t="s">
        <v>773</v>
      </c>
      <c r="E4142" t="s">
        <v>3070</v>
      </c>
      <c r="F4142" t="s">
        <v>93</v>
      </c>
      <c r="G4142" s="1">
        <v>18840</v>
      </c>
      <c r="H4142" s="1">
        <v>37678</v>
      </c>
      <c r="I4142" t="str">
        <f>"51"</f>
        <v>51</v>
      </c>
      <c r="J4142" t="s">
        <v>471</v>
      </c>
      <c r="K4142" t="s">
        <v>25</v>
      </c>
      <c r="L4142" t="s">
        <v>26</v>
      </c>
      <c r="M4142" t="s">
        <v>27</v>
      </c>
      <c r="N4142" s="1">
        <v>18629</v>
      </c>
      <c r="O4142">
        <v>0</v>
      </c>
      <c r="P4142">
        <v>0</v>
      </c>
      <c r="Q4142" t="s">
        <v>28</v>
      </c>
      <c r="R4142" t="s">
        <v>71</v>
      </c>
      <c r="S4142" t="s">
        <v>857</v>
      </c>
      <c r="T4142" t="s">
        <v>858</v>
      </c>
    </row>
    <row r="4143" spans="1:20" x14ac:dyDescent="0.25">
      <c r="A4143" t="s">
        <v>9676</v>
      </c>
      <c r="B4143" t="str">
        <f>"7360"</f>
        <v>7360</v>
      </c>
      <c r="C4143" t="str">
        <f>"299747360"</f>
        <v>299747360</v>
      </c>
      <c r="D4143" t="s">
        <v>9677</v>
      </c>
      <c r="E4143" t="s">
        <v>35</v>
      </c>
      <c r="F4143" t="s">
        <v>264</v>
      </c>
      <c r="G4143" s="1">
        <v>24346</v>
      </c>
      <c r="H4143" s="1">
        <v>37671</v>
      </c>
      <c r="I4143" t="str">
        <f>"51"</f>
        <v>51</v>
      </c>
      <c r="J4143" t="s">
        <v>471</v>
      </c>
      <c r="K4143" t="s">
        <v>25</v>
      </c>
      <c r="L4143" t="s">
        <v>26</v>
      </c>
      <c r="M4143" t="s">
        <v>27</v>
      </c>
      <c r="N4143" s="1">
        <v>18629</v>
      </c>
      <c r="O4143">
        <v>0</v>
      </c>
      <c r="P4143">
        <v>0</v>
      </c>
      <c r="Q4143" t="s">
        <v>28</v>
      </c>
      <c r="R4143" t="s">
        <v>71</v>
      </c>
      <c r="S4143" t="s">
        <v>857</v>
      </c>
      <c r="T4143" t="s">
        <v>858</v>
      </c>
    </row>
    <row r="4144" spans="1:20" x14ac:dyDescent="0.25">
      <c r="A4144" t="s">
        <v>9678</v>
      </c>
      <c r="B4144" t="str">
        <f>"5063"</f>
        <v>5063</v>
      </c>
      <c r="C4144" t="str">
        <f>"278605063"</f>
        <v>278605063</v>
      </c>
      <c r="D4144" t="s">
        <v>1279</v>
      </c>
      <c r="E4144" t="s">
        <v>1784</v>
      </c>
      <c r="F4144" t="s">
        <v>28</v>
      </c>
      <c r="G4144" s="1">
        <v>24352</v>
      </c>
      <c r="H4144" s="1">
        <v>37669</v>
      </c>
      <c r="I4144" t="str">
        <f>"01"</f>
        <v>01</v>
      </c>
      <c r="J4144" t="s">
        <v>116</v>
      </c>
      <c r="K4144" t="s">
        <v>510</v>
      </c>
      <c r="L4144" t="s">
        <v>37</v>
      </c>
      <c r="M4144" t="s">
        <v>117</v>
      </c>
      <c r="N4144" s="1">
        <v>41617</v>
      </c>
      <c r="O4144">
        <v>6477.12</v>
      </c>
      <c r="P4144">
        <v>1619.28</v>
      </c>
      <c r="Q4144" t="s">
        <v>37</v>
      </c>
      <c r="R4144" t="s">
        <v>38</v>
      </c>
      <c r="S4144" t="s">
        <v>1051</v>
      </c>
      <c r="T4144" t="s">
        <v>1052</v>
      </c>
    </row>
    <row r="4145" spans="1:20" x14ac:dyDescent="0.25">
      <c r="A4145" t="s">
        <v>9679</v>
      </c>
      <c r="B4145" t="str">
        <f>"9531"</f>
        <v>9531</v>
      </c>
      <c r="C4145" t="str">
        <f>"292649531"</f>
        <v>292649531</v>
      </c>
      <c r="D4145" t="s">
        <v>2183</v>
      </c>
      <c r="E4145" t="s">
        <v>704</v>
      </c>
      <c r="F4145" t="s">
        <v>28</v>
      </c>
      <c r="G4145" s="1">
        <v>24320</v>
      </c>
      <c r="H4145" s="1">
        <v>37669</v>
      </c>
      <c r="I4145" t="str">
        <f>"30"</f>
        <v>30</v>
      </c>
      <c r="J4145" t="s">
        <v>50</v>
      </c>
      <c r="K4145" t="s">
        <v>25</v>
      </c>
      <c r="L4145" t="s">
        <v>26</v>
      </c>
      <c r="M4145" t="s">
        <v>27</v>
      </c>
      <c r="N4145" s="1">
        <v>18629</v>
      </c>
      <c r="O4145">
        <v>0</v>
      </c>
      <c r="P4145">
        <v>0</v>
      </c>
      <c r="Q4145" t="s">
        <v>28</v>
      </c>
      <c r="R4145" t="s">
        <v>71</v>
      </c>
      <c r="S4145" t="s">
        <v>373</v>
      </c>
      <c r="T4145" t="s">
        <v>374</v>
      </c>
    </row>
    <row r="4146" spans="1:20" x14ac:dyDescent="0.25">
      <c r="A4146" t="s">
        <v>9680</v>
      </c>
      <c r="B4146" t="str">
        <f>"7194"</f>
        <v>7194</v>
      </c>
      <c r="C4146" t="str">
        <f>"296047194"</f>
        <v>296047194</v>
      </c>
      <c r="D4146" t="s">
        <v>9681</v>
      </c>
      <c r="E4146" t="s">
        <v>9682</v>
      </c>
      <c r="G4146" s="1">
        <v>20914</v>
      </c>
      <c r="H4146" s="1">
        <v>37656</v>
      </c>
      <c r="I4146" t="str">
        <f>"33"</f>
        <v>33</v>
      </c>
      <c r="J4146" t="s">
        <v>45</v>
      </c>
      <c r="K4146" t="s">
        <v>25</v>
      </c>
      <c r="L4146" t="s">
        <v>26</v>
      </c>
      <c r="M4146" t="s">
        <v>27</v>
      </c>
      <c r="N4146" s="1">
        <v>18629</v>
      </c>
      <c r="O4146">
        <v>0</v>
      </c>
      <c r="P4146">
        <v>0</v>
      </c>
      <c r="Q4146" t="s">
        <v>37</v>
      </c>
      <c r="R4146" t="s">
        <v>29</v>
      </c>
      <c r="S4146" t="s">
        <v>594</v>
      </c>
      <c r="T4146" t="s">
        <v>595</v>
      </c>
    </row>
    <row r="4147" spans="1:20" x14ac:dyDescent="0.25">
      <c r="A4147" t="s">
        <v>9683</v>
      </c>
      <c r="B4147" t="str">
        <f>"5403"</f>
        <v>5403</v>
      </c>
      <c r="C4147" t="str">
        <f>"276765403"</f>
        <v>276765403</v>
      </c>
      <c r="D4147" t="s">
        <v>9684</v>
      </c>
      <c r="E4147" t="s">
        <v>263</v>
      </c>
      <c r="F4147" t="s">
        <v>69</v>
      </c>
      <c r="G4147" s="1">
        <v>28506</v>
      </c>
      <c r="H4147" s="1">
        <v>37655</v>
      </c>
      <c r="I4147" t="str">
        <f>"08"</f>
        <v>08</v>
      </c>
      <c r="J4147" t="s">
        <v>265</v>
      </c>
      <c r="K4147" t="s">
        <v>98</v>
      </c>
      <c r="L4147" t="s">
        <v>37</v>
      </c>
      <c r="M4147" t="s">
        <v>257</v>
      </c>
      <c r="N4147" s="1">
        <v>41617</v>
      </c>
      <c r="O4147">
        <v>10753.08</v>
      </c>
      <c r="P4147">
        <v>2688.4</v>
      </c>
      <c r="Q4147" t="s">
        <v>28</v>
      </c>
      <c r="R4147" t="s">
        <v>29</v>
      </c>
      <c r="S4147" t="s">
        <v>368</v>
      </c>
      <c r="T4147" t="s">
        <v>369</v>
      </c>
    </row>
    <row r="4148" spans="1:20" x14ac:dyDescent="0.25">
      <c r="A4148" t="s">
        <v>9685</v>
      </c>
      <c r="B4148" t="str">
        <f>"9714"</f>
        <v>9714</v>
      </c>
      <c r="C4148" t="str">
        <f>"272569714"</f>
        <v>272569714</v>
      </c>
      <c r="D4148" t="s">
        <v>1810</v>
      </c>
      <c r="E4148" t="s">
        <v>2512</v>
      </c>
      <c r="F4148" t="s">
        <v>97</v>
      </c>
      <c r="G4148" s="1">
        <v>20571</v>
      </c>
      <c r="H4148" s="1">
        <v>37648</v>
      </c>
      <c r="I4148" t="str">
        <f>"51"</f>
        <v>51</v>
      </c>
      <c r="J4148" t="s">
        <v>471</v>
      </c>
      <c r="K4148" t="s">
        <v>25</v>
      </c>
      <c r="L4148" t="s">
        <v>26</v>
      </c>
      <c r="M4148" t="s">
        <v>27</v>
      </c>
      <c r="N4148" s="1">
        <v>18629</v>
      </c>
      <c r="O4148">
        <v>0</v>
      </c>
      <c r="P4148">
        <v>0</v>
      </c>
      <c r="Q4148" t="s">
        <v>37</v>
      </c>
      <c r="R4148" t="s">
        <v>71</v>
      </c>
      <c r="S4148" t="s">
        <v>4234</v>
      </c>
      <c r="T4148" t="s">
        <v>4235</v>
      </c>
    </row>
    <row r="4149" spans="1:20" x14ac:dyDescent="0.25">
      <c r="A4149" t="s">
        <v>9686</v>
      </c>
      <c r="B4149" t="str">
        <f>"9732"</f>
        <v>9732</v>
      </c>
      <c r="C4149" t="str">
        <f>"297629732"</f>
        <v>297629732</v>
      </c>
      <c r="D4149" t="s">
        <v>9687</v>
      </c>
      <c r="E4149" t="s">
        <v>7897</v>
      </c>
      <c r="F4149" t="s">
        <v>44</v>
      </c>
      <c r="G4149" s="1">
        <v>22575</v>
      </c>
      <c r="H4149" s="1">
        <v>37648</v>
      </c>
      <c r="I4149" t="str">
        <f>"51"</f>
        <v>51</v>
      </c>
      <c r="J4149" t="s">
        <v>471</v>
      </c>
      <c r="K4149" t="s">
        <v>25</v>
      </c>
      <c r="L4149" t="s">
        <v>26</v>
      </c>
      <c r="M4149" t="s">
        <v>27</v>
      </c>
      <c r="N4149" s="1">
        <v>18629</v>
      </c>
      <c r="O4149">
        <v>0</v>
      </c>
      <c r="P4149">
        <v>0</v>
      </c>
      <c r="Q4149" t="s">
        <v>37</v>
      </c>
      <c r="R4149" t="s">
        <v>71</v>
      </c>
      <c r="S4149" t="s">
        <v>4234</v>
      </c>
      <c r="T4149" t="s">
        <v>4235</v>
      </c>
    </row>
    <row r="4150" spans="1:20" x14ac:dyDescent="0.25">
      <c r="A4150" t="s">
        <v>9688</v>
      </c>
      <c r="B4150" t="str">
        <f>"9561"</f>
        <v>9561</v>
      </c>
      <c r="C4150" t="str">
        <f>"271609561"</f>
        <v>271609561</v>
      </c>
      <c r="D4150" t="s">
        <v>4032</v>
      </c>
      <c r="E4150" t="s">
        <v>1287</v>
      </c>
      <c r="F4150" t="s">
        <v>345</v>
      </c>
      <c r="G4150" s="1">
        <v>21291</v>
      </c>
      <c r="H4150" s="1">
        <v>37642</v>
      </c>
      <c r="I4150" t="str">
        <f>"12"</f>
        <v>12</v>
      </c>
      <c r="J4150" t="s">
        <v>245</v>
      </c>
      <c r="K4150" t="s">
        <v>175</v>
      </c>
      <c r="L4150" t="s">
        <v>37</v>
      </c>
      <c r="M4150" t="s">
        <v>99</v>
      </c>
      <c r="N4150" s="1">
        <v>41617</v>
      </c>
      <c r="O4150">
        <v>16411.72</v>
      </c>
      <c r="P4150">
        <v>4102.8</v>
      </c>
      <c r="Q4150" t="s">
        <v>37</v>
      </c>
      <c r="R4150" t="s">
        <v>51</v>
      </c>
      <c r="S4150" t="s">
        <v>2084</v>
      </c>
      <c r="T4150" t="s">
        <v>2085</v>
      </c>
    </row>
    <row r="4151" spans="1:20" x14ac:dyDescent="0.25">
      <c r="A4151" t="s">
        <v>9689</v>
      </c>
      <c r="B4151" t="str">
        <f>"8408"</f>
        <v>8408</v>
      </c>
      <c r="C4151" t="str">
        <f>"270708408"</f>
        <v>270708408</v>
      </c>
      <c r="D4151" t="s">
        <v>1734</v>
      </c>
      <c r="E4151" t="s">
        <v>3534</v>
      </c>
      <c r="F4151" t="s">
        <v>165</v>
      </c>
      <c r="G4151" s="1">
        <v>22772</v>
      </c>
      <c r="H4151" s="1">
        <v>37642</v>
      </c>
      <c r="I4151" t="str">
        <f>"51"</f>
        <v>51</v>
      </c>
      <c r="J4151" t="s">
        <v>471</v>
      </c>
      <c r="K4151" t="s">
        <v>25</v>
      </c>
      <c r="L4151" t="s">
        <v>26</v>
      </c>
      <c r="M4151" t="s">
        <v>27</v>
      </c>
      <c r="N4151" s="1">
        <v>18629</v>
      </c>
      <c r="O4151">
        <v>0</v>
      </c>
      <c r="P4151">
        <v>0</v>
      </c>
      <c r="Q4151" t="s">
        <v>37</v>
      </c>
      <c r="R4151" t="s">
        <v>71</v>
      </c>
      <c r="S4151" t="s">
        <v>9690</v>
      </c>
      <c r="T4151" t="s">
        <v>9691</v>
      </c>
    </row>
    <row r="4152" spans="1:20" x14ac:dyDescent="0.25">
      <c r="A4152" t="s">
        <v>9692</v>
      </c>
      <c r="B4152" t="str">
        <f>"7595"</f>
        <v>7595</v>
      </c>
      <c r="C4152" t="str">
        <f>"297407595"</f>
        <v>297407595</v>
      </c>
      <c r="D4152" t="s">
        <v>9693</v>
      </c>
      <c r="E4152" t="s">
        <v>6965</v>
      </c>
      <c r="G4152" s="1">
        <v>16129</v>
      </c>
      <c r="H4152" s="1">
        <v>37642</v>
      </c>
      <c r="I4152" t="str">
        <f>"41"</f>
        <v>41</v>
      </c>
      <c r="J4152" t="s">
        <v>24</v>
      </c>
      <c r="K4152" t="s">
        <v>25</v>
      </c>
      <c r="L4152" t="s">
        <v>26</v>
      </c>
      <c r="M4152" t="s">
        <v>27</v>
      </c>
      <c r="N4152" s="1">
        <v>18629</v>
      </c>
      <c r="O4152">
        <v>0</v>
      </c>
      <c r="P4152">
        <v>0</v>
      </c>
      <c r="Q4152" t="s">
        <v>28</v>
      </c>
      <c r="R4152" t="s">
        <v>29</v>
      </c>
      <c r="S4152" t="s">
        <v>1422</v>
      </c>
      <c r="T4152" t="s">
        <v>1423</v>
      </c>
    </row>
    <row r="4153" spans="1:20" x14ac:dyDescent="0.25">
      <c r="A4153" t="s">
        <v>9694</v>
      </c>
      <c r="B4153" t="str">
        <f>"5374"</f>
        <v>5374</v>
      </c>
      <c r="C4153" t="str">
        <f>"275805374"</f>
        <v>275805374</v>
      </c>
      <c r="D4153" t="s">
        <v>9695</v>
      </c>
      <c r="E4153" t="s">
        <v>2617</v>
      </c>
      <c r="F4153" t="s">
        <v>28</v>
      </c>
      <c r="G4153" s="1">
        <v>25673</v>
      </c>
      <c r="H4153" s="1">
        <v>37642</v>
      </c>
      <c r="I4153" t="str">
        <f t="shared" ref="I4153:I4168" si="93">"51"</f>
        <v>51</v>
      </c>
      <c r="J4153" t="s">
        <v>471</v>
      </c>
      <c r="K4153" t="s">
        <v>25</v>
      </c>
      <c r="L4153" t="s">
        <v>26</v>
      </c>
      <c r="M4153" t="s">
        <v>27</v>
      </c>
      <c r="N4153" s="1">
        <v>18629</v>
      </c>
      <c r="O4153">
        <v>0</v>
      </c>
      <c r="P4153">
        <v>0</v>
      </c>
      <c r="Q4153" t="s">
        <v>28</v>
      </c>
      <c r="R4153" t="s">
        <v>71</v>
      </c>
      <c r="S4153" t="s">
        <v>305</v>
      </c>
      <c r="T4153" t="s">
        <v>306</v>
      </c>
    </row>
    <row r="4154" spans="1:20" x14ac:dyDescent="0.25">
      <c r="A4154" t="s">
        <v>9696</v>
      </c>
      <c r="B4154" t="str">
        <f>"8639"</f>
        <v>8639</v>
      </c>
      <c r="C4154" t="str">
        <f>"292448639"</f>
        <v>292448639</v>
      </c>
      <c r="D4154" t="s">
        <v>9697</v>
      </c>
      <c r="E4154" t="s">
        <v>1287</v>
      </c>
      <c r="F4154" t="s">
        <v>44</v>
      </c>
      <c r="G4154" s="1">
        <v>17044</v>
      </c>
      <c r="H4154" s="1">
        <v>37642</v>
      </c>
      <c r="I4154" t="str">
        <f t="shared" si="93"/>
        <v>51</v>
      </c>
      <c r="J4154" t="s">
        <v>471</v>
      </c>
      <c r="K4154" t="s">
        <v>25</v>
      </c>
      <c r="L4154" t="s">
        <v>26</v>
      </c>
      <c r="M4154" t="s">
        <v>27</v>
      </c>
      <c r="N4154" s="1">
        <v>18629</v>
      </c>
      <c r="O4154">
        <v>0</v>
      </c>
      <c r="P4154">
        <v>0</v>
      </c>
      <c r="Q4154" t="s">
        <v>37</v>
      </c>
      <c r="R4154" t="s">
        <v>71</v>
      </c>
      <c r="S4154" t="s">
        <v>305</v>
      </c>
      <c r="T4154" t="s">
        <v>306</v>
      </c>
    </row>
    <row r="4155" spans="1:20" x14ac:dyDescent="0.25">
      <c r="A4155" t="s">
        <v>9698</v>
      </c>
      <c r="B4155" t="str">
        <f>"7532"</f>
        <v>7532</v>
      </c>
      <c r="C4155" t="str">
        <f>"270827532"</f>
        <v>270827532</v>
      </c>
      <c r="D4155" t="s">
        <v>213</v>
      </c>
      <c r="E4155" t="s">
        <v>1799</v>
      </c>
      <c r="F4155" t="s">
        <v>256</v>
      </c>
      <c r="G4155" s="1">
        <v>24573</v>
      </c>
      <c r="H4155" s="1">
        <v>37638</v>
      </c>
      <c r="I4155" t="str">
        <f t="shared" si="93"/>
        <v>51</v>
      </c>
      <c r="J4155" t="s">
        <v>471</v>
      </c>
      <c r="K4155" t="s">
        <v>25</v>
      </c>
      <c r="L4155" t="s">
        <v>26</v>
      </c>
      <c r="M4155" t="s">
        <v>27</v>
      </c>
      <c r="N4155" s="1">
        <v>18629</v>
      </c>
      <c r="O4155">
        <v>0</v>
      </c>
      <c r="P4155">
        <v>0</v>
      </c>
      <c r="Q4155" t="s">
        <v>37</v>
      </c>
      <c r="R4155" t="s">
        <v>29</v>
      </c>
      <c r="S4155" t="s">
        <v>4635</v>
      </c>
      <c r="T4155" t="s">
        <v>4636</v>
      </c>
    </row>
    <row r="4156" spans="1:20" x14ac:dyDescent="0.25">
      <c r="A4156" t="s">
        <v>9699</v>
      </c>
      <c r="B4156" t="str">
        <f>"5104"</f>
        <v>5104</v>
      </c>
      <c r="C4156" t="str">
        <f>"302385104"</f>
        <v>302385104</v>
      </c>
      <c r="D4156" t="s">
        <v>9700</v>
      </c>
      <c r="E4156" t="s">
        <v>3747</v>
      </c>
      <c r="F4156" t="s">
        <v>69</v>
      </c>
      <c r="G4156" s="1">
        <v>16479</v>
      </c>
      <c r="H4156" s="1">
        <v>37634</v>
      </c>
      <c r="I4156" t="str">
        <f t="shared" si="93"/>
        <v>51</v>
      </c>
      <c r="J4156" t="s">
        <v>471</v>
      </c>
      <c r="K4156" t="s">
        <v>25</v>
      </c>
      <c r="L4156" t="s">
        <v>26</v>
      </c>
      <c r="M4156" t="s">
        <v>27</v>
      </c>
      <c r="N4156" s="1">
        <v>18629</v>
      </c>
      <c r="O4156">
        <v>0</v>
      </c>
      <c r="P4156">
        <v>0</v>
      </c>
      <c r="Q4156" t="s">
        <v>28</v>
      </c>
      <c r="R4156" t="s">
        <v>51</v>
      </c>
      <c r="S4156" s="2" t="s">
        <v>1538</v>
      </c>
      <c r="T4156" t="s">
        <v>1539</v>
      </c>
    </row>
    <row r="4157" spans="1:20" x14ac:dyDescent="0.25">
      <c r="A4157" t="s">
        <v>9701</v>
      </c>
      <c r="B4157" t="str">
        <f>"9715"</f>
        <v>9715</v>
      </c>
      <c r="C4157" t="str">
        <f>"275449715"</f>
        <v>275449715</v>
      </c>
      <c r="D4157" t="s">
        <v>9702</v>
      </c>
      <c r="E4157" t="s">
        <v>3747</v>
      </c>
      <c r="F4157" t="s">
        <v>28</v>
      </c>
      <c r="G4157" s="1">
        <v>18244</v>
      </c>
      <c r="H4157" s="1">
        <v>37634</v>
      </c>
      <c r="I4157" t="str">
        <f t="shared" si="93"/>
        <v>51</v>
      </c>
      <c r="J4157" t="s">
        <v>471</v>
      </c>
      <c r="K4157" t="s">
        <v>25</v>
      </c>
      <c r="L4157" t="s">
        <v>26</v>
      </c>
      <c r="M4157" t="s">
        <v>27</v>
      </c>
      <c r="N4157" s="1">
        <v>18629</v>
      </c>
      <c r="O4157">
        <v>0</v>
      </c>
      <c r="P4157">
        <v>0</v>
      </c>
      <c r="Q4157" t="s">
        <v>28</v>
      </c>
      <c r="R4157" t="s">
        <v>51</v>
      </c>
      <c r="S4157" s="2" t="s">
        <v>2202</v>
      </c>
      <c r="T4157" t="s">
        <v>2203</v>
      </c>
    </row>
    <row r="4158" spans="1:20" x14ac:dyDescent="0.25">
      <c r="A4158" t="s">
        <v>9703</v>
      </c>
      <c r="B4158" t="str">
        <f>"2189"</f>
        <v>2189</v>
      </c>
      <c r="C4158" t="str">
        <f>"382682189"</f>
        <v>382682189</v>
      </c>
      <c r="D4158" t="s">
        <v>6362</v>
      </c>
      <c r="E4158" t="s">
        <v>9704</v>
      </c>
      <c r="G4158" s="1">
        <v>21327</v>
      </c>
      <c r="H4158" s="1">
        <v>37634</v>
      </c>
      <c r="I4158" t="str">
        <f t="shared" si="93"/>
        <v>51</v>
      </c>
      <c r="J4158" t="s">
        <v>471</v>
      </c>
      <c r="K4158" t="s">
        <v>25</v>
      </c>
      <c r="L4158" t="s">
        <v>26</v>
      </c>
      <c r="M4158" t="s">
        <v>27</v>
      </c>
      <c r="N4158" s="1">
        <v>18629</v>
      </c>
      <c r="O4158">
        <v>0</v>
      </c>
      <c r="P4158">
        <v>0</v>
      </c>
      <c r="Q4158" t="s">
        <v>28</v>
      </c>
      <c r="R4158" t="s">
        <v>71</v>
      </c>
      <c r="S4158" t="s">
        <v>3963</v>
      </c>
      <c r="T4158" t="s">
        <v>3964</v>
      </c>
    </row>
    <row r="4159" spans="1:20" x14ac:dyDescent="0.25">
      <c r="A4159" t="s">
        <v>9705</v>
      </c>
      <c r="B4159" t="str">
        <f>"6099"</f>
        <v>6099</v>
      </c>
      <c r="C4159" t="str">
        <f>"274546099"</f>
        <v>274546099</v>
      </c>
      <c r="D4159" t="s">
        <v>2873</v>
      </c>
      <c r="E4159" t="s">
        <v>122</v>
      </c>
      <c r="F4159" t="s">
        <v>28</v>
      </c>
      <c r="G4159" s="1">
        <v>19327</v>
      </c>
      <c r="H4159" s="1">
        <v>37634</v>
      </c>
      <c r="I4159" t="str">
        <f t="shared" si="93"/>
        <v>51</v>
      </c>
      <c r="J4159" t="s">
        <v>471</v>
      </c>
      <c r="K4159" t="s">
        <v>25</v>
      </c>
      <c r="L4159" t="s">
        <v>26</v>
      </c>
      <c r="M4159" t="s">
        <v>27</v>
      </c>
      <c r="N4159" s="1">
        <v>18629</v>
      </c>
      <c r="O4159">
        <v>0</v>
      </c>
      <c r="P4159">
        <v>0</v>
      </c>
      <c r="Q4159" t="s">
        <v>28</v>
      </c>
      <c r="R4159" t="s">
        <v>29</v>
      </c>
      <c r="S4159" t="s">
        <v>1555</v>
      </c>
      <c r="T4159" t="s">
        <v>1556</v>
      </c>
    </row>
    <row r="4160" spans="1:20" x14ac:dyDescent="0.25">
      <c r="A4160" t="s">
        <v>9706</v>
      </c>
      <c r="B4160" t="str">
        <f>"9485"</f>
        <v>9485</v>
      </c>
      <c r="C4160" t="str">
        <f>"271449485"</f>
        <v>271449485</v>
      </c>
      <c r="D4160" t="s">
        <v>9707</v>
      </c>
      <c r="E4160" t="s">
        <v>463</v>
      </c>
      <c r="F4160" t="s">
        <v>219</v>
      </c>
      <c r="G4160" s="1">
        <v>18211</v>
      </c>
      <c r="H4160" s="1">
        <v>37634</v>
      </c>
      <c r="I4160" t="str">
        <f t="shared" si="93"/>
        <v>51</v>
      </c>
      <c r="J4160" t="s">
        <v>471</v>
      </c>
      <c r="K4160" t="s">
        <v>25</v>
      </c>
      <c r="L4160" t="s">
        <v>26</v>
      </c>
      <c r="M4160" t="s">
        <v>27</v>
      </c>
      <c r="N4160" s="1">
        <v>18629</v>
      </c>
      <c r="O4160">
        <v>0</v>
      </c>
      <c r="P4160">
        <v>0</v>
      </c>
      <c r="Q4160" t="s">
        <v>28</v>
      </c>
      <c r="R4160" t="s">
        <v>29</v>
      </c>
      <c r="S4160" t="s">
        <v>2066</v>
      </c>
      <c r="T4160" t="s">
        <v>2067</v>
      </c>
    </row>
    <row r="4161" spans="1:20" x14ac:dyDescent="0.25">
      <c r="A4161" t="s">
        <v>9708</v>
      </c>
      <c r="B4161" t="str">
        <f>"1204"</f>
        <v>1204</v>
      </c>
      <c r="C4161" t="str">
        <f>"274581204"</f>
        <v>274581204</v>
      </c>
      <c r="D4161" t="s">
        <v>9709</v>
      </c>
      <c r="E4161" t="s">
        <v>1074</v>
      </c>
      <c r="F4161" t="s">
        <v>2256</v>
      </c>
      <c r="G4161" s="1">
        <v>20565</v>
      </c>
      <c r="H4161" s="1">
        <v>37634</v>
      </c>
      <c r="I4161" t="str">
        <f t="shared" si="93"/>
        <v>51</v>
      </c>
      <c r="J4161" t="s">
        <v>471</v>
      </c>
      <c r="K4161" t="s">
        <v>25</v>
      </c>
      <c r="L4161" t="s">
        <v>26</v>
      </c>
      <c r="M4161" t="s">
        <v>27</v>
      </c>
      <c r="N4161" s="1">
        <v>18629</v>
      </c>
      <c r="O4161">
        <v>0</v>
      </c>
      <c r="P4161">
        <v>0</v>
      </c>
      <c r="Q4161" t="s">
        <v>37</v>
      </c>
      <c r="R4161" t="s">
        <v>29</v>
      </c>
      <c r="S4161" t="s">
        <v>1075</v>
      </c>
      <c r="T4161" t="s">
        <v>1076</v>
      </c>
    </row>
    <row r="4162" spans="1:20" x14ac:dyDescent="0.25">
      <c r="A4162" t="s">
        <v>9710</v>
      </c>
      <c r="B4162" t="str">
        <f>"7410"</f>
        <v>7410</v>
      </c>
      <c r="C4162" t="str">
        <f>"294547410"</f>
        <v>294547410</v>
      </c>
      <c r="D4162" t="s">
        <v>9711</v>
      </c>
      <c r="E4162" t="s">
        <v>1934</v>
      </c>
      <c r="F4162" t="s">
        <v>28</v>
      </c>
      <c r="G4162" s="1">
        <v>21017</v>
      </c>
      <c r="H4162" s="1">
        <v>37634</v>
      </c>
      <c r="I4162" t="str">
        <f t="shared" si="93"/>
        <v>51</v>
      </c>
      <c r="J4162" t="s">
        <v>471</v>
      </c>
      <c r="K4162" t="s">
        <v>25</v>
      </c>
      <c r="L4162" t="s">
        <v>26</v>
      </c>
      <c r="M4162" t="s">
        <v>27</v>
      </c>
      <c r="N4162" s="1">
        <v>18629</v>
      </c>
      <c r="O4162">
        <v>0</v>
      </c>
      <c r="P4162">
        <v>0</v>
      </c>
      <c r="Q4162" t="s">
        <v>37</v>
      </c>
      <c r="R4162" t="s">
        <v>71</v>
      </c>
      <c r="S4162" t="s">
        <v>305</v>
      </c>
      <c r="T4162" t="s">
        <v>306</v>
      </c>
    </row>
    <row r="4163" spans="1:20" x14ac:dyDescent="0.25">
      <c r="A4163" t="s">
        <v>9712</v>
      </c>
      <c r="B4163" t="str">
        <f>"0468"</f>
        <v>0468</v>
      </c>
      <c r="C4163" t="str">
        <f>"275360468"</f>
        <v>275360468</v>
      </c>
      <c r="D4163" t="s">
        <v>9713</v>
      </c>
      <c r="E4163" t="s">
        <v>263</v>
      </c>
      <c r="F4163" t="s">
        <v>3934</v>
      </c>
      <c r="G4163" s="1">
        <v>14979</v>
      </c>
      <c r="H4163" s="1">
        <v>37634</v>
      </c>
      <c r="I4163" t="str">
        <f t="shared" si="93"/>
        <v>51</v>
      </c>
      <c r="J4163" t="s">
        <v>471</v>
      </c>
      <c r="K4163" t="s">
        <v>25</v>
      </c>
      <c r="L4163" t="s">
        <v>26</v>
      </c>
      <c r="M4163" t="s">
        <v>27</v>
      </c>
      <c r="N4163" s="1">
        <v>18629</v>
      </c>
      <c r="O4163">
        <v>0</v>
      </c>
      <c r="P4163">
        <v>0</v>
      </c>
      <c r="Q4163" t="s">
        <v>28</v>
      </c>
      <c r="R4163" t="s">
        <v>71</v>
      </c>
      <c r="S4163" t="s">
        <v>1585</v>
      </c>
      <c r="T4163" t="s">
        <v>1586</v>
      </c>
    </row>
    <row r="4164" spans="1:20" x14ac:dyDescent="0.25">
      <c r="A4164" t="s">
        <v>9714</v>
      </c>
      <c r="B4164" t="str">
        <f>"5936"</f>
        <v>5936</v>
      </c>
      <c r="C4164" t="str">
        <f>"293745936"</f>
        <v>293745936</v>
      </c>
      <c r="D4164" t="s">
        <v>470</v>
      </c>
      <c r="E4164" t="s">
        <v>1744</v>
      </c>
      <c r="G4164" s="1">
        <v>27179</v>
      </c>
      <c r="H4164" s="1">
        <v>37634</v>
      </c>
      <c r="I4164" t="str">
        <f t="shared" si="93"/>
        <v>51</v>
      </c>
      <c r="J4164" t="s">
        <v>471</v>
      </c>
      <c r="K4164" t="s">
        <v>25</v>
      </c>
      <c r="L4164" t="s">
        <v>26</v>
      </c>
      <c r="M4164" t="s">
        <v>27</v>
      </c>
      <c r="N4164" s="1">
        <v>18629</v>
      </c>
      <c r="O4164">
        <v>0</v>
      </c>
      <c r="P4164">
        <v>0</v>
      </c>
      <c r="Q4164" t="s">
        <v>37</v>
      </c>
      <c r="R4164" t="s">
        <v>51</v>
      </c>
      <c r="S4164" s="2" t="s">
        <v>8387</v>
      </c>
      <c r="T4164" t="s">
        <v>8388</v>
      </c>
    </row>
    <row r="4165" spans="1:20" x14ac:dyDescent="0.25">
      <c r="A4165" t="s">
        <v>9715</v>
      </c>
      <c r="B4165" t="str">
        <f>"6673"</f>
        <v>6673</v>
      </c>
      <c r="C4165" t="str">
        <f>"276446673"</f>
        <v>276446673</v>
      </c>
      <c r="D4165" t="s">
        <v>9716</v>
      </c>
      <c r="E4165" t="s">
        <v>2047</v>
      </c>
      <c r="F4165" t="s">
        <v>556</v>
      </c>
      <c r="G4165" s="1">
        <v>19202</v>
      </c>
      <c r="H4165" s="1">
        <v>37634</v>
      </c>
      <c r="I4165" t="str">
        <f t="shared" si="93"/>
        <v>51</v>
      </c>
      <c r="J4165" t="s">
        <v>471</v>
      </c>
      <c r="K4165" t="s">
        <v>25</v>
      </c>
      <c r="L4165" t="s">
        <v>26</v>
      </c>
      <c r="M4165" t="s">
        <v>27</v>
      </c>
      <c r="N4165" s="1">
        <v>18629</v>
      </c>
      <c r="O4165">
        <v>0</v>
      </c>
      <c r="P4165">
        <v>0</v>
      </c>
      <c r="Q4165" t="s">
        <v>28</v>
      </c>
      <c r="R4165" t="s">
        <v>71</v>
      </c>
      <c r="S4165" t="s">
        <v>857</v>
      </c>
      <c r="T4165" t="s">
        <v>858</v>
      </c>
    </row>
    <row r="4166" spans="1:20" x14ac:dyDescent="0.25">
      <c r="A4166" t="s">
        <v>9717</v>
      </c>
      <c r="B4166" t="str">
        <f>"7011"</f>
        <v>7011</v>
      </c>
      <c r="C4166" t="str">
        <f>"272447011"</f>
        <v>272447011</v>
      </c>
      <c r="D4166" t="s">
        <v>9718</v>
      </c>
      <c r="E4166" t="s">
        <v>2010</v>
      </c>
      <c r="F4166" t="s">
        <v>264</v>
      </c>
      <c r="G4166" s="1">
        <v>17798</v>
      </c>
      <c r="H4166" s="1">
        <v>37634</v>
      </c>
      <c r="I4166" t="str">
        <f t="shared" si="93"/>
        <v>51</v>
      </c>
      <c r="J4166" t="s">
        <v>471</v>
      </c>
      <c r="K4166" t="s">
        <v>25</v>
      </c>
      <c r="L4166" t="s">
        <v>26</v>
      </c>
      <c r="M4166" t="s">
        <v>27</v>
      </c>
      <c r="N4166" s="1">
        <v>18629</v>
      </c>
      <c r="O4166">
        <v>0</v>
      </c>
      <c r="P4166">
        <v>0</v>
      </c>
      <c r="Q4166" t="s">
        <v>28</v>
      </c>
      <c r="R4166" t="s">
        <v>71</v>
      </c>
      <c r="S4166" t="s">
        <v>1610</v>
      </c>
      <c r="T4166" t="s">
        <v>1611</v>
      </c>
    </row>
    <row r="4167" spans="1:20" x14ac:dyDescent="0.25">
      <c r="A4167" t="s">
        <v>9719</v>
      </c>
      <c r="B4167" t="str">
        <f>"2598"</f>
        <v>2598</v>
      </c>
      <c r="C4167" t="str">
        <f>"287402598"</f>
        <v>287402598</v>
      </c>
      <c r="D4167" t="s">
        <v>9720</v>
      </c>
      <c r="E4167" t="s">
        <v>106</v>
      </c>
      <c r="F4167" t="s">
        <v>165</v>
      </c>
      <c r="G4167" s="1">
        <v>17319</v>
      </c>
      <c r="H4167" s="1">
        <v>37634</v>
      </c>
      <c r="I4167" t="str">
        <f t="shared" si="93"/>
        <v>51</v>
      </c>
      <c r="J4167" t="s">
        <v>471</v>
      </c>
      <c r="K4167" t="s">
        <v>25</v>
      </c>
      <c r="L4167" t="s">
        <v>26</v>
      </c>
      <c r="M4167" t="s">
        <v>27</v>
      </c>
      <c r="N4167" s="1">
        <v>18629</v>
      </c>
      <c r="O4167">
        <v>0</v>
      </c>
      <c r="P4167">
        <v>0</v>
      </c>
      <c r="Q4167" t="s">
        <v>28</v>
      </c>
      <c r="R4167" t="s">
        <v>71</v>
      </c>
      <c r="S4167" t="s">
        <v>6181</v>
      </c>
      <c r="T4167" t="s">
        <v>6182</v>
      </c>
    </row>
    <row r="4168" spans="1:20" x14ac:dyDescent="0.25">
      <c r="A4168" t="s">
        <v>9721</v>
      </c>
      <c r="B4168" t="str">
        <f>"1278"</f>
        <v>1278</v>
      </c>
      <c r="C4168" t="str">
        <f>"314961278"</f>
        <v>314961278</v>
      </c>
      <c r="D4168" t="s">
        <v>9722</v>
      </c>
      <c r="E4168" t="s">
        <v>4556</v>
      </c>
      <c r="F4168" t="s">
        <v>2256</v>
      </c>
      <c r="G4168" s="1">
        <v>27642</v>
      </c>
      <c r="H4168" s="1">
        <v>37634</v>
      </c>
      <c r="I4168" t="str">
        <f t="shared" si="93"/>
        <v>51</v>
      </c>
      <c r="J4168" t="s">
        <v>471</v>
      </c>
      <c r="K4168" t="s">
        <v>25</v>
      </c>
      <c r="L4168" t="s">
        <v>26</v>
      </c>
      <c r="M4168" t="s">
        <v>27</v>
      </c>
      <c r="N4168" s="1">
        <v>18629</v>
      </c>
      <c r="O4168">
        <v>0</v>
      </c>
      <c r="P4168">
        <v>0</v>
      </c>
      <c r="Q4168" t="s">
        <v>37</v>
      </c>
      <c r="R4168" t="s">
        <v>29</v>
      </c>
      <c r="S4168" t="s">
        <v>3588</v>
      </c>
      <c r="T4168" t="s">
        <v>3589</v>
      </c>
    </row>
    <row r="4169" spans="1:20" x14ac:dyDescent="0.25">
      <c r="A4169" t="s">
        <v>9723</v>
      </c>
      <c r="B4169" t="str">
        <f>"8944"</f>
        <v>8944</v>
      </c>
      <c r="C4169" t="str">
        <f>"274608944"</f>
        <v>274608944</v>
      </c>
      <c r="D4169" t="s">
        <v>3921</v>
      </c>
      <c r="E4169" t="s">
        <v>1081</v>
      </c>
      <c r="G4169" s="1">
        <v>20463</v>
      </c>
      <c r="H4169" s="1">
        <v>37634</v>
      </c>
      <c r="I4169" t="str">
        <f>"52"</f>
        <v>52</v>
      </c>
      <c r="J4169" t="s">
        <v>330</v>
      </c>
      <c r="K4169" t="s">
        <v>25</v>
      </c>
      <c r="L4169" t="s">
        <v>26</v>
      </c>
      <c r="M4169" t="s">
        <v>27</v>
      </c>
      <c r="N4169" s="1">
        <v>18629</v>
      </c>
      <c r="O4169">
        <v>0</v>
      </c>
      <c r="P4169">
        <v>0</v>
      </c>
      <c r="Q4169" t="s">
        <v>28</v>
      </c>
      <c r="R4169" t="s">
        <v>51</v>
      </c>
      <c r="S4169" t="s">
        <v>4000</v>
      </c>
      <c r="T4169" t="s">
        <v>4001</v>
      </c>
    </row>
    <row r="4170" spans="1:20" x14ac:dyDescent="0.25">
      <c r="A4170" t="s">
        <v>9724</v>
      </c>
      <c r="B4170" t="str">
        <f>"1019"</f>
        <v>1019</v>
      </c>
      <c r="C4170" t="str">
        <f>"285461019"</f>
        <v>285461019</v>
      </c>
      <c r="D4170" t="s">
        <v>1049</v>
      </c>
      <c r="E4170" t="s">
        <v>3826</v>
      </c>
      <c r="F4170" t="s">
        <v>256</v>
      </c>
      <c r="G4170" s="1">
        <v>18127</v>
      </c>
      <c r="H4170" s="1">
        <v>37634</v>
      </c>
      <c r="I4170" t="str">
        <f>"51"</f>
        <v>51</v>
      </c>
      <c r="J4170" t="s">
        <v>471</v>
      </c>
      <c r="K4170" t="s">
        <v>25</v>
      </c>
      <c r="L4170" t="s">
        <v>26</v>
      </c>
      <c r="M4170" t="s">
        <v>27</v>
      </c>
      <c r="N4170" s="1">
        <v>18629</v>
      </c>
      <c r="O4170">
        <v>0</v>
      </c>
      <c r="P4170">
        <v>0</v>
      </c>
      <c r="Q4170" t="s">
        <v>37</v>
      </c>
      <c r="R4170" t="s">
        <v>29</v>
      </c>
      <c r="S4170" t="s">
        <v>765</v>
      </c>
      <c r="T4170" t="s">
        <v>766</v>
      </c>
    </row>
    <row r="4171" spans="1:20" x14ac:dyDescent="0.25">
      <c r="A4171" t="s">
        <v>9725</v>
      </c>
      <c r="B4171" t="str">
        <f>"0518"</f>
        <v>0518</v>
      </c>
      <c r="C4171" t="str">
        <f>"301700518"</f>
        <v>301700518</v>
      </c>
      <c r="D4171" t="s">
        <v>9726</v>
      </c>
      <c r="E4171" t="s">
        <v>9727</v>
      </c>
      <c r="F4171" t="s">
        <v>26</v>
      </c>
      <c r="G4171" s="1">
        <v>26134</v>
      </c>
      <c r="H4171" s="1">
        <v>37634</v>
      </c>
      <c r="I4171" t="str">
        <f>"50"</f>
        <v>50</v>
      </c>
      <c r="J4171" t="s">
        <v>208</v>
      </c>
      <c r="K4171" t="s">
        <v>25</v>
      </c>
      <c r="L4171" t="s">
        <v>26</v>
      </c>
      <c r="M4171" t="s">
        <v>27</v>
      </c>
      <c r="N4171" s="1">
        <v>18629</v>
      </c>
      <c r="O4171">
        <v>0</v>
      </c>
      <c r="P4171">
        <v>0</v>
      </c>
      <c r="Q4171" t="s">
        <v>37</v>
      </c>
      <c r="R4171" t="s">
        <v>29</v>
      </c>
      <c r="S4171" t="s">
        <v>3682</v>
      </c>
      <c r="T4171" t="s">
        <v>3683</v>
      </c>
    </row>
    <row r="4172" spans="1:20" x14ac:dyDescent="0.25">
      <c r="A4172" t="s">
        <v>9728</v>
      </c>
      <c r="B4172" t="str">
        <f>"1148"</f>
        <v>1148</v>
      </c>
      <c r="C4172" t="str">
        <f>"585701148"</f>
        <v>585701148</v>
      </c>
      <c r="D4172" t="s">
        <v>9729</v>
      </c>
      <c r="E4172" t="s">
        <v>9730</v>
      </c>
      <c r="G4172" s="1">
        <v>16187</v>
      </c>
      <c r="H4172" s="1">
        <v>37634</v>
      </c>
      <c r="I4172" t="str">
        <f>"51"</f>
        <v>51</v>
      </c>
      <c r="J4172" t="s">
        <v>471</v>
      </c>
      <c r="K4172" t="s">
        <v>25</v>
      </c>
      <c r="L4172" t="s">
        <v>26</v>
      </c>
      <c r="M4172" t="s">
        <v>27</v>
      </c>
      <c r="N4172" s="1">
        <v>18629</v>
      </c>
      <c r="O4172">
        <v>0</v>
      </c>
      <c r="P4172">
        <v>0</v>
      </c>
      <c r="Q4172" t="s">
        <v>37</v>
      </c>
      <c r="R4172" t="s">
        <v>71</v>
      </c>
      <c r="S4172" t="s">
        <v>180</v>
      </c>
      <c r="T4172" t="s">
        <v>181</v>
      </c>
    </row>
    <row r="4173" spans="1:20" x14ac:dyDescent="0.25">
      <c r="A4173" t="s">
        <v>9731</v>
      </c>
      <c r="B4173" t="str">
        <f>"4643"</f>
        <v>4643</v>
      </c>
      <c r="C4173" t="str">
        <f>"269504643"</f>
        <v>269504643</v>
      </c>
      <c r="D4173" t="s">
        <v>9732</v>
      </c>
      <c r="E4173" t="s">
        <v>1639</v>
      </c>
      <c r="F4173" t="s">
        <v>219</v>
      </c>
      <c r="G4173" s="1">
        <v>18247</v>
      </c>
      <c r="H4173" s="1">
        <v>37634</v>
      </c>
      <c r="I4173" t="str">
        <f>"51"</f>
        <v>51</v>
      </c>
      <c r="J4173" t="s">
        <v>471</v>
      </c>
      <c r="K4173" t="s">
        <v>25</v>
      </c>
      <c r="L4173" t="s">
        <v>26</v>
      </c>
      <c r="M4173" t="s">
        <v>27</v>
      </c>
      <c r="N4173" s="1">
        <v>18629</v>
      </c>
      <c r="O4173">
        <v>0</v>
      </c>
      <c r="P4173">
        <v>0</v>
      </c>
      <c r="Q4173" t="s">
        <v>28</v>
      </c>
      <c r="R4173" t="s">
        <v>71</v>
      </c>
      <c r="S4173" t="s">
        <v>3844</v>
      </c>
      <c r="T4173" t="s">
        <v>3845</v>
      </c>
    </row>
    <row r="4174" spans="1:20" x14ac:dyDescent="0.25">
      <c r="A4174" t="s">
        <v>9733</v>
      </c>
      <c r="B4174" t="str">
        <f>"9524"</f>
        <v>9524</v>
      </c>
      <c r="C4174" t="str">
        <f>"300429524"</f>
        <v>300429524</v>
      </c>
      <c r="D4174" t="s">
        <v>9734</v>
      </c>
      <c r="E4174" t="s">
        <v>1487</v>
      </c>
      <c r="F4174" t="s">
        <v>97</v>
      </c>
      <c r="G4174" s="1">
        <v>17673</v>
      </c>
      <c r="H4174" s="1">
        <v>37634</v>
      </c>
      <c r="I4174" t="str">
        <f>"51"</f>
        <v>51</v>
      </c>
      <c r="J4174" t="s">
        <v>471</v>
      </c>
      <c r="K4174" t="s">
        <v>25</v>
      </c>
      <c r="L4174" t="s">
        <v>26</v>
      </c>
      <c r="M4174" t="s">
        <v>27</v>
      </c>
      <c r="N4174" s="1">
        <v>18629</v>
      </c>
      <c r="O4174">
        <v>0</v>
      </c>
      <c r="P4174">
        <v>0</v>
      </c>
      <c r="Q4174" t="s">
        <v>28</v>
      </c>
      <c r="R4174" t="s">
        <v>71</v>
      </c>
      <c r="S4174" t="s">
        <v>9735</v>
      </c>
      <c r="T4174" t="s">
        <v>9736</v>
      </c>
    </row>
    <row r="4175" spans="1:20" x14ac:dyDescent="0.25">
      <c r="A4175" t="s">
        <v>9737</v>
      </c>
      <c r="B4175" t="str">
        <f>"2750"</f>
        <v>2750</v>
      </c>
      <c r="C4175" t="str">
        <f>"282542750"</f>
        <v>282542750</v>
      </c>
      <c r="D4175" t="s">
        <v>2661</v>
      </c>
      <c r="E4175" t="s">
        <v>9738</v>
      </c>
      <c r="G4175" s="1">
        <v>15814</v>
      </c>
      <c r="H4175" s="1">
        <v>37634</v>
      </c>
      <c r="I4175" t="str">
        <f>"51"</f>
        <v>51</v>
      </c>
      <c r="J4175" t="s">
        <v>471</v>
      </c>
      <c r="K4175" t="s">
        <v>25</v>
      </c>
      <c r="L4175" t="s">
        <v>26</v>
      </c>
      <c r="M4175" t="s">
        <v>27</v>
      </c>
      <c r="N4175" s="1">
        <v>18629</v>
      </c>
      <c r="O4175">
        <v>0</v>
      </c>
      <c r="P4175">
        <v>0</v>
      </c>
      <c r="Q4175" t="s">
        <v>37</v>
      </c>
      <c r="R4175" t="s">
        <v>51</v>
      </c>
      <c r="S4175" t="s">
        <v>83</v>
      </c>
      <c r="T4175" t="s">
        <v>84</v>
      </c>
    </row>
    <row r="4176" spans="1:20" x14ac:dyDescent="0.25">
      <c r="A4176" t="s">
        <v>9739</v>
      </c>
      <c r="B4176" t="str">
        <f>"8573"</f>
        <v>8573</v>
      </c>
      <c r="C4176" t="str">
        <f>"283548573"</f>
        <v>283548573</v>
      </c>
      <c r="D4176" t="s">
        <v>7156</v>
      </c>
      <c r="E4176" t="s">
        <v>1854</v>
      </c>
      <c r="F4176" t="s">
        <v>28</v>
      </c>
      <c r="G4176" s="1">
        <v>18491</v>
      </c>
      <c r="H4176" s="1">
        <v>37613</v>
      </c>
      <c r="I4176" t="str">
        <f>"30"</f>
        <v>30</v>
      </c>
      <c r="J4176" t="s">
        <v>50</v>
      </c>
      <c r="K4176" t="s">
        <v>25</v>
      </c>
      <c r="L4176" t="s">
        <v>26</v>
      </c>
      <c r="M4176" t="s">
        <v>27</v>
      </c>
      <c r="N4176" s="1">
        <v>18629</v>
      </c>
      <c r="O4176">
        <v>0</v>
      </c>
      <c r="P4176">
        <v>0</v>
      </c>
      <c r="Q4176" t="s">
        <v>28</v>
      </c>
      <c r="R4176" t="s">
        <v>71</v>
      </c>
      <c r="S4176" t="s">
        <v>373</v>
      </c>
      <c r="T4176" t="s">
        <v>374</v>
      </c>
    </row>
    <row r="4177" spans="1:20" x14ac:dyDescent="0.25">
      <c r="A4177" t="s">
        <v>9740</v>
      </c>
      <c r="B4177" t="str">
        <f>"8281"</f>
        <v>8281</v>
      </c>
      <c r="C4177" t="str">
        <f>"006408281"</f>
        <v>006408281</v>
      </c>
      <c r="D4177" t="s">
        <v>508</v>
      </c>
      <c r="E4177" t="s">
        <v>959</v>
      </c>
      <c r="F4177" t="s">
        <v>93</v>
      </c>
      <c r="G4177" s="1">
        <v>15394</v>
      </c>
      <c r="H4177" s="1">
        <v>37613</v>
      </c>
      <c r="I4177" t="str">
        <f>"30"</f>
        <v>30</v>
      </c>
      <c r="J4177" t="s">
        <v>50</v>
      </c>
      <c r="K4177" t="s">
        <v>25</v>
      </c>
      <c r="L4177" t="s">
        <v>26</v>
      </c>
      <c r="M4177" t="s">
        <v>27</v>
      </c>
      <c r="N4177" s="1">
        <v>18629</v>
      </c>
      <c r="O4177">
        <v>0</v>
      </c>
      <c r="P4177">
        <v>0</v>
      </c>
      <c r="Q4177" t="s">
        <v>28</v>
      </c>
      <c r="R4177" t="s">
        <v>29</v>
      </c>
      <c r="S4177" t="s">
        <v>240</v>
      </c>
      <c r="T4177" t="s">
        <v>241</v>
      </c>
    </row>
    <row r="4178" spans="1:20" x14ac:dyDescent="0.25">
      <c r="A4178" t="s">
        <v>9741</v>
      </c>
      <c r="B4178" t="str">
        <f>"3161"</f>
        <v>3161</v>
      </c>
      <c r="C4178" t="str">
        <f>"274603161"</f>
        <v>274603161</v>
      </c>
      <c r="D4178" t="s">
        <v>2183</v>
      </c>
      <c r="E4178" t="s">
        <v>1067</v>
      </c>
      <c r="F4178" t="s">
        <v>44</v>
      </c>
      <c r="G4178" s="1">
        <v>21315</v>
      </c>
      <c r="H4178" s="1">
        <v>37613</v>
      </c>
      <c r="I4178" t="str">
        <f>"05"</f>
        <v>05</v>
      </c>
      <c r="J4178" t="s">
        <v>58</v>
      </c>
      <c r="K4178" t="s">
        <v>98</v>
      </c>
      <c r="L4178" t="s">
        <v>37</v>
      </c>
      <c r="M4178" t="s">
        <v>99</v>
      </c>
      <c r="N4178" s="1">
        <v>41617</v>
      </c>
      <c r="O4178">
        <v>14801.8</v>
      </c>
      <c r="P4178">
        <v>3700.32</v>
      </c>
      <c r="Q4178" t="s">
        <v>28</v>
      </c>
      <c r="R4178" t="s">
        <v>38</v>
      </c>
      <c r="S4178" t="s">
        <v>1173</v>
      </c>
      <c r="T4178" t="s">
        <v>1174</v>
      </c>
    </row>
    <row r="4179" spans="1:20" x14ac:dyDescent="0.25">
      <c r="A4179" t="s">
        <v>9742</v>
      </c>
      <c r="B4179" t="str">
        <f>"9439"</f>
        <v>9439</v>
      </c>
      <c r="C4179" t="str">
        <f>"285749439"</f>
        <v>285749439</v>
      </c>
      <c r="D4179" t="s">
        <v>9743</v>
      </c>
      <c r="E4179" t="s">
        <v>9744</v>
      </c>
      <c r="F4179" t="s">
        <v>165</v>
      </c>
      <c r="G4179" s="1">
        <v>23683</v>
      </c>
      <c r="H4179" s="1">
        <v>37613</v>
      </c>
      <c r="I4179" t="str">
        <f>"30"</f>
        <v>30</v>
      </c>
      <c r="J4179" t="s">
        <v>50</v>
      </c>
      <c r="K4179" t="s">
        <v>25</v>
      </c>
      <c r="L4179" t="s">
        <v>26</v>
      </c>
      <c r="M4179" t="s">
        <v>27</v>
      </c>
      <c r="N4179" s="1">
        <v>18629</v>
      </c>
      <c r="O4179">
        <v>0</v>
      </c>
      <c r="P4179">
        <v>0</v>
      </c>
      <c r="Q4179" t="s">
        <v>37</v>
      </c>
      <c r="R4179" t="s">
        <v>29</v>
      </c>
      <c r="S4179" t="s">
        <v>240</v>
      </c>
      <c r="T4179" t="s">
        <v>241</v>
      </c>
    </row>
    <row r="4180" spans="1:20" x14ac:dyDescent="0.25">
      <c r="A4180" t="s">
        <v>9745</v>
      </c>
      <c r="B4180" t="str">
        <f>"3149"</f>
        <v>3149</v>
      </c>
      <c r="C4180" t="str">
        <f>"284663149"</f>
        <v>284663149</v>
      </c>
      <c r="D4180" t="s">
        <v>141</v>
      </c>
      <c r="E4180" t="s">
        <v>448</v>
      </c>
      <c r="F4180" t="s">
        <v>900</v>
      </c>
      <c r="G4180" s="1">
        <v>24040</v>
      </c>
      <c r="H4180" s="1">
        <v>37599</v>
      </c>
      <c r="I4180" t="str">
        <f>"41"</f>
        <v>41</v>
      </c>
      <c r="J4180" t="s">
        <v>24</v>
      </c>
      <c r="K4180" t="s">
        <v>25</v>
      </c>
      <c r="L4180" t="s">
        <v>26</v>
      </c>
      <c r="M4180" t="s">
        <v>27</v>
      </c>
      <c r="N4180" s="1">
        <v>18629</v>
      </c>
      <c r="O4180">
        <v>0</v>
      </c>
      <c r="P4180">
        <v>0</v>
      </c>
      <c r="Q4180" t="s">
        <v>37</v>
      </c>
      <c r="R4180" t="s">
        <v>51</v>
      </c>
      <c r="S4180" t="s">
        <v>4743</v>
      </c>
      <c r="T4180" t="s">
        <v>4744</v>
      </c>
    </row>
    <row r="4181" spans="1:20" x14ac:dyDescent="0.25">
      <c r="A4181" t="s">
        <v>9746</v>
      </c>
      <c r="B4181" t="str">
        <f>"8906"</f>
        <v>8906</v>
      </c>
      <c r="C4181" t="str">
        <f>"290888906"</f>
        <v>290888906</v>
      </c>
      <c r="D4181" t="s">
        <v>9747</v>
      </c>
      <c r="E4181" t="s">
        <v>2599</v>
      </c>
      <c r="F4181" t="s">
        <v>345</v>
      </c>
      <c r="G4181" s="1">
        <v>26682</v>
      </c>
      <c r="H4181" s="1">
        <v>37599</v>
      </c>
      <c r="I4181" t="str">
        <f>"51"</f>
        <v>51</v>
      </c>
      <c r="J4181" t="s">
        <v>471</v>
      </c>
      <c r="K4181" t="s">
        <v>25</v>
      </c>
      <c r="L4181" t="s">
        <v>26</v>
      </c>
      <c r="M4181" t="s">
        <v>27</v>
      </c>
      <c r="N4181" s="1">
        <v>18629</v>
      </c>
      <c r="O4181">
        <v>0</v>
      </c>
      <c r="P4181">
        <v>0</v>
      </c>
      <c r="Q4181" t="s">
        <v>28</v>
      </c>
      <c r="R4181" t="s">
        <v>71</v>
      </c>
      <c r="S4181" t="s">
        <v>2667</v>
      </c>
      <c r="T4181" t="s">
        <v>2668</v>
      </c>
    </row>
    <row r="4182" spans="1:20" x14ac:dyDescent="0.25">
      <c r="A4182" t="s">
        <v>9748</v>
      </c>
      <c r="B4182" t="str">
        <f>"3525"</f>
        <v>3525</v>
      </c>
      <c r="C4182" t="str">
        <f>"291343525"</f>
        <v>291343525</v>
      </c>
      <c r="D4182" t="s">
        <v>9749</v>
      </c>
      <c r="E4182" t="s">
        <v>2390</v>
      </c>
      <c r="F4182" t="s">
        <v>44</v>
      </c>
      <c r="G4182" s="1">
        <v>15405</v>
      </c>
      <c r="H4182" s="1">
        <v>37592</v>
      </c>
      <c r="I4182" t="str">
        <f>"30"</f>
        <v>30</v>
      </c>
      <c r="J4182" t="s">
        <v>50</v>
      </c>
      <c r="K4182" t="s">
        <v>25</v>
      </c>
      <c r="L4182" t="s">
        <v>26</v>
      </c>
      <c r="M4182" t="s">
        <v>27</v>
      </c>
      <c r="N4182" s="1">
        <v>18629</v>
      </c>
      <c r="O4182">
        <v>0</v>
      </c>
      <c r="P4182">
        <v>0</v>
      </c>
      <c r="Q4182" t="s">
        <v>37</v>
      </c>
      <c r="R4182" t="s">
        <v>29</v>
      </c>
      <c r="S4182" t="s">
        <v>185</v>
      </c>
      <c r="T4182" t="s">
        <v>186</v>
      </c>
    </row>
    <row r="4183" spans="1:20" x14ac:dyDescent="0.25">
      <c r="A4183" t="s">
        <v>9750</v>
      </c>
      <c r="B4183" t="str">
        <f>"5469"</f>
        <v>5469</v>
      </c>
      <c r="C4183" t="str">
        <f>"285505469"</f>
        <v>285505469</v>
      </c>
      <c r="D4183" t="s">
        <v>2266</v>
      </c>
      <c r="E4183" t="s">
        <v>2267</v>
      </c>
      <c r="F4183" t="s">
        <v>264</v>
      </c>
      <c r="G4183" s="1">
        <v>20043</v>
      </c>
      <c r="H4183" s="1">
        <v>37571</v>
      </c>
      <c r="I4183" t="str">
        <f>"30"</f>
        <v>30</v>
      </c>
      <c r="J4183" t="s">
        <v>50</v>
      </c>
      <c r="K4183" t="s">
        <v>25</v>
      </c>
      <c r="L4183" t="s">
        <v>26</v>
      </c>
      <c r="M4183" t="s">
        <v>27</v>
      </c>
      <c r="N4183" s="1">
        <v>18629</v>
      </c>
      <c r="O4183">
        <v>0</v>
      </c>
      <c r="P4183">
        <v>0</v>
      </c>
      <c r="Q4183" t="s">
        <v>28</v>
      </c>
      <c r="R4183" t="s">
        <v>71</v>
      </c>
      <c r="S4183" t="s">
        <v>373</v>
      </c>
      <c r="T4183" t="s">
        <v>374</v>
      </c>
    </row>
    <row r="4184" spans="1:20" x14ac:dyDescent="0.25">
      <c r="A4184" t="s">
        <v>9751</v>
      </c>
      <c r="B4184" t="str">
        <f>"5009"</f>
        <v>5009</v>
      </c>
      <c r="C4184" t="str">
        <f>"176385009"</f>
        <v>176385009</v>
      </c>
      <c r="D4184" t="s">
        <v>1383</v>
      </c>
      <c r="E4184" t="s">
        <v>3663</v>
      </c>
      <c r="G4184" s="1">
        <v>16746</v>
      </c>
      <c r="H4184" s="1">
        <v>37567</v>
      </c>
      <c r="I4184" t="str">
        <f>"52"</f>
        <v>52</v>
      </c>
      <c r="J4184" t="s">
        <v>330</v>
      </c>
      <c r="K4184" t="s">
        <v>25</v>
      </c>
      <c r="L4184" t="s">
        <v>26</v>
      </c>
      <c r="M4184" t="s">
        <v>27</v>
      </c>
      <c r="N4184" s="1">
        <v>18629</v>
      </c>
      <c r="O4184">
        <v>0</v>
      </c>
      <c r="P4184">
        <v>0</v>
      </c>
      <c r="Q4184" t="s">
        <v>28</v>
      </c>
      <c r="R4184" t="s">
        <v>258</v>
      </c>
      <c r="S4184" t="s">
        <v>331</v>
      </c>
      <c r="T4184" t="s">
        <v>332</v>
      </c>
    </row>
    <row r="4185" spans="1:20" x14ac:dyDescent="0.25">
      <c r="A4185" t="s">
        <v>9752</v>
      </c>
      <c r="B4185" t="str">
        <f>"4759"</f>
        <v>4759</v>
      </c>
      <c r="C4185" t="str">
        <f>"269704759"</f>
        <v>269704759</v>
      </c>
      <c r="D4185" t="s">
        <v>9753</v>
      </c>
      <c r="E4185" t="s">
        <v>4521</v>
      </c>
      <c r="F4185" t="s">
        <v>438</v>
      </c>
      <c r="G4185" s="1">
        <v>22389</v>
      </c>
      <c r="H4185" s="1">
        <v>37561</v>
      </c>
      <c r="I4185" t="str">
        <f>"01"</f>
        <v>01</v>
      </c>
      <c r="J4185" t="s">
        <v>116</v>
      </c>
      <c r="K4185" t="s">
        <v>98</v>
      </c>
      <c r="L4185" t="s">
        <v>37</v>
      </c>
      <c r="M4185" t="s">
        <v>99</v>
      </c>
      <c r="N4185" s="1">
        <v>41617</v>
      </c>
      <c r="O4185">
        <v>14801.8</v>
      </c>
      <c r="P4185">
        <v>3700.32</v>
      </c>
      <c r="Q4185" t="s">
        <v>37</v>
      </c>
      <c r="R4185" t="s">
        <v>29</v>
      </c>
      <c r="S4185" t="s">
        <v>1887</v>
      </c>
      <c r="T4185" t="s">
        <v>1888</v>
      </c>
    </row>
    <row r="4186" spans="1:20" x14ac:dyDescent="0.25">
      <c r="A4186" t="s">
        <v>9754</v>
      </c>
      <c r="B4186" t="str">
        <f>"5385"</f>
        <v>5385</v>
      </c>
      <c r="C4186" t="str">
        <f>"295805385"</f>
        <v>295805385</v>
      </c>
      <c r="D4186" t="s">
        <v>9755</v>
      </c>
      <c r="E4186" t="s">
        <v>63</v>
      </c>
      <c r="F4186" t="s">
        <v>556</v>
      </c>
      <c r="G4186" s="1">
        <v>30266</v>
      </c>
      <c r="H4186" s="1">
        <v>37557</v>
      </c>
      <c r="I4186" t="str">
        <f>"41"</f>
        <v>41</v>
      </c>
      <c r="J4186" t="s">
        <v>24</v>
      </c>
      <c r="K4186" t="s">
        <v>25</v>
      </c>
      <c r="L4186" t="s">
        <v>26</v>
      </c>
      <c r="M4186" t="s">
        <v>27</v>
      </c>
      <c r="N4186" s="1">
        <v>18629</v>
      </c>
      <c r="O4186">
        <v>0</v>
      </c>
      <c r="P4186">
        <v>0</v>
      </c>
      <c r="Q4186" t="s">
        <v>37</v>
      </c>
      <c r="R4186" t="s">
        <v>71</v>
      </c>
      <c r="S4186" t="s">
        <v>505</v>
      </c>
      <c r="T4186" t="s">
        <v>506</v>
      </c>
    </row>
    <row r="4187" spans="1:20" x14ac:dyDescent="0.25">
      <c r="A4187" t="s">
        <v>9756</v>
      </c>
      <c r="B4187" t="str">
        <f>"4566"</f>
        <v>4566</v>
      </c>
      <c r="C4187" t="str">
        <f>"289484566"</f>
        <v>289484566</v>
      </c>
      <c r="D4187" t="s">
        <v>9757</v>
      </c>
      <c r="E4187" t="s">
        <v>96</v>
      </c>
      <c r="F4187" t="s">
        <v>9758</v>
      </c>
      <c r="G4187" s="1">
        <v>19353</v>
      </c>
      <c r="H4187" s="1">
        <v>37551</v>
      </c>
      <c r="I4187" t="str">
        <f>"51"</f>
        <v>51</v>
      </c>
      <c r="J4187" t="s">
        <v>471</v>
      </c>
      <c r="K4187" t="s">
        <v>25</v>
      </c>
      <c r="L4187" t="s">
        <v>26</v>
      </c>
      <c r="M4187" t="s">
        <v>27</v>
      </c>
      <c r="N4187" s="1">
        <v>18629</v>
      </c>
      <c r="O4187">
        <v>0</v>
      </c>
      <c r="P4187">
        <v>0</v>
      </c>
      <c r="Q4187" t="s">
        <v>37</v>
      </c>
      <c r="R4187" t="s">
        <v>71</v>
      </c>
      <c r="S4187" t="s">
        <v>5125</v>
      </c>
      <c r="T4187" t="s">
        <v>5126</v>
      </c>
    </row>
    <row r="4188" spans="1:20" x14ac:dyDescent="0.25">
      <c r="A4188" t="s">
        <v>9759</v>
      </c>
      <c r="B4188" t="str">
        <f>"4281"</f>
        <v>4281</v>
      </c>
      <c r="C4188" t="str">
        <f>"342604281"</f>
        <v>342604281</v>
      </c>
      <c r="D4188" t="s">
        <v>9760</v>
      </c>
      <c r="E4188" t="s">
        <v>5196</v>
      </c>
      <c r="G4188" s="1">
        <v>14407</v>
      </c>
      <c r="H4188" s="1">
        <v>37548</v>
      </c>
      <c r="I4188" t="str">
        <f>"51"</f>
        <v>51</v>
      </c>
      <c r="J4188" t="s">
        <v>471</v>
      </c>
      <c r="K4188" t="s">
        <v>25</v>
      </c>
      <c r="L4188" t="s">
        <v>26</v>
      </c>
      <c r="M4188" t="s">
        <v>27</v>
      </c>
      <c r="N4188" s="1">
        <v>18629</v>
      </c>
      <c r="O4188">
        <v>0</v>
      </c>
      <c r="P4188">
        <v>0</v>
      </c>
      <c r="Q4188" t="s">
        <v>28</v>
      </c>
      <c r="R4188" t="s">
        <v>51</v>
      </c>
      <c r="S4188" s="2" t="s">
        <v>9185</v>
      </c>
      <c r="T4188" t="s">
        <v>9186</v>
      </c>
    </row>
    <row r="4189" spans="1:20" x14ac:dyDescent="0.25">
      <c r="A4189" t="s">
        <v>9761</v>
      </c>
      <c r="B4189" t="str">
        <f>"5351"</f>
        <v>5351</v>
      </c>
      <c r="C4189" t="str">
        <f>"301505351"</f>
        <v>301505351</v>
      </c>
      <c r="D4189" t="s">
        <v>9762</v>
      </c>
      <c r="E4189" t="s">
        <v>56</v>
      </c>
      <c r="F4189" t="s">
        <v>97</v>
      </c>
      <c r="G4189" s="1">
        <v>18704</v>
      </c>
      <c r="H4189" s="1">
        <v>37530</v>
      </c>
      <c r="I4189" t="str">
        <f>"33"</f>
        <v>33</v>
      </c>
      <c r="J4189" t="s">
        <v>45</v>
      </c>
      <c r="K4189" t="s">
        <v>25</v>
      </c>
      <c r="L4189" t="s">
        <v>26</v>
      </c>
      <c r="M4189" t="s">
        <v>27</v>
      </c>
      <c r="N4189" s="1">
        <v>18629</v>
      </c>
      <c r="O4189">
        <v>0</v>
      </c>
      <c r="P4189">
        <v>0</v>
      </c>
      <c r="Q4189" t="s">
        <v>28</v>
      </c>
      <c r="R4189" t="s">
        <v>71</v>
      </c>
      <c r="S4189" t="s">
        <v>955</v>
      </c>
      <c r="T4189" t="s">
        <v>956</v>
      </c>
    </row>
    <row r="4190" spans="1:20" x14ac:dyDescent="0.25">
      <c r="A4190" t="s">
        <v>9763</v>
      </c>
      <c r="B4190" t="str">
        <f>"0589"</f>
        <v>0589</v>
      </c>
      <c r="C4190" t="str">
        <f>"401340589"</f>
        <v>401340589</v>
      </c>
      <c r="D4190" t="s">
        <v>3878</v>
      </c>
      <c r="E4190" t="s">
        <v>9764</v>
      </c>
      <c r="F4190" t="s">
        <v>239</v>
      </c>
      <c r="G4190" s="1">
        <v>11280</v>
      </c>
      <c r="H4190" s="1">
        <v>37522</v>
      </c>
      <c r="I4190" t="str">
        <f>"50"</f>
        <v>50</v>
      </c>
      <c r="J4190" t="s">
        <v>208</v>
      </c>
      <c r="K4190" t="s">
        <v>25</v>
      </c>
      <c r="L4190" t="s">
        <v>26</v>
      </c>
      <c r="M4190" t="s">
        <v>27</v>
      </c>
      <c r="N4190" s="1">
        <v>18629</v>
      </c>
      <c r="O4190">
        <v>0</v>
      </c>
      <c r="P4190">
        <v>0</v>
      </c>
      <c r="Q4190" t="s">
        <v>37</v>
      </c>
      <c r="R4190" t="s">
        <v>51</v>
      </c>
      <c r="S4190" s="2" t="s">
        <v>683</v>
      </c>
      <c r="T4190" t="s">
        <v>684</v>
      </c>
    </row>
    <row r="4191" spans="1:20" x14ac:dyDescent="0.25">
      <c r="A4191" t="s">
        <v>9765</v>
      </c>
      <c r="B4191" t="str">
        <f>"9135"</f>
        <v>9135</v>
      </c>
      <c r="C4191" t="str">
        <f>"285829135"</f>
        <v>285829135</v>
      </c>
      <c r="D4191" t="s">
        <v>9766</v>
      </c>
      <c r="E4191" t="s">
        <v>944</v>
      </c>
      <c r="F4191" t="s">
        <v>1381</v>
      </c>
      <c r="G4191" s="1">
        <v>26068</v>
      </c>
      <c r="H4191" s="1">
        <v>37515</v>
      </c>
      <c r="I4191" t="str">
        <f>"41"</f>
        <v>41</v>
      </c>
      <c r="J4191" t="s">
        <v>24</v>
      </c>
      <c r="K4191" t="s">
        <v>25</v>
      </c>
      <c r="L4191" t="s">
        <v>26</v>
      </c>
      <c r="M4191" t="s">
        <v>27</v>
      </c>
      <c r="N4191" s="1">
        <v>18629</v>
      </c>
      <c r="O4191">
        <v>0</v>
      </c>
      <c r="P4191">
        <v>0</v>
      </c>
      <c r="Q4191" t="s">
        <v>28</v>
      </c>
      <c r="R4191" t="s">
        <v>51</v>
      </c>
      <c r="S4191" t="s">
        <v>7054</v>
      </c>
      <c r="T4191" t="s">
        <v>7055</v>
      </c>
    </row>
    <row r="4192" spans="1:20" x14ac:dyDescent="0.25">
      <c r="A4192" t="s">
        <v>9767</v>
      </c>
      <c r="B4192" t="str">
        <f>"6694"</f>
        <v>6694</v>
      </c>
      <c r="C4192" t="str">
        <f>"278606694"</f>
        <v>278606694</v>
      </c>
      <c r="D4192" t="s">
        <v>9768</v>
      </c>
      <c r="E4192" t="s">
        <v>2377</v>
      </c>
      <c r="F4192" t="s">
        <v>44</v>
      </c>
      <c r="G4192" s="1">
        <v>19902</v>
      </c>
      <c r="H4192" s="1">
        <v>37515</v>
      </c>
      <c r="I4192" t="str">
        <f>"05"</f>
        <v>05</v>
      </c>
      <c r="J4192" t="s">
        <v>58</v>
      </c>
      <c r="K4192" t="s">
        <v>175</v>
      </c>
      <c r="L4192" t="s">
        <v>37</v>
      </c>
      <c r="M4192" t="s">
        <v>117</v>
      </c>
      <c r="N4192" s="1">
        <v>41617</v>
      </c>
      <c r="O4192">
        <v>5288.66</v>
      </c>
      <c r="P4192">
        <v>1322.1</v>
      </c>
      <c r="Q4192" t="s">
        <v>37</v>
      </c>
      <c r="R4192" t="s">
        <v>29</v>
      </c>
      <c r="S4192" t="s">
        <v>765</v>
      </c>
      <c r="T4192" t="s">
        <v>766</v>
      </c>
    </row>
    <row r="4193" spans="1:20" x14ac:dyDescent="0.25">
      <c r="A4193" t="s">
        <v>9769</v>
      </c>
      <c r="B4193" t="str">
        <f>"2738"</f>
        <v>2738</v>
      </c>
      <c r="C4193" t="str">
        <f>"268062738"</f>
        <v>268062738</v>
      </c>
      <c r="D4193" t="s">
        <v>9770</v>
      </c>
      <c r="E4193" t="s">
        <v>9771</v>
      </c>
      <c r="F4193" t="s">
        <v>329</v>
      </c>
      <c r="G4193" s="1">
        <v>26352</v>
      </c>
      <c r="H4193" s="1">
        <v>37508</v>
      </c>
      <c r="I4193" t="str">
        <f>"33"</f>
        <v>33</v>
      </c>
      <c r="J4193" t="s">
        <v>45</v>
      </c>
      <c r="K4193" t="s">
        <v>25</v>
      </c>
      <c r="L4193" t="s">
        <v>26</v>
      </c>
      <c r="M4193" t="s">
        <v>27</v>
      </c>
      <c r="N4193" s="1">
        <v>18629</v>
      </c>
      <c r="O4193">
        <v>0</v>
      </c>
      <c r="P4193">
        <v>0</v>
      </c>
      <c r="Q4193" t="s">
        <v>37</v>
      </c>
      <c r="R4193" t="s">
        <v>51</v>
      </c>
      <c r="S4193" t="s">
        <v>795</v>
      </c>
      <c r="T4193" t="s">
        <v>796</v>
      </c>
    </row>
    <row r="4194" spans="1:20" x14ac:dyDescent="0.25">
      <c r="A4194" t="s">
        <v>9772</v>
      </c>
      <c r="B4194" t="str">
        <f>"9609"</f>
        <v>9609</v>
      </c>
      <c r="C4194" t="str">
        <f>"272569609"</f>
        <v>272569609</v>
      </c>
      <c r="D4194" t="s">
        <v>9773</v>
      </c>
      <c r="E4194" t="s">
        <v>1399</v>
      </c>
      <c r="F4194" t="s">
        <v>44</v>
      </c>
      <c r="G4194" s="1">
        <v>19678</v>
      </c>
      <c r="H4194" s="1">
        <v>37508</v>
      </c>
      <c r="I4194" t="str">
        <f>"05"</f>
        <v>05</v>
      </c>
      <c r="J4194" t="s">
        <v>58</v>
      </c>
      <c r="K4194" t="s">
        <v>98</v>
      </c>
      <c r="L4194" t="s">
        <v>37</v>
      </c>
      <c r="M4194" t="s">
        <v>99</v>
      </c>
      <c r="N4194" s="1">
        <v>41617</v>
      </c>
      <c r="O4194">
        <v>14801.8</v>
      </c>
      <c r="P4194">
        <v>3700.32</v>
      </c>
      <c r="Q4194" t="s">
        <v>28</v>
      </c>
      <c r="R4194" t="s">
        <v>29</v>
      </c>
      <c r="S4194" t="s">
        <v>1095</v>
      </c>
      <c r="T4194" t="s">
        <v>1096</v>
      </c>
    </row>
    <row r="4195" spans="1:20" x14ac:dyDescent="0.25">
      <c r="A4195" t="s">
        <v>9774</v>
      </c>
      <c r="B4195" t="str">
        <f>"6791"</f>
        <v>6791</v>
      </c>
      <c r="C4195" t="str">
        <f>"269726791"</f>
        <v>269726791</v>
      </c>
      <c r="D4195" t="s">
        <v>114</v>
      </c>
      <c r="E4195" t="s">
        <v>9775</v>
      </c>
      <c r="F4195" t="s">
        <v>165</v>
      </c>
      <c r="G4195" s="1">
        <v>24692</v>
      </c>
      <c r="H4195" s="1">
        <v>37508</v>
      </c>
      <c r="I4195" t="str">
        <f>"05"</f>
        <v>05</v>
      </c>
      <c r="J4195" t="s">
        <v>58</v>
      </c>
      <c r="K4195" t="s">
        <v>98</v>
      </c>
      <c r="L4195" t="s">
        <v>37</v>
      </c>
      <c r="M4195" t="s">
        <v>257</v>
      </c>
      <c r="N4195" s="1">
        <v>41729</v>
      </c>
      <c r="O4195">
        <v>10753.08</v>
      </c>
      <c r="P4195">
        <v>2688.4</v>
      </c>
      <c r="Q4195" t="s">
        <v>37</v>
      </c>
      <c r="R4195" t="s">
        <v>258</v>
      </c>
      <c r="S4195" t="s">
        <v>1095</v>
      </c>
      <c r="T4195" t="s">
        <v>1096</v>
      </c>
    </row>
    <row r="4196" spans="1:20" x14ac:dyDescent="0.25">
      <c r="A4196" t="s">
        <v>9776</v>
      </c>
      <c r="B4196" t="str">
        <f>"2887"</f>
        <v>2887</v>
      </c>
      <c r="C4196" t="str">
        <f>"552352887"</f>
        <v>552352887</v>
      </c>
      <c r="D4196" t="s">
        <v>9777</v>
      </c>
      <c r="E4196" t="s">
        <v>9778</v>
      </c>
      <c r="F4196" t="s">
        <v>28</v>
      </c>
      <c r="G4196" s="1">
        <v>23907</v>
      </c>
      <c r="H4196" s="1">
        <v>37506</v>
      </c>
      <c r="I4196" t="str">
        <f>"50"</f>
        <v>50</v>
      </c>
      <c r="J4196" t="s">
        <v>208</v>
      </c>
      <c r="K4196" t="s">
        <v>25</v>
      </c>
      <c r="L4196" t="s">
        <v>26</v>
      </c>
      <c r="M4196" t="s">
        <v>27</v>
      </c>
      <c r="N4196" s="1">
        <v>18629</v>
      </c>
      <c r="O4196">
        <v>0</v>
      </c>
      <c r="P4196">
        <v>0</v>
      </c>
      <c r="Q4196" t="s">
        <v>28</v>
      </c>
      <c r="R4196" t="s">
        <v>258</v>
      </c>
      <c r="S4196" t="s">
        <v>1315</v>
      </c>
      <c r="T4196" t="s">
        <v>1316</v>
      </c>
    </row>
    <row r="4197" spans="1:20" x14ac:dyDescent="0.25">
      <c r="A4197" t="s">
        <v>9779</v>
      </c>
      <c r="B4197" t="str">
        <f>"7670"</f>
        <v>7670</v>
      </c>
      <c r="C4197" t="str">
        <f>"293027670"</f>
        <v>293027670</v>
      </c>
      <c r="D4197" t="s">
        <v>9780</v>
      </c>
      <c r="E4197" t="s">
        <v>9781</v>
      </c>
      <c r="G4197" s="1">
        <v>20239</v>
      </c>
      <c r="H4197" s="1">
        <v>37502</v>
      </c>
      <c r="I4197" t="str">
        <f>"33"</f>
        <v>33</v>
      </c>
      <c r="J4197" t="s">
        <v>45</v>
      </c>
      <c r="K4197" t="s">
        <v>25</v>
      </c>
      <c r="L4197" t="s">
        <v>26</v>
      </c>
      <c r="M4197" t="s">
        <v>27</v>
      </c>
      <c r="N4197" s="1">
        <v>18629</v>
      </c>
      <c r="O4197">
        <v>0</v>
      </c>
      <c r="P4197">
        <v>0</v>
      </c>
      <c r="Q4197" t="s">
        <v>28</v>
      </c>
      <c r="R4197" t="s">
        <v>29</v>
      </c>
      <c r="S4197" t="s">
        <v>594</v>
      </c>
      <c r="T4197" t="s">
        <v>595</v>
      </c>
    </row>
    <row r="4198" spans="1:20" x14ac:dyDescent="0.25">
      <c r="A4198" t="s">
        <v>9782</v>
      </c>
      <c r="B4198" t="str">
        <f>"1046"</f>
        <v>1046</v>
      </c>
      <c r="C4198" t="str">
        <f>"275041046"</f>
        <v>275041046</v>
      </c>
      <c r="D4198" t="s">
        <v>9783</v>
      </c>
      <c r="E4198" t="s">
        <v>9784</v>
      </c>
      <c r="F4198" t="s">
        <v>9785</v>
      </c>
      <c r="G4198" s="1">
        <v>21259</v>
      </c>
      <c r="H4198" s="1">
        <v>37502</v>
      </c>
      <c r="I4198" t="str">
        <f>"51"</f>
        <v>51</v>
      </c>
      <c r="J4198" t="s">
        <v>471</v>
      </c>
      <c r="K4198" t="s">
        <v>25</v>
      </c>
      <c r="L4198" t="s">
        <v>26</v>
      </c>
      <c r="M4198" t="s">
        <v>27</v>
      </c>
      <c r="N4198" s="1">
        <v>18629</v>
      </c>
      <c r="O4198">
        <v>0</v>
      </c>
      <c r="P4198">
        <v>0</v>
      </c>
      <c r="Q4198" t="s">
        <v>28</v>
      </c>
      <c r="R4198" t="s">
        <v>29</v>
      </c>
      <c r="S4198" t="s">
        <v>1555</v>
      </c>
      <c r="T4198" t="s">
        <v>1556</v>
      </c>
    </row>
    <row r="4199" spans="1:20" x14ac:dyDescent="0.25">
      <c r="A4199" t="s">
        <v>9786</v>
      </c>
      <c r="B4199" t="str">
        <f>"4510"</f>
        <v>4510</v>
      </c>
      <c r="C4199" t="str">
        <f>"277064510"</f>
        <v>277064510</v>
      </c>
      <c r="D4199" t="s">
        <v>9787</v>
      </c>
      <c r="E4199" t="s">
        <v>9788</v>
      </c>
      <c r="F4199" t="s">
        <v>9789</v>
      </c>
      <c r="G4199" s="1">
        <v>18997</v>
      </c>
      <c r="H4199" s="1">
        <v>37502</v>
      </c>
      <c r="I4199" t="str">
        <f>"33"</f>
        <v>33</v>
      </c>
      <c r="J4199" t="s">
        <v>45</v>
      </c>
      <c r="K4199" t="s">
        <v>25</v>
      </c>
      <c r="L4199" t="s">
        <v>26</v>
      </c>
      <c r="M4199" t="s">
        <v>27</v>
      </c>
      <c r="N4199" s="1">
        <v>18629</v>
      </c>
      <c r="O4199">
        <v>0</v>
      </c>
      <c r="P4199">
        <v>0</v>
      </c>
      <c r="Q4199" t="s">
        <v>37</v>
      </c>
      <c r="R4199" t="s">
        <v>29</v>
      </c>
      <c r="S4199" t="s">
        <v>594</v>
      </c>
      <c r="T4199" t="s">
        <v>595</v>
      </c>
    </row>
    <row r="4200" spans="1:20" x14ac:dyDescent="0.25">
      <c r="A4200" t="s">
        <v>9790</v>
      </c>
      <c r="B4200" t="str">
        <f>"3062"</f>
        <v>3062</v>
      </c>
      <c r="C4200" t="str">
        <f>"286483062"</f>
        <v>286483062</v>
      </c>
      <c r="D4200" t="s">
        <v>9791</v>
      </c>
      <c r="E4200" t="s">
        <v>1970</v>
      </c>
      <c r="G4200" s="1">
        <v>19284</v>
      </c>
      <c r="H4200" s="1">
        <v>37501</v>
      </c>
      <c r="I4200" t="str">
        <f>"03"</f>
        <v>03</v>
      </c>
      <c r="J4200" t="s">
        <v>70</v>
      </c>
      <c r="K4200" t="s">
        <v>98</v>
      </c>
      <c r="L4200" t="s">
        <v>37</v>
      </c>
      <c r="M4200" t="s">
        <v>117</v>
      </c>
      <c r="N4200" s="1">
        <v>41617</v>
      </c>
      <c r="O4200">
        <v>4951.96</v>
      </c>
      <c r="P4200">
        <v>1237.8599999999999</v>
      </c>
      <c r="Q4200" t="s">
        <v>37</v>
      </c>
      <c r="R4200" t="s">
        <v>38</v>
      </c>
      <c r="S4200" t="s">
        <v>5219</v>
      </c>
      <c r="T4200" t="s">
        <v>5220</v>
      </c>
    </row>
    <row r="4201" spans="1:20" x14ac:dyDescent="0.25">
      <c r="A4201" t="s">
        <v>9792</v>
      </c>
      <c r="B4201" t="str">
        <f>"3550"</f>
        <v>3550</v>
      </c>
      <c r="C4201" t="str">
        <f>"170463550"</f>
        <v>170463550</v>
      </c>
      <c r="D4201" t="s">
        <v>9793</v>
      </c>
      <c r="E4201" t="s">
        <v>381</v>
      </c>
      <c r="F4201" t="s">
        <v>93</v>
      </c>
      <c r="G4201" s="1">
        <v>21073</v>
      </c>
      <c r="H4201" s="1">
        <v>37490</v>
      </c>
      <c r="I4201" t="str">
        <f t="shared" ref="I4201:I4206" si="94">"51"</f>
        <v>51</v>
      </c>
      <c r="J4201" t="s">
        <v>471</v>
      </c>
      <c r="K4201" t="s">
        <v>25</v>
      </c>
      <c r="L4201" t="s">
        <v>26</v>
      </c>
      <c r="M4201" t="s">
        <v>27</v>
      </c>
      <c r="N4201" s="1">
        <v>18629</v>
      </c>
      <c r="O4201">
        <v>0</v>
      </c>
      <c r="P4201">
        <v>0</v>
      </c>
      <c r="Q4201" t="s">
        <v>37</v>
      </c>
      <c r="R4201" t="s">
        <v>71</v>
      </c>
      <c r="S4201" t="s">
        <v>1547</v>
      </c>
      <c r="T4201" t="s">
        <v>1548</v>
      </c>
    </row>
    <row r="4202" spans="1:20" x14ac:dyDescent="0.25">
      <c r="A4202" t="s">
        <v>9794</v>
      </c>
      <c r="B4202" t="str">
        <f>"4104"</f>
        <v>4104</v>
      </c>
      <c r="C4202" t="str">
        <f>"284484104"</f>
        <v>284484104</v>
      </c>
      <c r="D4202" t="s">
        <v>9795</v>
      </c>
      <c r="E4202" t="s">
        <v>1248</v>
      </c>
      <c r="F4202" t="s">
        <v>165</v>
      </c>
      <c r="G4202" s="1">
        <v>16674</v>
      </c>
      <c r="H4202" s="1">
        <v>37490</v>
      </c>
      <c r="I4202" t="str">
        <f t="shared" si="94"/>
        <v>51</v>
      </c>
      <c r="J4202" t="s">
        <v>471</v>
      </c>
      <c r="K4202" t="s">
        <v>25</v>
      </c>
      <c r="L4202" t="s">
        <v>26</v>
      </c>
      <c r="M4202" t="s">
        <v>27</v>
      </c>
      <c r="N4202" s="1">
        <v>18629</v>
      </c>
      <c r="O4202">
        <v>0</v>
      </c>
      <c r="P4202">
        <v>0</v>
      </c>
      <c r="Q4202" t="s">
        <v>37</v>
      </c>
      <c r="R4202" t="s">
        <v>71</v>
      </c>
      <c r="S4202" t="s">
        <v>9796</v>
      </c>
      <c r="T4202" t="s">
        <v>9797</v>
      </c>
    </row>
    <row r="4203" spans="1:20" x14ac:dyDescent="0.25">
      <c r="A4203" t="s">
        <v>9798</v>
      </c>
      <c r="B4203" t="str">
        <f>"5947"</f>
        <v>5947</v>
      </c>
      <c r="C4203" t="str">
        <f>"289685947"</f>
        <v>289685947</v>
      </c>
      <c r="D4203" t="s">
        <v>9799</v>
      </c>
      <c r="E4203" t="s">
        <v>256</v>
      </c>
      <c r="F4203" t="s">
        <v>28</v>
      </c>
      <c r="G4203" s="1">
        <v>23357</v>
      </c>
      <c r="H4203" s="1">
        <v>37490</v>
      </c>
      <c r="I4203" t="str">
        <f t="shared" si="94"/>
        <v>51</v>
      </c>
      <c r="J4203" t="s">
        <v>471</v>
      </c>
      <c r="K4203" t="s">
        <v>25</v>
      </c>
      <c r="L4203" t="s">
        <v>26</v>
      </c>
      <c r="M4203" t="s">
        <v>27</v>
      </c>
      <c r="N4203" s="1">
        <v>18629</v>
      </c>
      <c r="O4203">
        <v>0</v>
      </c>
      <c r="P4203">
        <v>0</v>
      </c>
      <c r="Q4203" t="s">
        <v>37</v>
      </c>
      <c r="R4203" t="s">
        <v>29</v>
      </c>
      <c r="S4203" t="s">
        <v>138</v>
      </c>
      <c r="T4203" t="s">
        <v>139</v>
      </c>
    </row>
    <row r="4204" spans="1:20" x14ac:dyDescent="0.25">
      <c r="A4204" t="s">
        <v>9800</v>
      </c>
      <c r="B4204" t="str">
        <f>"7942"</f>
        <v>7942</v>
      </c>
      <c r="C4204" t="str">
        <f>"288447942"</f>
        <v>288447942</v>
      </c>
      <c r="D4204" t="s">
        <v>9801</v>
      </c>
      <c r="E4204" t="s">
        <v>56</v>
      </c>
      <c r="G4204" s="1">
        <v>21357</v>
      </c>
      <c r="H4204" s="1">
        <v>37490</v>
      </c>
      <c r="I4204" t="str">
        <f t="shared" si="94"/>
        <v>51</v>
      </c>
      <c r="J4204" t="s">
        <v>471</v>
      </c>
      <c r="K4204" t="s">
        <v>25</v>
      </c>
      <c r="L4204" t="s">
        <v>26</v>
      </c>
      <c r="M4204" t="s">
        <v>27</v>
      </c>
      <c r="N4204" s="1">
        <v>18629</v>
      </c>
      <c r="O4204">
        <v>0</v>
      </c>
      <c r="P4204">
        <v>0</v>
      </c>
      <c r="Q4204" t="s">
        <v>28</v>
      </c>
      <c r="R4204" t="s">
        <v>51</v>
      </c>
      <c r="S4204" s="2" t="s">
        <v>2496</v>
      </c>
      <c r="T4204" t="s">
        <v>2497</v>
      </c>
    </row>
    <row r="4205" spans="1:20" x14ac:dyDescent="0.25">
      <c r="A4205" t="s">
        <v>9802</v>
      </c>
      <c r="B4205" t="str">
        <f>"5802"</f>
        <v>5802</v>
      </c>
      <c r="C4205" t="str">
        <f>"287225802"</f>
        <v>287225802</v>
      </c>
      <c r="D4205" t="s">
        <v>2390</v>
      </c>
      <c r="E4205" t="s">
        <v>642</v>
      </c>
      <c r="F4205" t="s">
        <v>197</v>
      </c>
      <c r="G4205" s="1">
        <v>10751</v>
      </c>
      <c r="H4205" s="1">
        <v>37490</v>
      </c>
      <c r="I4205" t="str">
        <f t="shared" si="94"/>
        <v>51</v>
      </c>
      <c r="J4205" t="s">
        <v>471</v>
      </c>
      <c r="K4205" t="s">
        <v>25</v>
      </c>
      <c r="L4205" t="s">
        <v>26</v>
      </c>
      <c r="M4205" t="s">
        <v>27</v>
      </c>
      <c r="N4205" s="1">
        <v>18629</v>
      </c>
      <c r="O4205">
        <v>0</v>
      </c>
      <c r="P4205">
        <v>0</v>
      </c>
      <c r="Q4205" t="s">
        <v>28</v>
      </c>
      <c r="R4205" t="s">
        <v>71</v>
      </c>
      <c r="S4205" t="s">
        <v>2458</v>
      </c>
      <c r="T4205" t="s">
        <v>2459</v>
      </c>
    </row>
    <row r="4206" spans="1:20" x14ac:dyDescent="0.25">
      <c r="A4206" t="s">
        <v>9803</v>
      </c>
      <c r="B4206" t="str">
        <f>"0922"</f>
        <v>0922</v>
      </c>
      <c r="C4206" t="str">
        <f>"301440922"</f>
        <v>301440922</v>
      </c>
      <c r="D4206" t="s">
        <v>9804</v>
      </c>
      <c r="E4206" t="s">
        <v>9805</v>
      </c>
      <c r="F4206" t="s">
        <v>264</v>
      </c>
      <c r="G4206" s="1">
        <v>17941</v>
      </c>
      <c r="H4206" s="1">
        <v>37490</v>
      </c>
      <c r="I4206" t="str">
        <f t="shared" si="94"/>
        <v>51</v>
      </c>
      <c r="J4206" t="s">
        <v>471</v>
      </c>
      <c r="K4206" t="s">
        <v>25</v>
      </c>
      <c r="L4206" t="s">
        <v>26</v>
      </c>
      <c r="M4206" t="s">
        <v>27</v>
      </c>
      <c r="N4206" s="1">
        <v>18629</v>
      </c>
      <c r="O4206">
        <v>0</v>
      </c>
      <c r="P4206">
        <v>0</v>
      </c>
      <c r="Q4206" t="s">
        <v>28</v>
      </c>
      <c r="R4206" t="s">
        <v>71</v>
      </c>
      <c r="S4206" t="s">
        <v>2458</v>
      </c>
      <c r="T4206" t="s">
        <v>2459</v>
      </c>
    </row>
    <row r="4207" spans="1:20" x14ac:dyDescent="0.25">
      <c r="A4207" t="s">
        <v>9806</v>
      </c>
      <c r="B4207" t="str">
        <f>"2716"</f>
        <v>2716</v>
      </c>
      <c r="C4207" t="str">
        <f>"290682716"</f>
        <v>290682716</v>
      </c>
      <c r="D4207" t="s">
        <v>9807</v>
      </c>
      <c r="E4207" t="s">
        <v>794</v>
      </c>
      <c r="F4207" t="s">
        <v>93</v>
      </c>
      <c r="G4207" s="1">
        <v>24076</v>
      </c>
      <c r="H4207" s="1">
        <v>37490</v>
      </c>
      <c r="I4207" t="str">
        <f>"41"</f>
        <v>41</v>
      </c>
      <c r="J4207" t="s">
        <v>24</v>
      </c>
      <c r="K4207" t="s">
        <v>25</v>
      </c>
      <c r="L4207" t="s">
        <v>26</v>
      </c>
      <c r="M4207" t="s">
        <v>27</v>
      </c>
      <c r="N4207" s="1">
        <v>18629</v>
      </c>
      <c r="O4207">
        <v>0</v>
      </c>
      <c r="P4207">
        <v>0</v>
      </c>
      <c r="Q4207" t="s">
        <v>28</v>
      </c>
      <c r="R4207" t="s">
        <v>29</v>
      </c>
      <c r="S4207" t="s">
        <v>402</v>
      </c>
      <c r="T4207" t="s">
        <v>403</v>
      </c>
    </row>
    <row r="4208" spans="1:20" x14ac:dyDescent="0.25">
      <c r="A4208" t="s">
        <v>9808</v>
      </c>
      <c r="B4208" t="str">
        <f>"2794"</f>
        <v>2794</v>
      </c>
      <c r="C4208" t="str">
        <f>"276462794"</f>
        <v>276462794</v>
      </c>
      <c r="D4208" t="s">
        <v>9809</v>
      </c>
      <c r="E4208" t="s">
        <v>1639</v>
      </c>
      <c r="F4208" t="s">
        <v>69</v>
      </c>
      <c r="G4208" s="1">
        <v>17591</v>
      </c>
      <c r="H4208" s="1">
        <v>37490</v>
      </c>
      <c r="I4208" t="str">
        <f>"51"</f>
        <v>51</v>
      </c>
      <c r="J4208" t="s">
        <v>471</v>
      </c>
      <c r="K4208" t="s">
        <v>25</v>
      </c>
      <c r="L4208" t="s">
        <v>26</v>
      </c>
      <c r="M4208" t="s">
        <v>27</v>
      </c>
      <c r="N4208" s="1">
        <v>18629</v>
      </c>
      <c r="O4208">
        <v>0</v>
      </c>
      <c r="P4208">
        <v>0</v>
      </c>
      <c r="Q4208" t="s">
        <v>28</v>
      </c>
      <c r="R4208" t="s">
        <v>71</v>
      </c>
      <c r="S4208" t="s">
        <v>2458</v>
      </c>
      <c r="T4208" t="s">
        <v>2459</v>
      </c>
    </row>
    <row r="4209" spans="1:20" x14ac:dyDescent="0.25">
      <c r="A4209" t="s">
        <v>9810</v>
      </c>
      <c r="B4209" t="str">
        <f>"0070"</f>
        <v>0070</v>
      </c>
      <c r="C4209" t="str">
        <f>"273440070"</f>
        <v>273440070</v>
      </c>
      <c r="D4209" t="s">
        <v>9811</v>
      </c>
      <c r="E4209" t="s">
        <v>1248</v>
      </c>
      <c r="F4209" t="s">
        <v>239</v>
      </c>
      <c r="G4209" s="1">
        <v>18167</v>
      </c>
      <c r="H4209" s="1">
        <v>37490</v>
      </c>
      <c r="I4209" t="str">
        <f>"51"</f>
        <v>51</v>
      </c>
      <c r="J4209" t="s">
        <v>471</v>
      </c>
      <c r="K4209" t="s">
        <v>25</v>
      </c>
      <c r="L4209" t="s">
        <v>26</v>
      </c>
      <c r="M4209" t="s">
        <v>27</v>
      </c>
      <c r="N4209" s="1">
        <v>18629</v>
      </c>
      <c r="O4209">
        <v>0</v>
      </c>
      <c r="P4209">
        <v>0</v>
      </c>
      <c r="Q4209" t="s">
        <v>37</v>
      </c>
      <c r="R4209" t="s">
        <v>29</v>
      </c>
      <c r="S4209" t="s">
        <v>1427</v>
      </c>
      <c r="T4209" t="s">
        <v>1428</v>
      </c>
    </row>
    <row r="4210" spans="1:20" x14ac:dyDescent="0.25">
      <c r="A4210" t="s">
        <v>9812</v>
      </c>
      <c r="B4210" t="str">
        <f>"9725"</f>
        <v>9725</v>
      </c>
      <c r="C4210" t="str">
        <f>"292449725"</f>
        <v>292449725</v>
      </c>
      <c r="D4210" t="s">
        <v>9813</v>
      </c>
      <c r="E4210" t="s">
        <v>335</v>
      </c>
      <c r="F4210" t="s">
        <v>3934</v>
      </c>
      <c r="G4210" s="1">
        <v>18367</v>
      </c>
      <c r="H4210" s="1">
        <v>37490</v>
      </c>
      <c r="I4210" t="str">
        <f>"52"</f>
        <v>52</v>
      </c>
      <c r="J4210" t="s">
        <v>330</v>
      </c>
      <c r="K4210" t="s">
        <v>25</v>
      </c>
      <c r="L4210" t="s">
        <v>26</v>
      </c>
      <c r="M4210" t="s">
        <v>27</v>
      </c>
      <c r="N4210" s="1">
        <v>18629</v>
      </c>
      <c r="O4210">
        <v>0</v>
      </c>
      <c r="P4210">
        <v>0</v>
      </c>
      <c r="Q4210" t="s">
        <v>28</v>
      </c>
      <c r="R4210" t="s">
        <v>29</v>
      </c>
      <c r="S4210" s="2" t="s">
        <v>362</v>
      </c>
      <c r="T4210" t="s">
        <v>363</v>
      </c>
    </row>
    <row r="4211" spans="1:20" x14ac:dyDescent="0.25">
      <c r="A4211" t="s">
        <v>9814</v>
      </c>
      <c r="B4211" t="str">
        <f>"4232"</f>
        <v>4232</v>
      </c>
      <c r="C4211" t="str">
        <f>"292384232"</f>
        <v>292384232</v>
      </c>
      <c r="D4211" t="s">
        <v>9815</v>
      </c>
      <c r="E4211" t="s">
        <v>2150</v>
      </c>
      <c r="F4211" t="s">
        <v>93</v>
      </c>
      <c r="G4211" s="1">
        <v>15857</v>
      </c>
      <c r="H4211" s="1">
        <v>37490</v>
      </c>
      <c r="I4211" t="str">
        <f>"52"</f>
        <v>52</v>
      </c>
      <c r="J4211" t="s">
        <v>330</v>
      </c>
      <c r="K4211" t="s">
        <v>25</v>
      </c>
      <c r="L4211" t="s">
        <v>26</v>
      </c>
      <c r="M4211" t="s">
        <v>27</v>
      </c>
      <c r="N4211" s="1">
        <v>18629</v>
      </c>
      <c r="O4211">
        <v>0</v>
      </c>
      <c r="P4211">
        <v>0</v>
      </c>
      <c r="Q4211" t="s">
        <v>37</v>
      </c>
      <c r="R4211" t="s">
        <v>258</v>
      </c>
      <c r="S4211" s="2" t="s">
        <v>362</v>
      </c>
      <c r="T4211" t="s">
        <v>363</v>
      </c>
    </row>
    <row r="4212" spans="1:20" x14ac:dyDescent="0.25">
      <c r="A4212" t="s">
        <v>9816</v>
      </c>
      <c r="B4212" t="str">
        <f>"4109"</f>
        <v>4109</v>
      </c>
      <c r="C4212" t="str">
        <f>"191404109"</f>
        <v>191404109</v>
      </c>
      <c r="D4212" t="s">
        <v>9817</v>
      </c>
      <c r="E4212" t="s">
        <v>35</v>
      </c>
      <c r="G4212" s="1">
        <v>18453</v>
      </c>
      <c r="H4212" s="1">
        <v>37490</v>
      </c>
      <c r="I4212" t="str">
        <f>"51"</f>
        <v>51</v>
      </c>
      <c r="J4212" t="s">
        <v>471</v>
      </c>
      <c r="K4212" t="s">
        <v>25</v>
      </c>
      <c r="L4212" t="s">
        <v>26</v>
      </c>
      <c r="M4212" t="s">
        <v>27</v>
      </c>
      <c r="N4212" s="1">
        <v>18629</v>
      </c>
      <c r="O4212">
        <v>0</v>
      </c>
      <c r="P4212">
        <v>0</v>
      </c>
      <c r="Q4212" t="s">
        <v>28</v>
      </c>
      <c r="R4212" t="s">
        <v>71</v>
      </c>
      <c r="S4212" t="s">
        <v>923</v>
      </c>
      <c r="T4212" t="s">
        <v>924</v>
      </c>
    </row>
    <row r="4213" spans="1:20" x14ac:dyDescent="0.25">
      <c r="A4213" t="s">
        <v>9818</v>
      </c>
      <c r="B4213" t="str">
        <f>"6474"</f>
        <v>6474</v>
      </c>
      <c r="C4213" t="str">
        <f>"279486474"</f>
        <v>279486474</v>
      </c>
      <c r="D4213" t="s">
        <v>962</v>
      </c>
      <c r="E4213" t="s">
        <v>1639</v>
      </c>
      <c r="F4213" t="s">
        <v>97</v>
      </c>
      <c r="G4213" s="1">
        <v>19064</v>
      </c>
      <c r="H4213" s="1">
        <v>37490</v>
      </c>
      <c r="I4213" t="str">
        <f>"51"</f>
        <v>51</v>
      </c>
      <c r="J4213" t="s">
        <v>471</v>
      </c>
      <c r="K4213" t="s">
        <v>25</v>
      </c>
      <c r="L4213" t="s">
        <v>26</v>
      </c>
      <c r="M4213" t="s">
        <v>27</v>
      </c>
      <c r="N4213" s="1">
        <v>18629</v>
      </c>
      <c r="O4213">
        <v>0</v>
      </c>
      <c r="P4213">
        <v>0</v>
      </c>
      <c r="Q4213" t="s">
        <v>28</v>
      </c>
      <c r="R4213" t="s">
        <v>29</v>
      </c>
      <c r="S4213" t="s">
        <v>2736</v>
      </c>
      <c r="T4213" t="s">
        <v>2737</v>
      </c>
    </row>
    <row r="4214" spans="1:20" x14ac:dyDescent="0.25">
      <c r="A4214" t="s">
        <v>9819</v>
      </c>
      <c r="B4214" t="str">
        <f>"3781"</f>
        <v>3781</v>
      </c>
      <c r="C4214" t="str">
        <f>"268363781"</f>
        <v>268363781</v>
      </c>
      <c r="D4214" t="s">
        <v>4317</v>
      </c>
      <c r="E4214" t="s">
        <v>1639</v>
      </c>
      <c r="F4214" t="s">
        <v>28</v>
      </c>
      <c r="G4214" s="1">
        <v>14926</v>
      </c>
      <c r="H4214" s="1">
        <v>37490</v>
      </c>
      <c r="I4214" t="str">
        <f>"51"</f>
        <v>51</v>
      </c>
      <c r="J4214" t="s">
        <v>471</v>
      </c>
      <c r="K4214" t="s">
        <v>25</v>
      </c>
      <c r="L4214" t="s">
        <v>26</v>
      </c>
      <c r="M4214" t="s">
        <v>27</v>
      </c>
      <c r="N4214" s="1">
        <v>18629</v>
      </c>
      <c r="O4214">
        <v>0</v>
      </c>
      <c r="P4214">
        <v>0</v>
      </c>
      <c r="Q4214" t="s">
        <v>28</v>
      </c>
      <c r="R4214" t="s">
        <v>71</v>
      </c>
      <c r="S4214" t="s">
        <v>157</v>
      </c>
      <c r="T4214" t="s">
        <v>158</v>
      </c>
    </row>
    <row r="4215" spans="1:20" x14ac:dyDescent="0.25">
      <c r="A4215" t="s">
        <v>9820</v>
      </c>
      <c r="B4215" t="str">
        <f>"7911"</f>
        <v>7911</v>
      </c>
      <c r="C4215" t="str">
        <f>"280707911"</f>
        <v>280707911</v>
      </c>
      <c r="D4215" t="s">
        <v>9821</v>
      </c>
      <c r="E4215" t="s">
        <v>1248</v>
      </c>
      <c r="F4215" t="s">
        <v>7606</v>
      </c>
      <c r="G4215" s="1">
        <v>21754</v>
      </c>
      <c r="H4215" s="1">
        <v>37490</v>
      </c>
      <c r="I4215" t="str">
        <f>"20"</f>
        <v>20</v>
      </c>
      <c r="J4215" t="s">
        <v>123</v>
      </c>
      <c r="K4215" t="s">
        <v>98</v>
      </c>
      <c r="L4215" t="s">
        <v>37</v>
      </c>
      <c r="M4215" t="s">
        <v>99</v>
      </c>
      <c r="N4215" s="1">
        <v>41267</v>
      </c>
      <c r="O4215">
        <v>14801.82</v>
      </c>
      <c r="P4215">
        <v>3700.4</v>
      </c>
      <c r="Q4215" t="s">
        <v>37</v>
      </c>
      <c r="R4215" t="s">
        <v>71</v>
      </c>
      <c r="S4215" t="s">
        <v>305</v>
      </c>
      <c r="T4215" t="s">
        <v>306</v>
      </c>
    </row>
    <row r="4216" spans="1:20" x14ac:dyDescent="0.25">
      <c r="A4216" t="s">
        <v>9822</v>
      </c>
      <c r="B4216" t="str">
        <f>"1269"</f>
        <v>1269</v>
      </c>
      <c r="C4216" t="str">
        <f>"285561269"</f>
        <v>285561269</v>
      </c>
      <c r="D4216" t="s">
        <v>9823</v>
      </c>
      <c r="E4216" t="s">
        <v>944</v>
      </c>
      <c r="F4216" t="s">
        <v>438</v>
      </c>
      <c r="G4216" s="1">
        <v>21056</v>
      </c>
      <c r="H4216" s="1">
        <v>37490</v>
      </c>
      <c r="I4216" t="str">
        <f>"51"</f>
        <v>51</v>
      </c>
      <c r="J4216" t="s">
        <v>471</v>
      </c>
      <c r="K4216" t="s">
        <v>25</v>
      </c>
      <c r="L4216" t="s">
        <v>26</v>
      </c>
      <c r="M4216" t="s">
        <v>27</v>
      </c>
      <c r="N4216" s="1">
        <v>18629</v>
      </c>
      <c r="O4216">
        <v>0</v>
      </c>
      <c r="P4216">
        <v>0</v>
      </c>
      <c r="Q4216" t="s">
        <v>28</v>
      </c>
      <c r="R4216" t="s">
        <v>258</v>
      </c>
      <c r="S4216" t="s">
        <v>157</v>
      </c>
      <c r="T4216" t="s">
        <v>158</v>
      </c>
    </row>
    <row r="4217" spans="1:20" x14ac:dyDescent="0.25">
      <c r="A4217" t="s">
        <v>9824</v>
      </c>
      <c r="B4217" t="str">
        <f>"1428"</f>
        <v>1428</v>
      </c>
      <c r="C4217" t="str">
        <f>"285401428"</f>
        <v>285401428</v>
      </c>
      <c r="D4217" t="s">
        <v>114</v>
      </c>
      <c r="E4217" t="s">
        <v>7240</v>
      </c>
      <c r="F4217" t="s">
        <v>556</v>
      </c>
      <c r="G4217" s="1">
        <v>18905</v>
      </c>
      <c r="H4217" s="1">
        <v>37490</v>
      </c>
      <c r="I4217" t="str">
        <f>"51"</f>
        <v>51</v>
      </c>
      <c r="J4217" t="s">
        <v>471</v>
      </c>
      <c r="K4217" t="s">
        <v>25</v>
      </c>
      <c r="L4217" t="s">
        <v>26</v>
      </c>
      <c r="M4217" t="s">
        <v>27</v>
      </c>
      <c r="N4217" s="1">
        <v>18629</v>
      </c>
      <c r="O4217">
        <v>0</v>
      </c>
      <c r="P4217">
        <v>0</v>
      </c>
      <c r="Q4217" t="s">
        <v>28</v>
      </c>
      <c r="R4217" t="s">
        <v>29</v>
      </c>
      <c r="S4217" t="s">
        <v>1494</v>
      </c>
      <c r="T4217" t="s">
        <v>1495</v>
      </c>
    </row>
    <row r="4218" spans="1:20" x14ac:dyDescent="0.25">
      <c r="A4218" t="s">
        <v>9825</v>
      </c>
      <c r="B4218" t="str">
        <f>"2524"</f>
        <v>2524</v>
      </c>
      <c r="C4218" t="str">
        <f>"211462524"</f>
        <v>211462524</v>
      </c>
      <c r="D4218" t="s">
        <v>9826</v>
      </c>
      <c r="E4218" t="s">
        <v>430</v>
      </c>
      <c r="F4218" t="s">
        <v>93</v>
      </c>
      <c r="G4218" s="1">
        <v>20468</v>
      </c>
      <c r="H4218" s="1">
        <v>37480</v>
      </c>
      <c r="I4218" t="str">
        <f>"20"</f>
        <v>20</v>
      </c>
      <c r="J4218" t="s">
        <v>123</v>
      </c>
      <c r="K4218" t="s">
        <v>98</v>
      </c>
      <c r="L4218" t="s">
        <v>37</v>
      </c>
      <c r="M4218" t="s">
        <v>257</v>
      </c>
      <c r="N4218" s="1">
        <v>41631</v>
      </c>
      <c r="O4218">
        <v>10753.16</v>
      </c>
      <c r="P4218">
        <v>2688.4</v>
      </c>
      <c r="Q4218" t="s">
        <v>28</v>
      </c>
      <c r="R4218" t="s">
        <v>29</v>
      </c>
      <c r="S4218" t="s">
        <v>6647</v>
      </c>
      <c r="T4218" t="s">
        <v>6648</v>
      </c>
    </row>
    <row r="4219" spans="1:20" x14ac:dyDescent="0.25">
      <c r="A4219" t="s">
        <v>9827</v>
      </c>
      <c r="B4219" t="str">
        <f>"1492"</f>
        <v>1492</v>
      </c>
      <c r="C4219" t="str">
        <f>"299381492"</f>
        <v>299381492</v>
      </c>
      <c r="D4219" t="s">
        <v>2878</v>
      </c>
      <c r="E4219" t="s">
        <v>2256</v>
      </c>
      <c r="F4219" t="s">
        <v>556</v>
      </c>
      <c r="G4219" s="1">
        <v>15788</v>
      </c>
      <c r="H4219" s="1">
        <v>37480</v>
      </c>
      <c r="I4219" t="str">
        <f>"51"</f>
        <v>51</v>
      </c>
      <c r="J4219" t="s">
        <v>471</v>
      </c>
      <c r="K4219" t="s">
        <v>25</v>
      </c>
      <c r="L4219" t="s">
        <v>26</v>
      </c>
      <c r="M4219" t="s">
        <v>27</v>
      </c>
      <c r="N4219" s="1">
        <v>18629</v>
      </c>
      <c r="O4219">
        <v>0</v>
      </c>
      <c r="P4219">
        <v>0</v>
      </c>
      <c r="Q4219" t="s">
        <v>37</v>
      </c>
      <c r="R4219" t="s">
        <v>51</v>
      </c>
      <c r="S4219" s="2" t="s">
        <v>774</v>
      </c>
      <c r="T4219" t="s">
        <v>775</v>
      </c>
    </row>
    <row r="4220" spans="1:20" x14ac:dyDescent="0.25">
      <c r="A4220" t="s">
        <v>9828</v>
      </c>
      <c r="B4220" t="str">
        <f>"8460"</f>
        <v>8460</v>
      </c>
      <c r="C4220" t="str">
        <f>"289608460"</f>
        <v>289608460</v>
      </c>
      <c r="D4220" t="s">
        <v>7826</v>
      </c>
      <c r="E4220" t="s">
        <v>33</v>
      </c>
      <c r="F4220" t="s">
        <v>93</v>
      </c>
      <c r="G4220" s="1">
        <v>23555</v>
      </c>
      <c r="H4220" s="1">
        <v>37480</v>
      </c>
      <c r="I4220" t="str">
        <f t="shared" ref="I4220:I4230" si="95">"20"</f>
        <v>20</v>
      </c>
      <c r="J4220" t="s">
        <v>123</v>
      </c>
      <c r="K4220" t="s">
        <v>98</v>
      </c>
      <c r="L4220" t="s">
        <v>37</v>
      </c>
      <c r="M4220" t="s">
        <v>257</v>
      </c>
      <c r="N4220" s="1">
        <v>41631</v>
      </c>
      <c r="O4220">
        <v>10753.16</v>
      </c>
      <c r="P4220">
        <v>2688.4</v>
      </c>
      <c r="Q4220" t="s">
        <v>28</v>
      </c>
      <c r="R4220" t="s">
        <v>71</v>
      </c>
      <c r="S4220" t="s">
        <v>1681</v>
      </c>
      <c r="T4220" t="s">
        <v>1682</v>
      </c>
    </row>
    <row r="4221" spans="1:20" x14ac:dyDescent="0.25">
      <c r="A4221" t="s">
        <v>9829</v>
      </c>
      <c r="B4221" t="str">
        <f>"1477"</f>
        <v>1477</v>
      </c>
      <c r="C4221" t="str">
        <f>"525891477"</f>
        <v>525891477</v>
      </c>
      <c r="D4221" t="s">
        <v>3868</v>
      </c>
      <c r="E4221" t="s">
        <v>9830</v>
      </c>
      <c r="G4221" s="1">
        <v>17542</v>
      </c>
      <c r="H4221" s="1">
        <v>37480</v>
      </c>
      <c r="I4221" t="str">
        <f t="shared" si="95"/>
        <v>20</v>
      </c>
      <c r="J4221" t="s">
        <v>123</v>
      </c>
      <c r="K4221" t="s">
        <v>98</v>
      </c>
      <c r="L4221" t="s">
        <v>37</v>
      </c>
      <c r="M4221" t="s">
        <v>257</v>
      </c>
      <c r="N4221" s="1">
        <v>41631</v>
      </c>
      <c r="O4221">
        <v>10753.16</v>
      </c>
      <c r="P4221">
        <v>2688.4</v>
      </c>
      <c r="Q4221" t="s">
        <v>28</v>
      </c>
      <c r="R4221" t="s">
        <v>51</v>
      </c>
      <c r="S4221" s="2" t="s">
        <v>2202</v>
      </c>
      <c r="T4221" t="s">
        <v>2203</v>
      </c>
    </row>
    <row r="4222" spans="1:20" x14ac:dyDescent="0.25">
      <c r="A4222" t="s">
        <v>9831</v>
      </c>
      <c r="B4222" t="str">
        <f>"2573"</f>
        <v>2573</v>
      </c>
      <c r="C4222" t="str">
        <f>"295462573"</f>
        <v>295462573</v>
      </c>
      <c r="D4222" t="s">
        <v>9832</v>
      </c>
      <c r="E4222" t="s">
        <v>3561</v>
      </c>
      <c r="F4222" t="s">
        <v>97</v>
      </c>
      <c r="G4222" s="1">
        <v>17364</v>
      </c>
      <c r="H4222" s="1">
        <v>37480</v>
      </c>
      <c r="I4222" t="str">
        <f t="shared" si="95"/>
        <v>20</v>
      </c>
      <c r="J4222" t="s">
        <v>123</v>
      </c>
      <c r="K4222" t="s">
        <v>98</v>
      </c>
      <c r="L4222" t="s">
        <v>37</v>
      </c>
      <c r="M4222" t="s">
        <v>99</v>
      </c>
      <c r="N4222" s="1">
        <v>41631</v>
      </c>
      <c r="O4222">
        <v>14801.82</v>
      </c>
      <c r="P4222">
        <v>3700.4</v>
      </c>
      <c r="Q4222" t="s">
        <v>37</v>
      </c>
      <c r="R4222" t="s">
        <v>29</v>
      </c>
      <c r="S4222" t="s">
        <v>185</v>
      </c>
      <c r="T4222" t="s">
        <v>186</v>
      </c>
    </row>
    <row r="4223" spans="1:20" x14ac:dyDescent="0.25">
      <c r="A4223" t="s">
        <v>9833</v>
      </c>
      <c r="B4223" t="str">
        <f>"0067"</f>
        <v>0067</v>
      </c>
      <c r="C4223" t="str">
        <f>"297440067"</f>
        <v>297440067</v>
      </c>
      <c r="D4223" t="s">
        <v>9834</v>
      </c>
      <c r="E4223" t="s">
        <v>1487</v>
      </c>
      <c r="F4223" t="s">
        <v>556</v>
      </c>
      <c r="G4223" s="1">
        <v>22825</v>
      </c>
      <c r="H4223" s="1">
        <v>37480</v>
      </c>
      <c r="I4223" t="str">
        <f t="shared" si="95"/>
        <v>20</v>
      </c>
      <c r="J4223" t="s">
        <v>123</v>
      </c>
      <c r="K4223" t="s">
        <v>98</v>
      </c>
      <c r="L4223" t="s">
        <v>37</v>
      </c>
      <c r="M4223" t="s">
        <v>99</v>
      </c>
      <c r="N4223" s="1">
        <v>41631</v>
      </c>
      <c r="O4223">
        <v>14801.82</v>
      </c>
      <c r="P4223">
        <v>3700.4</v>
      </c>
      <c r="Q4223" t="s">
        <v>28</v>
      </c>
      <c r="R4223" t="s">
        <v>71</v>
      </c>
      <c r="S4223" t="s">
        <v>180</v>
      </c>
      <c r="T4223" t="s">
        <v>181</v>
      </c>
    </row>
    <row r="4224" spans="1:20" x14ac:dyDescent="0.25">
      <c r="A4224" t="s">
        <v>9835</v>
      </c>
      <c r="B4224" t="str">
        <f>"4111"</f>
        <v>4111</v>
      </c>
      <c r="C4224" t="str">
        <f>"167684111"</f>
        <v>167684111</v>
      </c>
      <c r="D4224" t="s">
        <v>9836</v>
      </c>
      <c r="E4224" t="s">
        <v>448</v>
      </c>
      <c r="F4224" t="s">
        <v>264</v>
      </c>
      <c r="G4224" s="1">
        <v>28005</v>
      </c>
      <c r="H4224" s="1">
        <v>37480</v>
      </c>
      <c r="I4224" t="str">
        <f t="shared" si="95"/>
        <v>20</v>
      </c>
      <c r="J4224" t="s">
        <v>123</v>
      </c>
      <c r="K4224" t="s">
        <v>98</v>
      </c>
      <c r="L4224" t="s">
        <v>37</v>
      </c>
      <c r="M4224" t="s">
        <v>117</v>
      </c>
      <c r="N4224" s="1">
        <v>41631</v>
      </c>
      <c r="O4224">
        <v>4951.9799999999996</v>
      </c>
      <c r="P4224">
        <v>1237.94</v>
      </c>
      <c r="Q4224" t="s">
        <v>37</v>
      </c>
      <c r="R4224" t="s">
        <v>51</v>
      </c>
      <c r="S4224" s="2" t="s">
        <v>774</v>
      </c>
      <c r="T4224" t="s">
        <v>775</v>
      </c>
    </row>
    <row r="4225" spans="1:20" x14ac:dyDescent="0.25">
      <c r="A4225" t="s">
        <v>9837</v>
      </c>
      <c r="B4225" t="str">
        <f>"1148"</f>
        <v>1148</v>
      </c>
      <c r="C4225" t="str">
        <f>"285701148"</f>
        <v>285701148</v>
      </c>
      <c r="D4225" t="s">
        <v>6916</v>
      </c>
      <c r="E4225" t="s">
        <v>9838</v>
      </c>
      <c r="F4225" t="s">
        <v>97</v>
      </c>
      <c r="G4225" s="1">
        <v>25602</v>
      </c>
      <c r="H4225" s="1">
        <v>37480</v>
      </c>
      <c r="I4225" t="str">
        <f t="shared" si="95"/>
        <v>20</v>
      </c>
      <c r="J4225" t="s">
        <v>123</v>
      </c>
      <c r="K4225" t="s">
        <v>98</v>
      </c>
      <c r="L4225" t="s">
        <v>37</v>
      </c>
      <c r="M4225" t="s">
        <v>257</v>
      </c>
      <c r="N4225" s="1">
        <v>41631</v>
      </c>
      <c r="O4225">
        <v>10753.16</v>
      </c>
      <c r="P4225">
        <v>2688.4</v>
      </c>
      <c r="Q4225" t="s">
        <v>28</v>
      </c>
      <c r="R4225" t="s">
        <v>71</v>
      </c>
      <c r="S4225" t="s">
        <v>923</v>
      </c>
      <c r="T4225" t="s">
        <v>924</v>
      </c>
    </row>
    <row r="4226" spans="1:20" x14ac:dyDescent="0.25">
      <c r="A4226" t="s">
        <v>9839</v>
      </c>
      <c r="B4226" t="str">
        <f>"5823"</f>
        <v>5823</v>
      </c>
      <c r="C4226" t="str">
        <f>"277865823"</f>
        <v>277865823</v>
      </c>
      <c r="D4226" t="s">
        <v>3459</v>
      </c>
      <c r="E4226" t="s">
        <v>9840</v>
      </c>
      <c r="G4226" s="1">
        <v>21762</v>
      </c>
      <c r="H4226" s="1">
        <v>37480</v>
      </c>
      <c r="I4226" t="str">
        <f t="shared" si="95"/>
        <v>20</v>
      </c>
      <c r="J4226" t="s">
        <v>123</v>
      </c>
      <c r="K4226" t="s">
        <v>510</v>
      </c>
      <c r="L4226" t="s">
        <v>37</v>
      </c>
      <c r="M4226" t="s">
        <v>99</v>
      </c>
      <c r="N4226" s="1">
        <v>41631</v>
      </c>
      <c r="O4226">
        <v>19521.919999999998</v>
      </c>
      <c r="P4226">
        <v>4880.4799999999996</v>
      </c>
      <c r="Q4226" t="s">
        <v>28</v>
      </c>
      <c r="R4226" t="s">
        <v>71</v>
      </c>
      <c r="S4226" t="s">
        <v>790</v>
      </c>
      <c r="T4226" t="s">
        <v>791</v>
      </c>
    </row>
    <row r="4227" spans="1:20" x14ac:dyDescent="0.25">
      <c r="A4227" t="s">
        <v>9841</v>
      </c>
      <c r="B4227" t="str">
        <f>"9952"</f>
        <v>9952</v>
      </c>
      <c r="C4227" t="str">
        <f>"267439952"</f>
        <v>267439952</v>
      </c>
      <c r="D4227" t="s">
        <v>9842</v>
      </c>
      <c r="E4227" t="s">
        <v>9843</v>
      </c>
      <c r="F4227" t="s">
        <v>28</v>
      </c>
      <c r="G4227" s="1">
        <v>22131</v>
      </c>
      <c r="H4227" s="1">
        <v>37480</v>
      </c>
      <c r="I4227" t="str">
        <f t="shared" si="95"/>
        <v>20</v>
      </c>
      <c r="J4227" t="s">
        <v>123</v>
      </c>
      <c r="K4227" t="s">
        <v>98</v>
      </c>
      <c r="L4227" t="s">
        <v>37</v>
      </c>
      <c r="M4227" t="s">
        <v>117</v>
      </c>
      <c r="N4227" s="1">
        <v>41631</v>
      </c>
      <c r="O4227">
        <v>4951.9799999999996</v>
      </c>
      <c r="P4227">
        <v>1237.94</v>
      </c>
      <c r="Q4227" t="s">
        <v>28</v>
      </c>
      <c r="R4227" t="s">
        <v>346</v>
      </c>
      <c r="S4227" t="s">
        <v>1462</v>
      </c>
      <c r="T4227" t="s">
        <v>1463</v>
      </c>
    </row>
    <row r="4228" spans="1:20" x14ac:dyDescent="0.25">
      <c r="A4228" t="s">
        <v>9844</v>
      </c>
      <c r="B4228" t="str">
        <f>"1551"</f>
        <v>1551</v>
      </c>
      <c r="C4228" t="str">
        <f>"341641551"</f>
        <v>341641551</v>
      </c>
      <c r="D4228" t="s">
        <v>9845</v>
      </c>
      <c r="E4228" t="s">
        <v>838</v>
      </c>
      <c r="F4228" t="s">
        <v>49</v>
      </c>
      <c r="G4228" s="1">
        <v>22803</v>
      </c>
      <c r="H4228" s="1">
        <v>37480</v>
      </c>
      <c r="I4228" t="str">
        <f t="shared" si="95"/>
        <v>20</v>
      </c>
      <c r="J4228" t="s">
        <v>123</v>
      </c>
      <c r="K4228" t="s">
        <v>98</v>
      </c>
      <c r="L4228" t="s">
        <v>37</v>
      </c>
      <c r="M4228" t="s">
        <v>257</v>
      </c>
      <c r="N4228" s="1">
        <v>41631</v>
      </c>
      <c r="O4228">
        <v>10753.16</v>
      </c>
      <c r="P4228">
        <v>2688.4</v>
      </c>
      <c r="Q4228" t="s">
        <v>37</v>
      </c>
      <c r="R4228" t="s">
        <v>71</v>
      </c>
      <c r="S4228" t="s">
        <v>157</v>
      </c>
      <c r="T4228" t="s">
        <v>158</v>
      </c>
    </row>
    <row r="4229" spans="1:20" x14ac:dyDescent="0.25">
      <c r="A4229" t="s">
        <v>9846</v>
      </c>
      <c r="B4229" t="str">
        <f>"6019"</f>
        <v>6019</v>
      </c>
      <c r="C4229" t="str">
        <f>"301686019"</f>
        <v>301686019</v>
      </c>
      <c r="D4229" t="s">
        <v>9847</v>
      </c>
      <c r="E4229" t="s">
        <v>194</v>
      </c>
      <c r="F4229" t="s">
        <v>219</v>
      </c>
      <c r="G4229" s="1">
        <v>27737</v>
      </c>
      <c r="H4229" s="1">
        <v>37473</v>
      </c>
      <c r="I4229" t="str">
        <f t="shared" si="95"/>
        <v>20</v>
      </c>
      <c r="J4229" t="s">
        <v>123</v>
      </c>
      <c r="K4229" t="s">
        <v>98</v>
      </c>
      <c r="L4229" t="s">
        <v>37</v>
      </c>
      <c r="M4229" t="s">
        <v>257</v>
      </c>
      <c r="N4229" s="1">
        <v>41631</v>
      </c>
      <c r="O4229">
        <v>10753.16</v>
      </c>
      <c r="P4229">
        <v>2688.4</v>
      </c>
      <c r="Q4229" t="s">
        <v>37</v>
      </c>
      <c r="R4229" t="s">
        <v>71</v>
      </c>
      <c r="S4229" t="s">
        <v>157</v>
      </c>
      <c r="T4229" t="s">
        <v>158</v>
      </c>
    </row>
    <row r="4230" spans="1:20" x14ac:dyDescent="0.25">
      <c r="A4230" t="s">
        <v>9848</v>
      </c>
      <c r="B4230" t="str">
        <f>"1797"</f>
        <v>1797</v>
      </c>
      <c r="C4230" t="str">
        <f>"281761797"</f>
        <v>281761797</v>
      </c>
      <c r="D4230" t="s">
        <v>9849</v>
      </c>
      <c r="E4230" t="s">
        <v>9850</v>
      </c>
      <c r="G4230" s="1">
        <v>21024</v>
      </c>
      <c r="H4230" s="1">
        <v>37473</v>
      </c>
      <c r="I4230" t="str">
        <f t="shared" si="95"/>
        <v>20</v>
      </c>
      <c r="J4230" t="s">
        <v>123</v>
      </c>
      <c r="K4230" t="s">
        <v>98</v>
      </c>
      <c r="L4230" t="s">
        <v>37</v>
      </c>
      <c r="M4230" t="s">
        <v>257</v>
      </c>
      <c r="N4230" s="1">
        <v>41631</v>
      </c>
      <c r="O4230">
        <v>10753.16</v>
      </c>
      <c r="P4230">
        <v>2688.4</v>
      </c>
      <c r="Q4230" t="s">
        <v>37</v>
      </c>
      <c r="R4230" t="s">
        <v>29</v>
      </c>
      <c r="S4230" t="s">
        <v>1572</v>
      </c>
      <c r="T4230" t="s">
        <v>1573</v>
      </c>
    </row>
    <row r="4231" spans="1:20" x14ac:dyDescent="0.25">
      <c r="A4231" t="s">
        <v>9851</v>
      </c>
      <c r="B4231" t="str">
        <f>"1344"</f>
        <v>1344</v>
      </c>
      <c r="C4231" t="str">
        <f>"274421344"</f>
        <v>274421344</v>
      </c>
      <c r="D4231" t="s">
        <v>8308</v>
      </c>
      <c r="E4231" t="s">
        <v>1074</v>
      </c>
      <c r="F4231" t="s">
        <v>256</v>
      </c>
      <c r="G4231" s="1">
        <v>17263</v>
      </c>
      <c r="H4231" s="1">
        <v>37473</v>
      </c>
      <c r="I4231" t="str">
        <f>"41"</f>
        <v>41</v>
      </c>
      <c r="J4231" t="s">
        <v>24</v>
      </c>
      <c r="K4231" t="s">
        <v>25</v>
      </c>
      <c r="L4231" t="s">
        <v>26</v>
      </c>
      <c r="M4231" t="s">
        <v>27</v>
      </c>
      <c r="N4231" s="1">
        <v>18629</v>
      </c>
      <c r="O4231">
        <v>0</v>
      </c>
      <c r="P4231">
        <v>0</v>
      </c>
      <c r="Q4231" t="s">
        <v>37</v>
      </c>
      <c r="R4231" t="s">
        <v>29</v>
      </c>
      <c r="S4231" t="s">
        <v>9852</v>
      </c>
      <c r="T4231" t="s">
        <v>9853</v>
      </c>
    </row>
    <row r="4232" spans="1:20" x14ac:dyDescent="0.25">
      <c r="A4232" t="s">
        <v>9854</v>
      </c>
      <c r="B4232" t="str">
        <f>"9061"</f>
        <v>9061</v>
      </c>
      <c r="C4232" t="str">
        <f>"274809061"</f>
        <v>274809061</v>
      </c>
      <c r="D4232" t="s">
        <v>4239</v>
      </c>
      <c r="E4232" t="s">
        <v>9855</v>
      </c>
      <c r="F4232" t="s">
        <v>69</v>
      </c>
      <c r="G4232" s="1">
        <v>23264</v>
      </c>
      <c r="H4232" s="1">
        <v>37469</v>
      </c>
      <c r="I4232" t="str">
        <f>"41"</f>
        <v>41</v>
      </c>
      <c r="J4232" t="s">
        <v>24</v>
      </c>
      <c r="K4232" t="s">
        <v>25</v>
      </c>
      <c r="L4232" t="s">
        <v>26</v>
      </c>
      <c r="M4232" t="s">
        <v>27</v>
      </c>
      <c r="N4232" s="1">
        <v>18629</v>
      </c>
      <c r="O4232">
        <v>0</v>
      </c>
      <c r="P4232">
        <v>0</v>
      </c>
      <c r="Q4232" t="s">
        <v>28</v>
      </c>
      <c r="R4232" t="s">
        <v>29</v>
      </c>
      <c r="S4232" t="s">
        <v>2066</v>
      </c>
      <c r="T4232" t="s">
        <v>2067</v>
      </c>
    </row>
    <row r="4233" spans="1:20" x14ac:dyDescent="0.25">
      <c r="A4233" t="s">
        <v>9856</v>
      </c>
      <c r="B4233" t="str">
        <f>"8357"</f>
        <v>8357</v>
      </c>
      <c r="C4233" t="str">
        <f>"201428357"</f>
        <v>201428357</v>
      </c>
      <c r="D4233" t="s">
        <v>9857</v>
      </c>
      <c r="E4233" t="s">
        <v>1074</v>
      </c>
      <c r="F4233" t="s">
        <v>93</v>
      </c>
      <c r="G4233" s="1">
        <v>19054</v>
      </c>
      <c r="H4233" s="1">
        <v>37467</v>
      </c>
      <c r="I4233" t="str">
        <f>"03"</f>
        <v>03</v>
      </c>
      <c r="J4233" t="s">
        <v>70</v>
      </c>
      <c r="L4233" t="s">
        <v>37</v>
      </c>
      <c r="M4233" t="s">
        <v>143</v>
      </c>
      <c r="N4233" s="1">
        <v>41617</v>
      </c>
      <c r="O4233">
        <v>185.9</v>
      </c>
      <c r="P4233">
        <v>-185.9</v>
      </c>
      <c r="Q4233" t="s">
        <v>37</v>
      </c>
      <c r="R4233" t="s">
        <v>51</v>
      </c>
      <c r="S4233" s="2" t="s">
        <v>1727</v>
      </c>
      <c r="T4233" t="s">
        <v>1728</v>
      </c>
    </row>
    <row r="4234" spans="1:20" x14ac:dyDescent="0.25">
      <c r="A4234" t="s">
        <v>9858</v>
      </c>
      <c r="B4234" t="str">
        <f>"4770"</f>
        <v>4770</v>
      </c>
      <c r="C4234" t="str">
        <f>"453414770"</f>
        <v>453414770</v>
      </c>
      <c r="D4234" t="s">
        <v>1885</v>
      </c>
      <c r="E4234" t="s">
        <v>9859</v>
      </c>
      <c r="F4234" t="s">
        <v>97</v>
      </c>
      <c r="G4234" s="1">
        <v>23306</v>
      </c>
      <c r="H4234" s="1">
        <v>37438</v>
      </c>
      <c r="I4234" t="str">
        <f>"52"</f>
        <v>52</v>
      </c>
      <c r="J4234" t="s">
        <v>330</v>
      </c>
      <c r="K4234" t="s">
        <v>25</v>
      </c>
      <c r="L4234" t="s">
        <v>26</v>
      </c>
      <c r="M4234" t="s">
        <v>27</v>
      </c>
      <c r="N4234" s="1">
        <v>18629</v>
      </c>
      <c r="O4234">
        <v>0</v>
      </c>
      <c r="P4234">
        <v>0</v>
      </c>
      <c r="Q4234" t="s">
        <v>37</v>
      </c>
      <c r="R4234" t="s">
        <v>29</v>
      </c>
      <c r="S4234" t="s">
        <v>4000</v>
      </c>
      <c r="T4234" t="s">
        <v>4001</v>
      </c>
    </row>
    <row r="4235" spans="1:20" x14ac:dyDescent="0.25">
      <c r="A4235" t="s">
        <v>9860</v>
      </c>
      <c r="B4235" t="str">
        <f>"1980"</f>
        <v>1980</v>
      </c>
      <c r="C4235" t="str">
        <f>"285561980"</f>
        <v>285561980</v>
      </c>
      <c r="D4235" t="s">
        <v>9861</v>
      </c>
      <c r="E4235" t="s">
        <v>1655</v>
      </c>
      <c r="F4235" t="s">
        <v>174</v>
      </c>
      <c r="G4235" s="1">
        <v>19490</v>
      </c>
      <c r="H4235" s="1">
        <v>37404</v>
      </c>
      <c r="I4235" t="str">
        <f>"51"</f>
        <v>51</v>
      </c>
      <c r="J4235" t="s">
        <v>471</v>
      </c>
      <c r="K4235" t="s">
        <v>25</v>
      </c>
      <c r="L4235" t="s">
        <v>26</v>
      </c>
      <c r="M4235" t="s">
        <v>27</v>
      </c>
      <c r="N4235" s="1">
        <v>18629</v>
      </c>
      <c r="O4235">
        <v>0</v>
      </c>
      <c r="P4235">
        <v>0</v>
      </c>
      <c r="Q4235" t="s">
        <v>37</v>
      </c>
      <c r="R4235" t="s">
        <v>71</v>
      </c>
      <c r="S4235" t="s">
        <v>6172</v>
      </c>
      <c r="T4235" t="s">
        <v>6173</v>
      </c>
    </row>
    <row r="4236" spans="1:20" x14ac:dyDescent="0.25">
      <c r="A4236" t="s">
        <v>9862</v>
      </c>
      <c r="B4236" t="str">
        <f>"6119"</f>
        <v>6119</v>
      </c>
      <c r="C4236" t="str">
        <f>"138486119"</f>
        <v>138486119</v>
      </c>
      <c r="D4236" t="s">
        <v>9038</v>
      </c>
      <c r="E4236" t="s">
        <v>756</v>
      </c>
      <c r="F4236" t="s">
        <v>26</v>
      </c>
      <c r="G4236" s="1">
        <v>19223</v>
      </c>
      <c r="H4236" s="1">
        <v>37404</v>
      </c>
      <c r="I4236" t="str">
        <f>"51"</f>
        <v>51</v>
      </c>
      <c r="J4236" t="s">
        <v>471</v>
      </c>
      <c r="K4236" t="s">
        <v>25</v>
      </c>
      <c r="L4236" t="s">
        <v>26</v>
      </c>
      <c r="M4236" t="s">
        <v>27</v>
      </c>
      <c r="N4236" s="1">
        <v>18629</v>
      </c>
      <c r="O4236">
        <v>0</v>
      </c>
      <c r="P4236">
        <v>0</v>
      </c>
      <c r="Q4236" t="s">
        <v>37</v>
      </c>
      <c r="R4236" t="s">
        <v>51</v>
      </c>
      <c r="S4236" t="s">
        <v>795</v>
      </c>
      <c r="T4236" t="s">
        <v>796</v>
      </c>
    </row>
    <row r="4237" spans="1:20" x14ac:dyDescent="0.25">
      <c r="A4237" t="s">
        <v>9863</v>
      </c>
      <c r="B4237" t="str">
        <f>"2280"</f>
        <v>2280</v>
      </c>
      <c r="C4237" t="str">
        <f>"269542280"</f>
        <v>269542280</v>
      </c>
      <c r="D4237" t="s">
        <v>9864</v>
      </c>
      <c r="E4237" t="s">
        <v>122</v>
      </c>
      <c r="F4237" t="s">
        <v>556</v>
      </c>
      <c r="G4237" s="1">
        <v>18541</v>
      </c>
      <c r="H4237" s="1">
        <v>37404</v>
      </c>
      <c r="I4237" t="str">
        <f>"51"</f>
        <v>51</v>
      </c>
      <c r="J4237" t="s">
        <v>471</v>
      </c>
      <c r="K4237" t="s">
        <v>25</v>
      </c>
      <c r="L4237" t="s">
        <v>26</v>
      </c>
      <c r="M4237" t="s">
        <v>27</v>
      </c>
      <c r="N4237" s="1">
        <v>18629</v>
      </c>
      <c r="O4237">
        <v>0</v>
      </c>
      <c r="P4237">
        <v>0</v>
      </c>
      <c r="Q4237" t="s">
        <v>28</v>
      </c>
      <c r="R4237" t="s">
        <v>71</v>
      </c>
      <c r="S4237" t="s">
        <v>790</v>
      </c>
      <c r="T4237" t="s">
        <v>791</v>
      </c>
    </row>
    <row r="4238" spans="1:20" x14ac:dyDescent="0.25">
      <c r="A4238" t="s">
        <v>9865</v>
      </c>
      <c r="B4238" t="str">
        <f>"2740"</f>
        <v>2740</v>
      </c>
      <c r="C4238" t="str">
        <f>"552642740"</f>
        <v>552642740</v>
      </c>
      <c r="D4238" t="s">
        <v>9866</v>
      </c>
      <c r="E4238" t="s">
        <v>127</v>
      </c>
      <c r="F4238" t="s">
        <v>282</v>
      </c>
      <c r="G4238" s="1">
        <v>16638</v>
      </c>
      <c r="H4238" s="1">
        <v>37404</v>
      </c>
      <c r="I4238" t="str">
        <f>"51"</f>
        <v>51</v>
      </c>
      <c r="J4238" t="s">
        <v>471</v>
      </c>
      <c r="K4238" t="s">
        <v>25</v>
      </c>
      <c r="L4238" t="s">
        <v>26</v>
      </c>
      <c r="M4238" t="s">
        <v>27</v>
      </c>
      <c r="N4238" s="1">
        <v>18629</v>
      </c>
      <c r="O4238">
        <v>0</v>
      </c>
      <c r="P4238">
        <v>0</v>
      </c>
      <c r="Q4238" t="s">
        <v>28</v>
      </c>
      <c r="R4238" t="s">
        <v>51</v>
      </c>
      <c r="S4238" s="2" t="s">
        <v>3136</v>
      </c>
      <c r="T4238" t="s">
        <v>3137</v>
      </c>
    </row>
    <row r="4239" spans="1:20" x14ac:dyDescent="0.25">
      <c r="A4239" t="s">
        <v>9867</v>
      </c>
      <c r="B4239" t="str">
        <f>"8998"</f>
        <v>8998</v>
      </c>
      <c r="C4239" t="str">
        <f>"298528998"</f>
        <v>298528998</v>
      </c>
      <c r="D4239" t="s">
        <v>4035</v>
      </c>
      <c r="E4239" t="s">
        <v>1350</v>
      </c>
      <c r="F4239" t="s">
        <v>813</v>
      </c>
      <c r="G4239" s="1">
        <v>19606</v>
      </c>
      <c r="H4239" s="1">
        <v>37347</v>
      </c>
      <c r="I4239" t="str">
        <f>"50"</f>
        <v>50</v>
      </c>
      <c r="J4239" t="s">
        <v>208</v>
      </c>
      <c r="K4239" t="s">
        <v>25</v>
      </c>
      <c r="L4239" t="s">
        <v>26</v>
      </c>
      <c r="M4239" t="s">
        <v>27</v>
      </c>
      <c r="N4239" s="1">
        <v>18629</v>
      </c>
      <c r="O4239">
        <v>0</v>
      </c>
      <c r="P4239">
        <v>0</v>
      </c>
      <c r="Q4239" t="s">
        <v>37</v>
      </c>
      <c r="R4239" t="s">
        <v>51</v>
      </c>
      <c r="S4239" s="2" t="s">
        <v>683</v>
      </c>
      <c r="T4239" t="s">
        <v>684</v>
      </c>
    </row>
    <row r="4240" spans="1:20" x14ac:dyDescent="0.25">
      <c r="A4240" t="s">
        <v>9868</v>
      </c>
      <c r="B4240" t="str">
        <f>"6118"</f>
        <v>6118</v>
      </c>
      <c r="C4240" t="str">
        <f>"280546118"</f>
        <v>280546118</v>
      </c>
      <c r="D4240" t="s">
        <v>1032</v>
      </c>
      <c r="E4240" t="s">
        <v>2519</v>
      </c>
      <c r="F4240" t="s">
        <v>69</v>
      </c>
      <c r="G4240" s="1">
        <v>20364</v>
      </c>
      <c r="H4240" s="1">
        <v>37342</v>
      </c>
      <c r="I4240" t="str">
        <f>"51"</f>
        <v>51</v>
      </c>
      <c r="J4240" t="s">
        <v>471</v>
      </c>
      <c r="K4240" t="s">
        <v>25</v>
      </c>
      <c r="L4240" t="s">
        <v>26</v>
      </c>
      <c r="M4240" t="s">
        <v>27</v>
      </c>
      <c r="N4240" s="1">
        <v>18629</v>
      </c>
      <c r="O4240">
        <v>0</v>
      </c>
      <c r="P4240">
        <v>0</v>
      </c>
      <c r="Q4240" t="s">
        <v>37</v>
      </c>
      <c r="R4240" t="s">
        <v>51</v>
      </c>
      <c r="S4240" s="2" t="s">
        <v>1538</v>
      </c>
      <c r="T4240" t="s">
        <v>1539</v>
      </c>
    </row>
    <row r="4241" spans="1:20" x14ac:dyDescent="0.25">
      <c r="A4241" t="s">
        <v>9869</v>
      </c>
      <c r="B4241" t="str">
        <f>"6925"</f>
        <v>6925</v>
      </c>
      <c r="C4241" t="str">
        <f>"271726925"</f>
        <v>271726925</v>
      </c>
      <c r="D4241" t="s">
        <v>3553</v>
      </c>
      <c r="E4241" t="s">
        <v>3501</v>
      </c>
      <c r="F4241" t="s">
        <v>282</v>
      </c>
      <c r="G4241" s="1">
        <v>24497</v>
      </c>
      <c r="H4241" s="1">
        <v>37333</v>
      </c>
      <c r="I4241" t="str">
        <f>"30"</f>
        <v>30</v>
      </c>
      <c r="J4241" t="s">
        <v>50</v>
      </c>
      <c r="K4241" t="s">
        <v>25</v>
      </c>
      <c r="L4241" t="s">
        <v>26</v>
      </c>
      <c r="M4241" t="s">
        <v>27</v>
      </c>
      <c r="N4241" s="1">
        <v>18629</v>
      </c>
      <c r="O4241">
        <v>0</v>
      </c>
      <c r="P4241">
        <v>0</v>
      </c>
      <c r="Q4241" t="s">
        <v>37</v>
      </c>
      <c r="R4241" t="s">
        <v>29</v>
      </c>
      <c r="S4241" t="s">
        <v>3986</v>
      </c>
      <c r="T4241" t="s">
        <v>3987</v>
      </c>
    </row>
    <row r="4242" spans="1:20" x14ac:dyDescent="0.25">
      <c r="A4242" t="s">
        <v>9870</v>
      </c>
      <c r="B4242" t="str">
        <f>"5496"</f>
        <v>5496</v>
      </c>
      <c r="C4242" t="str">
        <f>"291725496"</f>
        <v>291725496</v>
      </c>
      <c r="D4242" t="s">
        <v>907</v>
      </c>
      <c r="E4242" t="s">
        <v>2617</v>
      </c>
      <c r="F4242" t="s">
        <v>1104</v>
      </c>
      <c r="G4242" s="1">
        <v>25766</v>
      </c>
      <c r="H4242" s="1">
        <v>37333</v>
      </c>
      <c r="I4242" t="str">
        <f>"42"</f>
        <v>42</v>
      </c>
      <c r="J4242" t="s">
        <v>367</v>
      </c>
      <c r="K4242" t="s">
        <v>25</v>
      </c>
      <c r="L4242" t="s">
        <v>26</v>
      </c>
      <c r="M4242" t="s">
        <v>27</v>
      </c>
      <c r="N4242" s="1">
        <v>18629</v>
      </c>
      <c r="O4242">
        <v>0</v>
      </c>
      <c r="P4242">
        <v>0</v>
      </c>
      <c r="Q4242" t="s">
        <v>28</v>
      </c>
      <c r="R4242" t="s">
        <v>29</v>
      </c>
      <c r="S4242" t="s">
        <v>982</v>
      </c>
      <c r="T4242" t="s">
        <v>983</v>
      </c>
    </row>
    <row r="4243" spans="1:20" x14ac:dyDescent="0.25">
      <c r="A4243" t="s">
        <v>9871</v>
      </c>
      <c r="B4243" t="str">
        <f>"1808"</f>
        <v>1808</v>
      </c>
      <c r="C4243" t="str">
        <f>"274421808"</f>
        <v>274421808</v>
      </c>
      <c r="D4243" t="s">
        <v>9872</v>
      </c>
      <c r="E4243" t="s">
        <v>9873</v>
      </c>
      <c r="F4243" t="s">
        <v>44</v>
      </c>
      <c r="G4243" s="1">
        <v>17764</v>
      </c>
      <c r="H4243" s="1">
        <v>37333</v>
      </c>
      <c r="I4243" t="str">
        <f>"15"</f>
        <v>15</v>
      </c>
      <c r="J4243" t="s">
        <v>36</v>
      </c>
      <c r="K4243" t="s">
        <v>98</v>
      </c>
      <c r="L4243" t="s">
        <v>37</v>
      </c>
      <c r="M4243" t="s">
        <v>117</v>
      </c>
      <c r="N4243" s="1">
        <v>41617</v>
      </c>
      <c r="O4243">
        <v>4951.96</v>
      </c>
      <c r="P4243">
        <v>1237.8599999999999</v>
      </c>
      <c r="Q4243" t="s">
        <v>37</v>
      </c>
      <c r="R4243" t="s">
        <v>71</v>
      </c>
      <c r="S4243" t="s">
        <v>1774</v>
      </c>
      <c r="T4243" t="s">
        <v>1775</v>
      </c>
    </row>
    <row r="4244" spans="1:20" x14ac:dyDescent="0.25">
      <c r="A4244" t="s">
        <v>9874</v>
      </c>
      <c r="B4244" t="str">
        <f>"6782"</f>
        <v>6782</v>
      </c>
      <c r="C4244" t="str">
        <f>"285586782"</f>
        <v>285586782</v>
      </c>
      <c r="D4244" t="s">
        <v>9875</v>
      </c>
      <c r="E4244" t="s">
        <v>544</v>
      </c>
      <c r="G4244" s="1">
        <v>23140</v>
      </c>
      <c r="H4244" s="1">
        <v>37333</v>
      </c>
      <c r="I4244" t="str">
        <f>"42"</f>
        <v>42</v>
      </c>
      <c r="J4244" t="s">
        <v>367</v>
      </c>
      <c r="K4244" t="s">
        <v>25</v>
      </c>
      <c r="L4244" t="s">
        <v>26</v>
      </c>
      <c r="M4244" t="s">
        <v>27</v>
      </c>
      <c r="N4244" s="1">
        <v>18629</v>
      </c>
      <c r="O4244">
        <v>0</v>
      </c>
      <c r="P4244">
        <v>0</v>
      </c>
      <c r="Q4244" t="s">
        <v>37</v>
      </c>
      <c r="R4244" t="s">
        <v>71</v>
      </c>
      <c r="S4244" t="s">
        <v>2839</v>
      </c>
      <c r="T4244" t="s">
        <v>2591</v>
      </c>
    </row>
    <row r="4245" spans="1:20" x14ac:dyDescent="0.25">
      <c r="A4245" t="s">
        <v>9876</v>
      </c>
      <c r="B4245" t="str">
        <f>"9665"</f>
        <v>9665</v>
      </c>
      <c r="C4245" t="str">
        <f>"284709665"</f>
        <v>284709665</v>
      </c>
      <c r="D4245" t="s">
        <v>2069</v>
      </c>
      <c r="E4245" t="s">
        <v>944</v>
      </c>
      <c r="F4245" t="s">
        <v>282</v>
      </c>
      <c r="G4245" s="1">
        <v>22021</v>
      </c>
      <c r="H4245" s="1">
        <v>37333</v>
      </c>
      <c r="I4245" t="str">
        <f>"42"</f>
        <v>42</v>
      </c>
      <c r="J4245" t="s">
        <v>367</v>
      </c>
      <c r="K4245" t="s">
        <v>25</v>
      </c>
      <c r="L4245" t="s">
        <v>26</v>
      </c>
      <c r="M4245" t="s">
        <v>27</v>
      </c>
      <c r="N4245" s="1">
        <v>18629</v>
      </c>
      <c r="O4245">
        <v>0</v>
      </c>
      <c r="P4245">
        <v>0</v>
      </c>
      <c r="Q4245" t="s">
        <v>28</v>
      </c>
      <c r="R4245" t="s">
        <v>51</v>
      </c>
      <c r="S4245" t="s">
        <v>1222</v>
      </c>
      <c r="T4245" t="s">
        <v>1223</v>
      </c>
    </row>
    <row r="4246" spans="1:20" x14ac:dyDescent="0.25">
      <c r="A4246" t="s">
        <v>9877</v>
      </c>
      <c r="B4246" t="str">
        <f>"8215"</f>
        <v>8215</v>
      </c>
      <c r="C4246" t="str">
        <f>"274408215"</f>
        <v>274408215</v>
      </c>
      <c r="D4246" t="s">
        <v>4797</v>
      </c>
      <c r="E4246" t="s">
        <v>1381</v>
      </c>
      <c r="F4246" t="s">
        <v>165</v>
      </c>
      <c r="G4246" s="1">
        <v>15665</v>
      </c>
      <c r="H4246" s="1">
        <v>37323</v>
      </c>
      <c r="I4246" t="str">
        <f>"51"</f>
        <v>51</v>
      </c>
      <c r="J4246" t="s">
        <v>471</v>
      </c>
      <c r="K4246" t="s">
        <v>25</v>
      </c>
      <c r="L4246" t="s">
        <v>26</v>
      </c>
      <c r="M4246" t="s">
        <v>27</v>
      </c>
      <c r="N4246" s="1">
        <v>18629</v>
      </c>
      <c r="O4246">
        <v>0</v>
      </c>
      <c r="P4246">
        <v>0</v>
      </c>
      <c r="Q4246" t="s">
        <v>28</v>
      </c>
      <c r="R4246" t="s">
        <v>71</v>
      </c>
      <c r="S4246" t="s">
        <v>2790</v>
      </c>
      <c r="T4246" t="s">
        <v>2791</v>
      </c>
    </row>
    <row r="4247" spans="1:20" x14ac:dyDescent="0.25">
      <c r="A4247" t="s">
        <v>9878</v>
      </c>
      <c r="B4247" t="str">
        <f>"5865"</f>
        <v>5865</v>
      </c>
      <c r="C4247" t="str">
        <f>"301645865"</f>
        <v>301645865</v>
      </c>
      <c r="D4247" t="s">
        <v>7358</v>
      </c>
      <c r="E4247" t="s">
        <v>3646</v>
      </c>
      <c r="F4247" t="s">
        <v>1049</v>
      </c>
      <c r="G4247" s="1">
        <v>23908</v>
      </c>
      <c r="H4247" s="1">
        <v>37284</v>
      </c>
      <c r="I4247" t="str">
        <f>"01"</f>
        <v>01</v>
      </c>
      <c r="J4247" t="s">
        <v>116</v>
      </c>
      <c r="K4247" t="s">
        <v>98</v>
      </c>
      <c r="L4247" t="s">
        <v>37</v>
      </c>
      <c r="M4247" t="s">
        <v>117</v>
      </c>
      <c r="N4247" s="1">
        <v>41617</v>
      </c>
      <c r="O4247">
        <v>4951.96</v>
      </c>
      <c r="P4247">
        <v>1237.8599999999999</v>
      </c>
      <c r="Q4247" t="s">
        <v>28</v>
      </c>
      <c r="R4247" t="s">
        <v>110</v>
      </c>
      <c r="S4247" t="s">
        <v>9879</v>
      </c>
      <c r="T4247" t="s">
        <v>9880</v>
      </c>
    </row>
    <row r="4248" spans="1:20" x14ac:dyDescent="0.25">
      <c r="A4248" t="s">
        <v>9881</v>
      </c>
      <c r="B4248" t="str">
        <f>"1640"</f>
        <v>1640</v>
      </c>
      <c r="C4248" t="str">
        <f>"268741640"</f>
        <v>268741640</v>
      </c>
      <c r="D4248" t="s">
        <v>9882</v>
      </c>
      <c r="E4248" t="s">
        <v>1081</v>
      </c>
      <c r="F4248" t="s">
        <v>93</v>
      </c>
      <c r="G4248" s="1">
        <v>25763</v>
      </c>
      <c r="H4248" s="1">
        <v>37270</v>
      </c>
      <c r="I4248" t="str">
        <f>"51"</f>
        <v>51</v>
      </c>
      <c r="J4248" t="s">
        <v>471</v>
      </c>
      <c r="K4248" t="s">
        <v>25</v>
      </c>
      <c r="L4248" t="s">
        <v>26</v>
      </c>
      <c r="M4248" t="s">
        <v>27</v>
      </c>
      <c r="N4248" s="1">
        <v>18629</v>
      </c>
      <c r="O4248">
        <v>0</v>
      </c>
      <c r="P4248">
        <v>0</v>
      </c>
      <c r="Q4248" t="s">
        <v>28</v>
      </c>
      <c r="R4248" t="s">
        <v>51</v>
      </c>
      <c r="S4248" s="2" t="s">
        <v>64</v>
      </c>
      <c r="T4248" t="s">
        <v>65</v>
      </c>
    </row>
    <row r="4249" spans="1:20" x14ac:dyDescent="0.25">
      <c r="A4249" t="s">
        <v>9883</v>
      </c>
      <c r="B4249" t="str">
        <f>"9411"</f>
        <v>9411</v>
      </c>
      <c r="C4249" t="str">
        <f>"286849411"</f>
        <v>286849411</v>
      </c>
      <c r="D4249" t="s">
        <v>9884</v>
      </c>
      <c r="E4249" t="s">
        <v>3501</v>
      </c>
      <c r="F4249" t="s">
        <v>44</v>
      </c>
      <c r="G4249" s="1">
        <v>25659</v>
      </c>
      <c r="H4249" s="1">
        <v>37270</v>
      </c>
      <c r="I4249" t="str">
        <f>"51"</f>
        <v>51</v>
      </c>
      <c r="J4249" t="s">
        <v>471</v>
      </c>
      <c r="K4249" t="s">
        <v>25</v>
      </c>
      <c r="L4249" t="s">
        <v>26</v>
      </c>
      <c r="M4249" t="s">
        <v>27</v>
      </c>
      <c r="N4249" s="1">
        <v>18629</v>
      </c>
      <c r="O4249">
        <v>0</v>
      </c>
      <c r="P4249">
        <v>0</v>
      </c>
      <c r="Q4249" t="s">
        <v>37</v>
      </c>
      <c r="R4249" t="s">
        <v>51</v>
      </c>
      <c r="S4249" s="2" t="s">
        <v>1656</v>
      </c>
      <c r="T4249" t="s">
        <v>1657</v>
      </c>
    </row>
    <row r="4250" spans="1:20" x14ac:dyDescent="0.25">
      <c r="A4250" t="s">
        <v>9885</v>
      </c>
      <c r="B4250" t="str">
        <f>"3499"</f>
        <v>3499</v>
      </c>
      <c r="C4250" t="str">
        <f>"269503499"</f>
        <v>269503499</v>
      </c>
      <c r="D4250" t="s">
        <v>9886</v>
      </c>
      <c r="E4250" t="s">
        <v>972</v>
      </c>
      <c r="F4250" t="s">
        <v>6457</v>
      </c>
      <c r="G4250" s="1">
        <v>19008</v>
      </c>
      <c r="H4250" s="1">
        <v>37270</v>
      </c>
      <c r="I4250" t="str">
        <f>"51"</f>
        <v>51</v>
      </c>
      <c r="J4250" t="s">
        <v>471</v>
      </c>
      <c r="K4250" t="s">
        <v>25</v>
      </c>
      <c r="L4250" t="s">
        <v>26</v>
      </c>
      <c r="M4250" t="s">
        <v>27</v>
      </c>
      <c r="N4250" s="1">
        <v>18629</v>
      </c>
      <c r="O4250">
        <v>0</v>
      </c>
      <c r="P4250">
        <v>0</v>
      </c>
      <c r="Q4250" t="s">
        <v>37</v>
      </c>
      <c r="R4250" t="s">
        <v>71</v>
      </c>
      <c r="S4250" t="s">
        <v>6181</v>
      </c>
      <c r="T4250" t="s">
        <v>6182</v>
      </c>
    </row>
    <row r="4251" spans="1:20" x14ac:dyDescent="0.25">
      <c r="A4251" t="s">
        <v>9887</v>
      </c>
      <c r="B4251" t="str">
        <f>"8456"</f>
        <v>8456</v>
      </c>
      <c r="C4251" t="str">
        <f>"331528456"</f>
        <v>331528456</v>
      </c>
      <c r="D4251" t="s">
        <v>9888</v>
      </c>
      <c r="E4251" t="s">
        <v>4183</v>
      </c>
      <c r="F4251" t="s">
        <v>813</v>
      </c>
      <c r="G4251" s="1">
        <v>20544</v>
      </c>
      <c r="H4251" s="1">
        <v>37270</v>
      </c>
      <c r="I4251" t="str">
        <f>"20"</f>
        <v>20</v>
      </c>
      <c r="J4251" t="s">
        <v>123</v>
      </c>
      <c r="K4251" t="s">
        <v>98</v>
      </c>
      <c r="L4251" t="s">
        <v>37</v>
      </c>
      <c r="M4251" t="s">
        <v>99</v>
      </c>
      <c r="N4251" s="1">
        <v>41631</v>
      </c>
      <c r="O4251">
        <v>14801.82</v>
      </c>
      <c r="P4251">
        <v>3700.4</v>
      </c>
      <c r="Q4251" t="s">
        <v>37</v>
      </c>
      <c r="R4251" t="s">
        <v>29</v>
      </c>
      <c r="S4251" t="s">
        <v>1427</v>
      </c>
      <c r="T4251" t="s">
        <v>1428</v>
      </c>
    </row>
    <row r="4252" spans="1:20" x14ac:dyDescent="0.25">
      <c r="A4252" t="s">
        <v>9889</v>
      </c>
      <c r="B4252" t="str">
        <f>"7939"</f>
        <v>7939</v>
      </c>
      <c r="C4252" t="str">
        <f>"271747939"</f>
        <v>271747939</v>
      </c>
      <c r="D4252" t="s">
        <v>9890</v>
      </c>
      <c r="E4252" t="s">
        <v>1248</v>
      </c>
      <c r="F4252" t="s">
        <v>37</v>
      </c>
      <c r="G4252" s="1">
        <v>22856</v>
      </c>
      <c r="H4252" s="1">
        <v>37270</v>
      </c>
      <c r="I4252" t="str">
        <f>"51"</f>
        <v>51</v>
      </c>
      <c r="J4252" t="s">
        <v>471</v>
      </c>
      <c r="K4252" t="s">
        <v>25</v>
      </c>
      <c r="L4252" t="s">
        <v>26</v>
      </c>
      <c r="M4252" t="s">
        <v>27</v>
      </c>
      <c r="N4252" s="1">
        <v>18629</v>
      </c>
      <c r="O4252">
        <v>0</v>
      </c>
      <c r="P4252">
        <v>0</v>
      </c>
      <c r="Q4252" t="s">
        <v>37</v>
      </c>
      <c r="R4252" t="s">
        <v>29</v>
      </c>
      <c r="S4252" t="s">
        <v>138</v>
      </c>
      <c r="T4252" t="s">
        <v>139</v>
      </c>
    </row>
    <row r="4253" spans="1:20" x14ac:dyDescent="0.25">
      <c r="A4253" t="s">
        <v>9891</v>
      </c>
      <c r="B4253" t="str">
        <f>"2771"</f>
        <v>2771</v>
      </c>
      <c r="C4253" t="str">
        <f>"108502771"</f>
        <v>108502771</v>
      </c>
      <c r="D4253" t="s">
        <v>1041</v>
      </c>
      <c r="E4253" t="s">
        <v>944</v>
      </c>
      <c r="F4253" t="s">
        <v>93</v>
      </c>
      <c r="G4253" s="1">
        <v>20990</v>
      </c>
      <c r="H4253" s="1">
        <v>37270</v>
      </c>
      <c r="I4253" t="str">
        <f>"51"</f>
        <v>51</v>
      </c>
      <c r="J4253" t="s">
        <v>471</v>
      </c>
      <c r="K4253" t="s">
        <v>25</v>
      </c>
      <c r="L4253" t="s">
        <v>26</v>
      </c>
      <c r="M4253" t="s">
        <v>27</v>
      </c>
      <c r="N4253" s="1">
        <v>18629</v>
      </c>
      <c r="O4253">
        <v>0</v>
      </c>
      <c r="P4253">
        <v>0</v>
      </c>
      <c r="Q4253" t="s">
        <v>28</v>
      </c>
      <c r="R4253" t="s">
        <v>71</v>
      </c>
      <c r="S4253" t="s">
        <v>2458</v>
      </c>
      <c r="T4253" t="s">
        <v>2459</v>
      </c>
    </row>
    <row r="4254" spans="1:20" x14ac:dyDescent="0.25">
      <c r="A4254" t="s">
        <v>9892</v>
      </c>
      <c r="B4254" t="str">
        <f>"5701"</f>
        <v>5701</v>
      </c>
      <c r="C4254" t="str">
        <f>"579025701"</f>
        <v>579025701</v>
      </c>
      <c r="D4254" t="s">
        <v>9893</v>
      </c>
      <c r="E4254" t="s">
        <v>649</v>
      </c>
      <c r="G4254" s="1">
        <v>24037</v>
      </c>
      <c r="H4254" s="1">
        <v>37270</v>
      </c>
      <c r="I4254" t="str">
        <f>"52"</f>
        <v>52</v>
      </c>
      <c r="J4254" t="s">
        <v>330</v>
      </c>
      <c r="K4254" t="s">
        <v>25</v>
      </c>
      <c r="L4254" t="s">
        <v>26</v>
      </c>
      <c r="M4254" t="s">
        <v>27</v>
      </c>
      <c r="N4254" s="1">
        <v>18629</v>
      </c>
      <c r="O4254">
        <v>0</v>
      </c>
      <c r="P4254">
        <v>0</v>
      </c>
      <c r="Q4254" t="s">
        <v>28</v>
      </c>
      <c r="R4254" t="s">
        <v>51</v>
      </c>
      <c r="S4254" t="s">
        <v>4000</v>
      </c>
      <c r="T4254" t="s">
        <v>4001</v>
      </c>
    </row>
    <row r="4255" spans="1:20" x14ac:dyDescent="0.25">
      <c r="A4255" t="s">
        <v>9894</v>
      </c>
      <c r="B4255" t="str">
        <f>"7535"</f>
        <v>7535</v>
      </c>
      <c r="C4255" t="str">
        <f>"274387535"</f>
        <v>274387535</v>
      </c>
      <c r="D4255" t="s">
        <v>122</v>
      </c>
      <c r="E4255" t="s">
        <v>609</v>
      </c>
      <c r="G4255" s="1">
        <v>15911</v>
      </c>
      <c r="H4255" s="1">
        <v>37270</v>
      </c>
      <c r="I4255" t="str">
        <f>"52"</f>
        <v>52</v>
      </c>
      <c r="J4255" t="s">
        <v>330</v>
      </c>
      <c r="K4255" t="s">
        <v>25</v>
      </c>
      <c r="L4255" t="s">
        <v>26</v>
      </c>
      <c r="M4255" t="s">
        <v>27</v>
      </c>
      <c r="N4255" s="1">
        <v>18629</v>
      </c>
      <c r="O4255">
        <v>0</v>
      </c>
      <c r="P4255">
        <v>0</v>
      </c>
      <c r="Q4255" t="s">
        <v>28</v>
      </c>
      <c r="R4255" t="s">
        <v>258</v>
      </c>
      <c r="S4255" t="s">
        <v>1985</v>
      </c>
      <c r="T4255" t="s">
        <v>1986</v>
      </c>
    </row>
    <row r="4256" spans="1:20" x14ac:dyDescent="0.25">
      <c r="A4256" t="s">
        <v>9895</v>
      </c>
      <c r="B4256" t="str">
        <f>"0684"</f>
        <v>0684</v>
      </c>
      <c r="C4256" t="str">
        <f>"295900684"</f>
        <v>295900684</v>
      </c>
      <c r="D4256" t="s">
        <v>9896</v>
      </c>
      <c r="E4256" t="s">
        <v>1399</v>
      </c>
      <c r="G4256" s="1">
        <v>17472</v>
      </c>
      <c r="H4256" s="1">
        <v>37270</v>
      </c>
      <c r="I4256" t="str">
        <f>"51"</f>
        <v>51</v>
      </c>
      <c r="J4256" t="s">
        <v>471</v>
      </c>
      <c r="K4256" t="s">
        <v>25</v>
      </c>
      <c r="L4256" t="s">
        <v>26</v>
      </c>
      <c r="M4256" t="s">
        <v>27</v>
      </c>
      <c r="N4256" s="1">
        <v>18629</v>
      </c>
      <c r="O4256">
        <v>0</v>
      </c>
      <c r="P4256">
        <v>0</v>
      </c>
      <c r="Q4256" t="s">
        <v>28</v>
      </c>
      <c r="R4256" t="s">
        <v>51</v>
      </c>
      <c r="S4256" t="s">
        <v>4000</v>
      </c>
      <c r="T4256" t="s">
        <v>4001</v>
      </c>
    </row>
    <row r="4257" spans="1:20" x14ac:dyDescent="0.25">
      <c r="A4257" t="s">
        <v>9897</v>
      </c>
      <c r="B4257" t="str">
        <f>"6033"</f>
        <v>6033</v>
      </c>
      <c r="C4257" t="str">
        <f>"273886033"</f>
        <v>273886033</v>
      </c>
      <c r="D4257" t="s">
        <v>860</v>
      </c>
      <c r="E4257" t="s">
        <v>3630</v>
      </c>
      <c r="G4257" s="1">
        <v>26638</v>
      </c>
      <c r="H4257" s="1">
        <v>37263</v>
      </c>
      <c r="I4257" t="str">
        <f>"51"</f>
        <v>51</v>
      </c>
      <c r="J4257" t="s">
        <v>471</v>
      </c>
      <c r="K4257" t="s">
        <v>25</v>
      </c>
      <c r="L4257" t="s">
        <v>26</v>
      </c>
      <c r="M4257" t="s">
        <v>27</v>
      </c>
      <c r="N4257" s="1">
        <v>18629</v>
      </c>
      <c r="O4257">
        <v>0</v>
      </c>
      <c r="P4257">
        <v>0</v>
      </c>
      <c r="Q4257" t="s">
        <v>28</v>
      </c>
      <c r="R4257" t="s">
        <v>51</v>
      </c>
      <c r="S4257" s="2" t="s">
        <v>6142</v>
      </c>
      <c r="T4257" t="s">
        <v>6143</v>
      </c>
    </row>
    <row r="4258" spans="1:20" x14ac:dyDescent="0.25">
      <c r="A4258" t="s">
        <v>9898</v>
      </c>
      <c r="B4258" t="str">
        <f>"9107"</f>
        <v>9107</v>
      </c>
      <c r="C4258" t="str">
        <f>"299369107"</f>
        <v>299369107</v>
      </c>
      <c r="D4258" t="s">
        <v>9899</v>
      </c>
      <c r="E4258" t="s">
        <v>1381</v>
      </c>
      <c r="F4258" t="s">
        <v>37</v>
      </c>
      <c r="G4258" s="1">
        <v>15566</v>
      </c>
      <c r="H4258" s="1">
        <v>37258</v>
      </c>
      <c r="I4258" t="str">
        <f>"51"</f>
        <v>51</v>
      </c>
      <c r="J4258" t="s">
        <v>471</v>
      </c>
      <c r="K4258" t="s">
        <v>25</v>
      </c>
      <c r="L4258" t="s">
        <v>26</v>
      </c>
      <c r="M4258" t="s">
        <v>27</v>
      </c>
      <c r="N4258" s="1">
        <v>18629</v>
      </c>
      <c r="O4258">
        <v>0</v>
      </c>
      <c r="P4258">
        <v>0</v>
      </c>
      <c r="Q4258" t="s">
        <v>28</v>
      </c>
      <c r="R4258" t="s">
        <v>29</v>
      </c>
      <c r="S4258" t="s">
        <v>1160</v>
      </c>
      <c r="T4258" t="s">
        <v>1161</v>
      </c>
    </row>
    <row r="4259" spans="1:20" x14ac:dyDescent="0.25">
      <c r="A4259" t="s">
        <v>9900</v>
      </c>
      <c r="B4259" t="str">
        <f>"2672"</f>
        <v>2672</v>
      </c>
      <c r="C4259" t="str">
        <f>"281442672"</f>
        <v>281442672</v>
      </c>
      <c r="D4259" t="s">
        <v>9901</v>
      </c>
      <c r="E4259" t="s">
        <v>35</v>
      </c>
      <c r="F4259" t="s">
        <v>26</v>
      </c>
      <c r="G4259" s="1">
        <v>17752</v>
      </c>
      <c r="H4259" s="1">
        <v>37235</v>
      </c>
      <c r="I4259" t="str">
        <f>"05"</f>
        <v>05</v>
      </c>
      <c r="J4259" t="s">
        <v>58</v>
      </c>
      <c r="K4259" t="s">
        <v>98</v>
      </c>
      <c r="L4259" t="s">
        <v>37</v>
      </c>
      <c r="M4259" t="s">
        <v>99</v>
      </c>
      <c r="N4259" s="1">
        <v>41617</v>
      </c>
      <c r="O4259">
        <v>14801.8</v>
      </c>
      <c r="P4259">
        <v>3700.32</v>
      </c>
      <c r="Q4259" t="s">
        <v>28</v>
      </c>
      <c r="R4259" t="s">
        <v>29</v>
      </c>
      <c r="S4259" t="s">
        <v>8399</v>
      </c>
      <c r="T4259" t="s">
        <v>8400</v>
      </c>
    </row>
    <row r="4260" spans="1:20" x14ac:dyDescent="0.25">
      <c r="A4260" t="s">
        <v>9902</v>
      </c>
      <c r="B4260" t="str">
        <f>"0089"</f>
        <v>0089</v>
      </c>
      <c r="C4260" t="str">
        <f>"273740089"</f>
        <v>273740089</v>
      </c>
      <c r="D4260" t="s">
        <v>9903</v>
      </c>
      <c r="E4260" t="s">
        <v>988</v>
      </c>
      <c r="G4260" s="1">
        <v>23240</v>
      </c>
      <c r="H4260" s="1">
        <v>37235</v>
      </c>
      <c r="I4260" t="str">
        <f>"05"</f>
        <v>05</v>
      </c>
      <c r="J4260" t="s">
        <v>58</v>
      </c>
      <c r="K4260" t="s">
        <v>98</v>
      </c>
      <c r="L4260" t="s">
        <v>37</v>
      </c>
      <c r="M4260" t="s">
        <v>117</v>
      </c>
      <c r="N4260" s="1">
        <v>41617</v>
      </c>
      <c r="O4260">
        <v>4951.96</v>
      </c>
      <c r="P4260">
        <v>1237.8599999999999</v>
      </c>
      <c r="Q4260" t="s">
        <v>28</v>
      </c>
      <c r="R4260" t="s">
        <v>71</v>
      </c>
      <c r="S4260" t="s">
        <v>373</v>
      </c>
      <c r="T4260" t="s">
        <v>374</v>
      </c>
    </row>
    <row r="4261" spans="1:20" x14ac:dyDescent="0.25">
      <c r="A4261" t="s">
        <v>9904</v>
      </c>
      <c r="B4261" t="str">
        <f>"2622"</f>
        <v>2622</v>
      </c>
      <c r="C4261" t="str">
        <f>"279022622"</f>
        <v>279022622</v>
      </c>
      <c r="D4261" t="s">
        <v>9905</v>
      </c>
      <c r="E4261" t="s">
        <v>9906</v>
      </c>
      <c r="F4261" t="s">
        <v>9907</v>
      </c>
      <c r="G4261" s="1">
        <v>28635</v>
      </c>
      <c r="H4261" s="1">
        <v>37221</v>
      </c>
      <c r="I4261" t="str">
        <f>"30"</f>
        <v>30</v>
      </c>
      <c r="J4261" t="s">
        <v>50</v>
      </c>
      <c r="K4261" t="s">
        <v>25</v>
      </c>
      <c r="L4261" t="s">
        <v>26</v>
      </c>
      <c r="M4261" t="s">
        <v>27</v>
      </c>
      <c r="N4261" s="1">
        <v>18629</v>
      </c>
      <c r="O4261">
        <v>0</v>
      </c>
      <c r="P4261">
        <v>0</v>
      </c>
      <c r="Q4261" t="s">
        <v>37</v>
      </c>
      <c r="R4261" t="s">
        <v>71</v>
      </c>
      <c r="S4261" t="s">
        <v>373</v>
      </c>
      <c r="T4261" t="s">
        <v>374</v>
      </c>
    </row>
    <row r="4262" spans="1:20" x14ac:dyDescent="0.25">
      <c r="A4262" t="s">
        <v>9908</v>
      </c>
      <c r="B4262" t="str">
        <f>"8975"</f>
        <v>8975</v>
      </c>
      <c r="C4262" t="str">
        <f>"521808975"</f>
        <v>521808975</v>
      </c>
      <c r="D4262" t="s">
        <v>2988</v>
      </c>
      <c r="E4262" t="s">
        <v>6481</v>
      </c>
      <c r="F4262" t="s">
        <v>2931</v>
      </c>
      <c r="G4262" s="1">
        <v>24924</v>
      </c>
      <c r="H4262" s="1">
        <v>37187</v>
      </c>
      <c r="I4262" t="str">
        <f>"51"</f>
        <v>51</v>
      </c>
      <c r="J4262" t="s">
        <v>471</v>
      </c>
      <c r="K4262" t="s">
        <v>25</v>
      </c>
      <c r="L4262" t="s">
        <v>26</v>
      </c>
      <c r="M4262" t="s">
        <v>27</v>
      </c>
      <c r="N4262" s="1">
        <v>18629</v>
      </c>
      <c r="O4262">
        <v>0</v>
      </c>
      <c r="P4262">
        <v>0</v>
      </c>
      <c r="Q4262" t="s">
        <v>37</v>
      </c>
      <c r="R4262" t="s">
        <v>29</v>
      </c>
      <c r="S4262" t="s">
        <v>1204</v>
      </c>
      <c r="T4262" t="s">
        <v>1205</v>
      </c>
    </row>
    <row r="4263" spans="1:20" x14ac:dyDescent="0.25">
      <c r="A4263" t="s">
        <v>9909</v>
      </c>
      <c r="B4263" t="str">
        <f>"5332"</f>
        <v>5332</v>
      </c>
      <c r="C4263" t="str">
        <f>"406985332"</f>
        <v>406985332</v>
      </c>
      <c r="D4263" t="s">
        <v>9910</v>
      </c>
      <c r="E4263" t="s">
        <v>9911</v>
      </c>
      <c r="G4263" s="1">
        <v>22143</v>
      </c>
      <c r="H4263" s="1">
        <v>37179</v>
      </c>
      <c r="I4263" t="str">
        <f>"05"</f>
        <v>05</v>
      </c>
      <c r="J4263" t="s">
        <v>58</v>
      </c>
      <c r="K4263" t="s">
        <v>175</v>
      </c>
      <c r="L4263" t="s">
        <v>37</v>
      </c>
      <c r="M4263" t="s">
        <v>257</v>
      </c>
      <c r="N4263" s="1">
        <v>41617</v>
      </c>
      <c r="O4263">
        <v>11847.94</v>
      </c>
      <c r="P4263">
        <v>2961.92</v>
      </c>
      <c r="Q4263" t="s">
        <v>37</v>
      </c>
      <c r="R4263" t="s">
        <v>29</v>
      </c>
      <c r="S4263" t="s">
        <v>185</v>
      </c>
      <c r="T4263" t="s">
        <v>186</v>
      </c>
    </row>
    <row r="4264" spans="1:20" x14ac:dyDescent="0.25">
      <c r="A4264" t="s">
        <v>9912</v>
      </c>
      <c r="B4264" t="str">
        <f>"0965"</f>
        <v>0965</v>
      </c>
      <c r="C4264" t="str">
        <f>"270520965"</f>
        <v>270520965</v>
      </c>
      <c r="D4264" t="s">
        <v>9913</v>
      </c>
      <c r="E4264" t="s">
        <v>106</v>
      </c>
      <c r="F4264" t="s">
        <v>329</v>
      </c>
      <c r="G4264" s="1">
        <v>19442</v>
      </c>
      <c r="H4264" s="1">
        <v>37179</v>
      </c>
      <c r="I4264" t="str">
        <f>"03"</f>
        <v>03</v>
      </c>
      <c r="J4264" t="s">
        <v>70</v>
      </c>
      <c r="L4264" t="s">
        <v>37</v>
      </c>
      <c r="M4264" t="s">
        <v>143</v>
      </c>
      <c r="N4264" s="1">
        <v>41617</v>
      </c>
      <c r="O4264">
        <v>185.9</v>
      </c>
      <c r="P4264">
        <v>-185.9</v>
      </c>
      <c r="Q4264" t="s">
        <v>28</v>
      </c>
      <c r="R4264" t="s">
        <v>38</v>
      </c>
      <c r="S4264" t="s">
        <v>7727</v>
      </c>
      <c r="T4264" t="s">
        <v>7728</v>
      </c>
    </row>
    <row r="4265" spans="1:20" x14ac:dyDescent="0.25">
      <c r="A4265" t="s">
        <v>9914</v>
      </c>
      <c r="B4265" t="str">
        <f>"6397"</f>
        <v>6397</v>
      </c>
      <c r="C4265" t="str">
        <f>"343566397"</f>
        <v>343566397</v>
      </c>
      <c r="D4265" t="s">
        <v>663</v>
      </c>
      <c r="E4265" t="s">
        <v>6976</v>
      </c>
      <c r="G4265" s="1">
        <v>21248</v>
      </c>
      <c r="H4265" s="1">
        <v>37179</v>
      </c>
      <c r="I4265" t="str">
        <f>"05"</f>
        <v>05</v>
      </c>
      <c r="J4265" t="s">
        <v>58</v>
      </c>
      <c r="K4265" t="s">
        <v>175</v>
      </c>
      <c r="L4265" t="s">
        <v>37</v>
      </c>
      <c r="M4265" t="s">
        <v>257</v>
      </c>
      <c r="N4265" s="1">
        <v>41617</v>
      </c>
      <c r="O4265">
        <v>11847.94</v>
      </c>
      <c r="P4265">
        <v>2961.92</v>
      </c>
      <c r="Q4265" t="s">
        <v>37</v>
      </c>
      <c r="R4265" t="s">
        <v>29</v>
      </c>
      <c r="S4265" t="s">
        <v>7727</v>
      </c>
      <c r="T4265" t="s">
        <v>7728</v>
      </c>
    </row>
    <row r="4266" spans="1:20" x14ac:dyDescent="0.25">
      <c r="A4266" t="s">
        <v>9915</v>
      </c>
      <c r="B4266" t="str">
        <f>"4404"</f>
        <v>4404</v>
      </c>
      <c r="C4266" t="str">
        <f>"290504404"</f>
        <v>290504404</v>
      </c>
      <c r="D4266" t="s">
        <v>2902</v>
      </c>
      <c r="E4266" t="s">
        <v>9916</v>
      </c>
      <c r="G4266" s="1">
        <v>19412</v>
      </c>
      <c r="H4266" s="1">
        <v>37179</v>
      </c>
      <c r="I4266" t="str">
        <f>"05"</f>
        <v>05</v>
      </c>
      <c r="J4266" t="s">
        <v>58</v>
      </c>
      <c r="K4266" t="s">
        <v>175</v>
      </c>
      <c r="L4266" t="s">
        <v>37</v>
      </c>
      <c r="M4266" t="s">
        <v>117</v>
      </c>
      <c r="N4266" s="1">
        <v>41617</v>
      </c>
      <c r="O4266">
        <v>5288.66</v>
      </c>
      <c r="P4266">
        <v>1322.1</v>
      </c>
      <c r="Q4266" t="s">
        <v>37</v>
      </c>
      <c r="R4266" t="s">
        <v>29</v>
      </c>
      <c r="S4266" t="s">
        <v>7727</v>
      </c>
      <c r="T4266" t="s">
        <v>7728</v>
      </c>
    </row>
    <row r="4267" spans="1:20" x14ac:dyDescent="0.25">
      <c r="A4267" t="s">
        <v>9917</v>
      </c>
      <c r="B4267" t="str">
        <f>"4089"</f>
        <v>4089</v>
      </c>
      <c r="C4267" t="str">
        <f>"288464089"</f>
        <v>288464089</v>
      </c>
      <c r="D4267" t="s">
        <v>4735</v>
      </c>
      <c r="E4267" t="s">
        <v>518</v>
      </c>
      <c r="G4267" s="1">
        <v>18701</v>
      </c>
      <c r="H4267" s="1">
        <v>37179</v>
      </c>
      <c r="I4267" t="str">
        <f>"05"</f>
        <v>05</v>
      </c>
      <c r="J4267" t="s">
        <v>58</v>
      </c>
      <c r="K4267" t="s">
        <v>98</v>
      </c>
      <c r="L4267" t="s">
        <v>37</v>
      </c>
      <c r="M4267" t="s">
        <v>117</v>
      </c>
      <c r="N4267" s="1">
        <v>41617</v>
      </c>
      <c r="O4267">
        <v>4951.96</v>
      </c>
      <c r="P4267">
        <v>1237.8599999999999</v>
      </c>
      <c r="Q4267" t="s">
        <v>37</v>
      </c>
      <c r="R4267" t="s">
        <v>29</v>
      </c>
      <c r="S4267" t="s">
        <v>7727</v>
      </c>
      <c r="T4267" t="s">
        <v>7728</v>
      </c>
    </row>
    <row r="4268" spans="1:20" x14ac:dyDescent="0.25">
      <c r="A4268" t="s">
        <v>9918</v>
      </c>
      <c r="B4268" t="str">
        <f>"6664"</f>
        <v>6664</v>
      </c>
      <c r="C4268" t="str">
        <f>"273526664"</f>
        <v>273526664</v>
      </c>
      <c r="D4268" t="s">
        <v>310</v>
      </c>
      <c r="E4268" t="s">
        <v>6345</v>
      </c>
      <c r="F4268" t="s">
        <v>28</v>
      </c>
      <c r="G4268" s="1">
        <v>19642</v>
      </c>
      <c r="H4268" s="1">
        <v>37179</v>
      </c>
      <c r="I4268" t="str">
        <f>"05"</f>
        <v>05</v>
      </c>
      <c r="J4268" t="s">
        <v>58</v>
      </c>
      <c r="K4268" t="s">
        <v>175</v>
      </c>
      <c r="L4268" t="s">
        <v>37</v>
      </c>
      <c r="M4268" t="s">
        <v>117</v>
      </c>
      <c r="N4268" s="1">
        <v>41617</v>
      </c>
      <c r="O4268">
        <v>5288.66</v>
      </c>
      <c r="P4268">
        <v>1322.1</v>
      </c>
      <c r="Q4268" t="s">
        <v>28</v>
      </c>
      <c r="R4268" t="s">
        <v>29</v>
      </c>
      <c r="S4268" t="s">
        <v>7727</v>
      </c>
      <c r="T4268" t="s">
        <v>7728</v>
      </c>
    </row>
    <row r="4269" spans="1:20" x14ac:dyDescent="0.25">
      <c r="A4269" t="s">
        <v>9919</v>
      </c>
      <c r="B4269" t="str">
        <f>"4975"</f>
        <v>4975</v>
      </c>
      <c r="C4269" t="str">
        <f>"017664975"</f>
        <v>017664975</v>
      </c>
      <c r="D4269" t="s">
        <v>9920</v>
      </c>
      <c r="E4269" t="s">
        <v>304</v>
      </c>
      <c r="F4269" t="s">
        <v>93</v>
      </c>
      <c r="G4269" s="1">
        <v>25768</v>
      </c>
      <c r="H4269" s="1">
        <v>37166</v>
      </c>
      <c r="I4269" t="str">
        <f>"33"</f>
        <v>33</v>
      </c>
      <c r="J4269" t="s">
        <v>45</v>
      </c>
      <c r="K4269" t="s">
        <v>25</v>
      </c>
      <c r="L4269" t="s">
        <v>26</v>
      </c>
      <c r="M4269" t="s">
        <v>27</v>
      </c>
      <c r="N4269" s="1">
        <v>18629</v>
      </c>
      <c r="O4269">
        <v>0</v>
      </c>
      <c r="P4269">
        <v>0</v>
      </c>
      <c r="Q4269" t="s">
        <v>28</v>
      </c>
      <c r="R4269" t="s">
        <v>29</v>
      </c>
      <c r="S4269" t="s">
        <v>1572</v>
      </c>
      <c r="T4269" t="s">
        <v>1573</v>
      </c>
    </row>
    <row r="4270" spans="1:20" x14ac:dyDescent="0.25">
      <c r="A4270" t="s">
        <v>9921</v>
      </c>
      <c r="B4270" t="str">
        <f>"9759"</f>
        <v>9759</v>
      </c>
      <c r="C4270" t="str">
        <f>"290669759"</f>
        <v>290669759</v>
      </c>
      <c r="D4270" t="s">
        <v>9922</v>
      </c>
      <c r="E4270" t="s">
        <v>430</v>
      </c>
      <c r="F4270" t="s">
        <v>97</v>
      </c>
      <c r="G4270" s="1">
        <v>23468</v>
      </c>
      <c r="H4270" s="1">
        <v>37161</v>
      </c>
      <c r="I4270" t="str">
        <f>"41"</f>
        <v>41</v>
      </c>
      <c r="J4270" t="s">
        <v>24</v>
      </c>
      <c r="K4270" t="s">
        <v>25</v>
      </c>
      <c r="L4270" t="s">
        <v>26</v>
      </c>
      <c r="M4270" t="s">
        <v>27</v>
      </c>
      <c r="N4270" s="1">
        <v>18629</v>
      </c>
      <c r="O4270">
        <v>0</v>
      </c>
      <c r="P4270">
        <v>0</v>
      </c>
      <c r="Q4270" t="s">
        <v>28</v>
      </c>
      <c r="R4270" t="s">
        <v>71</v>
      </c>
      <c r="S4270" t="s">
        <v>402</v>
      </c>
      <c r="T4270" t="s">
        <v>403</v>
      </c>
    </row>
    <row r="4271" spans="1:20" x14ac:dyDescent="0.25">
      <c r="A4271" t="s">
        <v>9923</v>
      </c>
      <c r="B4271" t="str">
        <f>"1099"</f>
        <v>1099</v>
      </c>
      <c r="C4271" t="str">
        <f>"294321099"</f>
        <v>294321099</v>
      </c>
      <c r="D4271" t="s">
        <v>9924</v>
      </c>
      <c r="E4271" t="s">
        <v>255</v>
      </c>
      <c r="F4271" t="s">
        <v>26</v>
      </c>
      <c r="G4271" s="1">
        <v>13988</v>
      </c>
      <c r="H4271" s="1">
        <v>37139</v>
      </c>
      <c r="I4271" t="str">
        <f>"33"</f>
        <v>33</v>
      </c>
      <c r="J4271" t="s">
        <v>45</v>
      </c>
      <c r="K4271" t="s">
        <v>25</v>
      </c>
      <c r="L4271" t="s">
        <v>26</v>
      </c>
      <c r="M4271" t="s">
        <v>27</v>
      </c>
      <c r="N4271" s="1">
        <v>18629</v>
      </c>
      <c r="O4271">
        <v>0</v>
      </c>
      <c r="P4271">
        <v>0</v>
      </c>
      <c r="Q4271" t="s">
        <v>37</v>
      </c>
      <c r="R4271" t="s">
        <v>71</v>
      </c>
      <c r="S4271" t="s">
        <v>955</v>
      </c>
      <c r="T4271" t="s">
        <v>956</v>
      </c>
    </row>
    <row r="4272" spans="1:20" x14ac:dyDescent="0.25">
      <c r="A4272" t="s">
        <v>9925</v>
      </c>
      <c r="B4272" t="str">
        <f>"1525"</f>
        <v>1525</v>
      </c>
      <c r="C4272" t="str">
        <f>"272701525"</f>
        <v>272701525</v>
      </c>
      <c r="D4272" t="s">
        <v>9926</v>
      </c>
      <c r="E4272" t="s">
        <v>5071</v>
      </c>
      <c r="F4272" t="s">
        <v>174</v>
      </c>
      <c r="G4272" s="1">
        <v>21996</v>
      </c>
      <c r="H4272" s="1">
        <v>37135</v>
      </c>
      <c r="I4272" t="str">
        <f>"12"</f>
        <v>12</v>
      </c>
      <c r="J4272" t="s">
        <v>245</v>
      </c>
      <c r="K4272" t="s">
        <v>175</v>
      </c>
      <c r="L4272" t="s">
        <v>37</v>
      </c>
      <c r="M4272" t="s">
        <v>99</v>
      </c>
      <c r="N4272" s="1">
        <v>41617</v>
      </c>
      <c r="O4272">
        <v>16411.72</v>
      </c>
      <c r="P4272">
        <v>4102.8</v>
      </c>
      <c r="Q4272" t="s">
        <v>37</v>
      </c>
      <c r="R4272" t="s">
        <v>29</v>
      </c>
      <c r="S4272" t="s">
        <v>240</v>
      </c>
      <c r="T4272" t="s">
        <v>241</v>
      </c>
    </row>
    <row r="4273" spans="1:20" x14ac:dyDescent="0.25">
      <c r="A4273" t="s">
        <v>9927</v>
      </c>
      <c r="B4273" t="str">
        <f>"4438"</f>
        <v>4438</v>
      </c>
      <c r="C4273" t="str">
        <f>"290404438"</f>
        <v>290404438</v>
      </c>
      <c r="D4273" t="s">
        <v>9928</v>
      </c>
      <c r="E4273" t="s">
        <v>304</v>
      </c>
      <c r="F4273" t="s">
        <v>44</v>
      </c>
      <c r="G4273" s="1">
        <v>16917</v>
      </c>
      <c r="H4273" s="1">
        <v>37126</v>
      </c>
      <c r="I4273" t="str">
        <f t="shared" ref="I4273:I4282" si="96">"51"</f>
        <v>51</v>
      </c>
      <c r="J4273" t="s">
        <v>471</v>
      </c>
      <c r="K4273" t="s">
        <v>25</v>
      </c>
      <c r="L4273" t="s">
        <v>26</v>
      </c>
      <c r="M4273" t="s">
        <v>27</v>
      </c>
      <c r="N4273" s="1">
        <v>18629</v>
      </c>
      <c r="O4273">
        <v>0</v>
      </c>
      <c r="P4273">
        <v>0</v>
      </c>
      <c r="Q4273" t="s">
        <v>28</v>
      </c>
      <c r="R4273" t="s">
        <v>51</v>
      </c>
      <c r="S4273" t="s">
        <v>6647</v>
      </c>
      <c r="T4273" t="s">
        <v>6648</v>
      </c>
    </row>
    <row r="4274" spans="1:20" x14ac:dyDescent="0.25">
      <c r="A4274" t="s">
        <v>9929</v>
      </c>
      <c r="B4274" t="str">
        <f>"3062"</f>
        <v>3062</v>
      </c>
      <c r="C4274" t="str">
        <f>"278503062"</f>
        <v>278503062</v>
      </c>
      <c r="D4274" t="s">
        <v>9930</v>
      </c>
      <c r="E4274" t="s">
        <v>1164</v>
      </c>
      <c r="F4274" t="s">
        <v>97</v>
      </c>
      <c r="G4274" s="1">
        <v>18996</v>
      </c>
      <c r="H4274" s="1">
        <v>37126</v>
      </c>
      <c r="I4274" t="str">
        <f t="shared" si="96"/>
        <v>51</v>
      </c>
      <c r="J4274" t="s">
        <v>471</v>
      </c>
      <c r="K4274" t="s">
        <v>25</v>
      </c>
      <c r="L4274" t="s">
        <v>26</v>
      </c>
      <c r="M4274" t="s">
        <v>27</v>
      </c>
      <c r="N4274" s="1">
        <v>18629</v>
      </c>
      <c r="O4274">
        <v>0</v>
      </c>
      <c r="P4274">
        <v>0</v>
      </c>
      <c r="Q4274" t="s">
        <v>28</v>
      </c>
      <c r="R4274" t="s">
        <v>71</v>
      </c>
      <c r="S4274" t="s">
        <v>157</v>
      </c>
      <c r="T4274" t="s">
        <v>158</v>
      </c>
    </row>
    <row r="4275" spans="1:20" x14ac:dyDescent="0.25">
      <c r="A4275" t="s">
        <v>9931</v>
      </c>
      <c r="B4275" t="str">
        <f>"9142"</f>
        <v>9142</v>
      </c>
      <c r="C4275" t="str">
        <f>"076629142"</f>
        <v>076629142</v>
      </c>
      <c r="D4275" t="s">
        <v>9932</v>
      </c>
      <c r="E4275" t="s">
        <v>178</v>
      </c>
      <c r="F4275" t="s">
        <v>97</v>
      </c>
      <c r="G4275" s="1">
        <v>22916</v>
      </c>
      <c r="H4275" s="1">
        <v>37126</v>
      </c>
      <c r="I4275" t="str">
        <f t="shared" si="96"/>
        <v>51</v>
      </c>
      <c r="J4275" t="s">
        <v>471</v>
      </c>
      <c r="K4275" t="s">
        <v>25</v>
      </c>
      <c r="L4275" t="s">
        <v>26</v>
      </c>
      <c r="M4275" t="s">
        <v>27</v>
      </c>
      <c r="N4275" s="1">
        <v>18629</v>
      </c>
      <c r="O4275">
        <v>0</v>
      </c>
      <c r="P4275">
        <v>0</v>
      </c>
      <c r="Q4275" t="s">
        <v>28</v>
      </c>
      <c r="R4275" t="s">
        <v>29</v>
      </c>
      <c r="S4275" t="s">
        <v>589</v>
      </c>
      <c r="T4275" t="s">
        <v>590</v>
      </c>
    </row>
    <row r="4276" spans="1:20" x14ac:dyDescent="0.25">
      <c r="A4276" t="s">
        <v>9933</v>
      </c>
      <c r="B4276" t="str">
        <f>"5941"</f>
        <v>5941</v>
      </c>
      <c r="C4276" t="str">
        <f>"286545941"</f>
        <v>286545941</v>
      </c>
      <c r="D4276" t="s">
        <v>4102</v>
      </c>
      <c r="E4276" t="s">
        <v>2110</v>
      </c>
      <c r="F4276" t="s">
        <v>93</v>
      </c>
      <c r="G4276" s="1">
        <v>19283</v>
      </c>
      <c r="H4276" s="1">
        <v>37126</v>
      </c>
      <c r="I4276" t="str">
        <f t="shared" si="96"/>
        <v>51</v>
      </c>
      <c r="J4276" t="s">
        <v>471</v>
      </c>
      <c r="K4276" t="s">
        <v>25</v>
      </c>
      <c r="L4276" t="s">
        <v>26</v>
      </c>
      <c r="M4276" t="s">
        <v>27</v>
      </c>
      <c r="N4276" s="1">
        <v>18629</v>
      </c>
      <c r="O4276">
        <v>0</v>
      </c>
      <c r="P4276">
        <v>0</v>
      </c>
      <c r="Q4276" t="s">
        <v>37</v>
      </c>
      <c r="R4276" t="s">
        <v>71</v>
      </c>
      <c r="S4276" t="s">
        <v>305</v>
      </c>
      <c r="T4276" t="s">
        <v>306</v>
      </c>
    </row>
    <row r="4277" spans="1:20" x14ac:dyDescent="0.25">
      <c r="A4277" t="s">
        <v>9934</v>
      </c>
      <c r="B4277" t="str">
        <f>"1155"</f>
        <v>1155</v>
      </c>
      <c r="C4277" t="str">
        <f>"276341155"</f>
        <v>276341155</v>
      </c>
      <c r="D4277" t="s">
        <v>9935</v>
      </c>
      <c r="E4277" t="s">
        <v>1381</v>
      </c>
      <c r="F4277" t="s">
        <v>6413</v>
      </c>
      <c r="G4277" s="1">
        <v>14395</v>
      </c>
      <c r="H4277" s="1">
        <v>37126</v>
      </c>
      <c r="I4277" t="str">
        <f t="shared" si="96"/>
        <v>51</v>
      </c>
      <c r="J4277" t="s">
        <v>471</v>
      </c>
      <c r="K4277" t="s">
        <v>25</v>
      </c>
      <c r="L4277" t="s">
        <v>26</v>
      </c>
      <c r="M4277" t="s">
        <v>27</v>
      </c>
      <c r="N4277" s="1">
        <v>18629</v>
      </c>
      <c r="O4277">
        <v>0</v>
      </c>
      <c r="P4277">
        <v>0</v>
      </c>
      <c r="Q4277" t="s">
        <v>28</v>
      </c>
      <c r="R4277" t="s">
        <v>71</v>
      </c>
      <c r="S4277" t="s">
        <v>2458</v>
      </c>
      <c r="T4277" t="s">
        <v>2459</v>
      </c>
    </row>
    <row r="4278" spans="1:20" x14ac:dyDescent="0.25">
      <c r="A4278" t="s">
        <v>9936</v>
      </c>
      <c r="B4278" t="str">
        <f>"1932"</f>
        <v>1932</v>
      </c>
      <c r="C4278" t="str">
        <f>"290521932"</f>
        <v>290521932</v>
      </c>
      <c r="D4278" t="s">
        <v>1853</v>
      </c>
      <c r="E4278" t="s">
        <v>304</v>
      </c>
      <c r="F4278" t="s">
        <v>3934</v>
      </c>
      <c r="G4278" s="1">
        <v>19138</v>
      </c>
      <c r="H4278" s="1">
        <v>37126</v>
      </c>
      <c r="I4278" t="str">
        <f t="shared" si="96"/>
        <v>51</v>
      </c>
      <c r="J4278" t="s">
        <v>471</v>
      </c>
      <c r="K4278" t="s">
        <v>25</v>
      </c>
      <c r="L4278" t="s">
        <v>26</v>
      </c>
      <c r="M4278" t="s">
        <v>27</v>
      </c>
      <c r="N4278" s="1">
        <v>18629</v>
      </c>
      <c r="O4278">
        <v>0</v>
      </c>
      <c r="P4278">
        <v>0</v>
      </c>
      <c r="Q4278" t="s">
        <v>28</v>
      </c>
      <c r="R4278" t="s">
        <v>71</v>
      </c>
      <c r="S4278" t="s">
        <v>923</v>
      </c>
      <c r="T4278" t="s">
        <v>924</v>
      </c>
    </row>
    <row r="4279" spans="1:20" x14ac:dyDescent="0.25">
      <c r="A4279" t="s">
        <v>9937</v>
      </c>
      <c r="B4279" t="str">
        <f>"3411"</f>
        <v>3411</v>
      </c>
      <c r="C4279" t="str">
        <f>"270263411"</f>
        <v>270263411</v>
      </c>
      <c r="D4279" t="s">
        <v>6578</v>
      </c>
      <c r="E4279" t="s">
        <v>35</v>
      </c>
      <c r="F4279" t="s">
        <v>219</v>
      </c>
      <c r="G4279" s="1">
        <v>11106</v>
      </c>
      <c r="H4279" s="1">
        <v>37126</v>
      </c>
      <c r="I4279" t="str">
        <f t="shared" si="96"/>
        <v>51</v>
      </c>
      <c r="J4279" t="s">
        <v>471</v>
      </c>
      <c r="K4279" t="s">
        <v>25</v>
      </c>
      <c r="L4279" t="s">
        <v>26</v>
      </c>
      <c r="M4279" t="s">
        <v>27</v>
      </c>
      <c r="N4279" s="1">
        <v>18629</v>
      </c>
      <c r="O4279">
        <v>0</v>
      </c>
      <c r="P4279">
        <v>0</v>
      </c>
      <c r="Q4279" t="s">
        <v>28</v>
      </c>
      <c r="R4279" t="s">
        <v>71</v>
      </c>
      <c r="S4279" t="s">
        <v>157</v>
      </c>
      <c r="T4279" t="s">
        <v>158</v>
      </c>
    </row>
    <row r="4280" spans="1:20" x14ac:dyDescent="0.25">
      <c r="A4280" t="s">
        <v>9938</v>
      </c>
      <c r="B4280" t="str">
        <f>"9313"</f>
        <v>9313</v>
      </c>
      <c r="C4280" t="str">
        <f>"275569313"</f>
        <v>275569313</v>
      </c>
      <c r="D4280" t="s">
        <v>782</v>
      </c>
      <c r="E4280" t="s">
        <v>789</v>
      </c>
      <c r="F4280" t="s">
        <v>28</v>
      </c>
      <c r="G4280" s="1">
        <v>19848</v>
      </c>
      <c r="H4280" s="1">
        <v>37126</v>
      </c>
      <c r="I4280" t="str">
        <f t="shared" si="96"/>
        <v>51</v>
      </c>
      <c r="J4280" t="s">
        <v>471</v>
      </c>
      <c r="K4280" t="s">
        <v>25</v>
      </c>
      <c r="L4280" t="s">
        <v>26</v>
      </c>
      <c r="M4280" t="s">
        <v>27</v>
      </c>
      <c r="N4280" s="1">
        <v>18629</v>
      </c>
      <c r="O4280">
        <v>0</v>
      </c>
      <c r="P4280">
        <v>0</v>
      </c>
      <c r="Q4280" t="s">
        <v>37</v>
      </c>
      <c r="R4280" t="s">
        <v>71</v>
      </c>
      <c r="S4280" t="s">
        <v>1517</v>
      </c>
      <c r="T4280" t="s">
        <v>1518</v>
      </c>
    </row>
    <row r="4281" spans="1:20" x14ac:dyDescent="0.25">
      <c r="A4281" t="s">
        <v>9939</v>
      </c>
      <c r="B4281" t="str">
        <f>"5322"</f>
        <v>5322</v>
      </c>
      <c r="C4281" t="str">
        <f>"279285322"</f>
        <v>279285322</v>
      </c>
      <c r="D4281" t="s">
        <v>9940</v>
      </c>
      <c r="E4281" t="s">
        <v>1695</v>
      </c>
      <c r="F4281" t="s">
        <v>282</v>
      </c>
      <c r="G4281" s="1">
        <v>11897</v>
      </c>
      <c r="H4281" s="1">
        <v>37126</v>
      </c>
      <c r="I4281" t="str">
        <f t="shared" si="96"/>
        <v>51</v>
      </c>
      <c r="J4281" t="s">
        <v>471</v>
      </c>
      <c r="K4281" t="s">
        <v>25</v>
      </c>
      <c r="L4281" t="s">
        <v>26</v>
      </c>
      <c r="M4281" t="s">
        <v>27</v>
      </c>
      <c r="N4281" s="1">
        <v>18629</v>
      </c>
      <c r="O4281">
        <v>0</v>
      </c>
      <c r="P4281">
        <v>0</v>
      </c>
      <c r="Q4281" t="s">
        <v>37</v>
      </c>
      <c r="R4281" t="s">
        <v>29</v>
      </c>
      <c r="S4281" t="s">
        <v>1490</v>
      </c>
      <c r="T4281" t="s">
        <v>1491</v>
      </c>
    </row>
    <row r="4282" spans="1:20" x14ac:dyDescent="0.25">
      <c r="A4282" t="s">
        <v>9941</v>
      </c>
      <c r="B4282" t="str">
        <f>"4645"</f>
        <v>4645</v>
      </c>
      <c r="C4282" t="str">
        <f>"589524645"</f>
        <v>589524645</v>
      </c>
      <c r="D4282" t="s">
        <v>9942</v>
      </c>
      <c r="E4282" t="s">
        <v>574</v>
      </c>
      <c r="F4282" t="s">
        <v>28</v>
      </c>
      <c r="G4282" s="1">
        <v>26366</v>
      </c>
      <c r="H4282" s="1">
        <v>37126</v>
      </c>
      <c r="I4282" t="str">
        <f t="shared" si="96"/>
        <v>51</v>
      </c>
      <c r="J4282" t="s">
        <v>471</v>
      </c>
      <c r="K4282" t="s">
        <v>25</v>
      </c>
      <c r="L4282" t="s">
        <v>26</v>
      </c>
      <c r="M4282" t="s">
        <v>27</v>
      </c>
      <c r="N4282" s="1">
        <v>18629</v>
      </c>
      <c r="O4282">
        <v>0</v>
      </c>
      <c r="P4282">
        <v>0</v>
      </c>
      <c r="Q4282" t="s">
        <v>37</v>
      </c>
      <c r="R4282" t="s">
        <v>71</v>
      </c>
      <c r="S4282" t="s">
        <v>3502</v>
      </c>
      <c r="T4282" t="s">
        <v>3503</v>
      </c>
    </row>
    <row r="4283" spans="1:20" x14ac:dyDescent="0.25">
      <c r="A4283" t="s">
        <v>9943</v>
      </c>
      <c r="B4283" t="str">
        <f>"3210"</f>
        <v>3210</v>
      </c>
      <c r="C4283" t="str">
        <f>"298623210"</f>
        <v>298623210</v>
      </c>
      <c r="D4283" t="s">
        <v>9944</v>
      </c>
      <c r="E4283" t="s">
        <v>178</v>
      </c>
      <c r="F4283" t="s">
        <v>264</v>
      </c>
      <c r="G4283" s="1">
        <v>24423</v>
      </c>
      <c r="H4283" s="1">
        <v>37116</v>
      </c>
      <c r="I4283" t="str">
        <f t="shared" ref="I4283:I4298" si="97">"20"</f>
        <v>20</v>
      </c>
      <c r="J4283" t="s">
        <v>123</v>
      </c>
      <c r="L4283" t="s">
        <v>37</v>
      </c>
      <c r="M4283" t="s">
        <v>143</v>
      </c>
      <c r="N4283" s="1">
        <v>41631</v>
      </c>
      <c r="O4283">
        <v>185.9</v>
      </c>
      <c r="P4283">
        <v>-185.9</v>
      </c>
      <c r="Q4283" t="s">
        <v>28</v>
      </c>
      <c r="R4283" t="s">
        <v>29</v>
      </c>
      <c r="S4283" t="s">
        <v>2066</v>
      </c>
      <c r="T4283" t="s">
        <v>2067</v>
      </c>
    </row>
    <row r="4284" spans="1:20" x14ac:dyDescent="0.25">
      <c r="A4284" t="s">
        <v>9945</v>
      </c>
      <c r="B4284" t="str">
        <f>"8685"</f>
        <v>8685</v>
      </c>
      <c r="C4284" t="str">
        <f>"371548685"</f>
        <v>371548685</v>
      </c>
      <c r="D4284" t="s">
        <v>9946</v>
      </c>
      <c r="E4284" t="s">
        <v>9947</v>
      </c>
      <c r="F4284" t="s">
        <v>219</v>
      </c>
      <c r="G4284" s="1">
        <v>19450</v>
      </c>
      <c r="H4284" s="1">
        <v>37116</v>
      </c>
      <c r="I4284" t="str">
        <f t="shared" si="97"/>
        <v>20</v>
      </c>
      <c r="J4284" t="s">
        <v>123</v>
      </c>
      <c r="K4284" t="s">
        <v>175</v>
      </c>
      <c r="L4284" t="s">
        <v>37</v>
      </c>
      <c r="M4284" t="s">
        <v>257</v>
      </c>
      <c r="N4284" s="1">
        <v>41631</v>
      </c>
      <c r="O4284">
        <v>11847.88</v>
      </c>
      <c r="P4284">
        <v>2962.08</v>
      </c>
      <c r="Q4284" t="s">
        <v>28</v>
      </c>
      <c r="R4284" t="s">
        <v>51</v>
      </c>
      <c r="S4284" s="2" t="s">
        <v>774</v>
      </c>
      <c r="T4284" t="s">
        <v>775</v>
      </c>
    </row>
    <row r="4285" spans="1:20" x14ac:dyDescent="0.25">
      <c r="A4285" t="s">
        <v>9948</v>
      </c>
      <c r="B4285" t="str">
        <f>"3532"</f>
        <v>3532</v>
      </c>
      <c r="C4285" t="str">
        <f>"281463532"</f>
        <v>281463532</v>
      </c>
      <c r="D4285" t="s">
        <v>2200</v>
      </c>
      <c r="E4285" t="s">
        <v>381</v>
      </c>
      <c r="F4285" t="s">
        <v>97</v>
      </c>
      <c r="G4285" s="1">
        <v>18963</v>
      </c>
      <c r="H4285" s="1">
        <v>37116</v>
      </c>
      <c r="I4285" t="str">
        <f t="shared" si="97"/>
        <v>20</v>
      </c>
      <c r="J4285" t="s">
        <v>123</v>
      </c>
      <c r="K4285" t="s">
        <v>98</v>
      </c>
      <c r="L4285" t="s">
        <v>37</v>
      </c>
      <c r="M4285" t="s">
        <v>257</v>
      </c>
      <c r="N4285" s="1">
        <v>41631</v>
      </c>
      <c r="O4285">
        <v>10753.16</v>
      </c>
      <c r="P4285">
        <v>2688.4</v>
      </c>
      <c r="Q4285" t="s">
        <v>37</v>
      </c>
      <c r="R4285" t="s">
        <v>71</v>
      </c>
      <c r="S4285" t="s">
        <v>1517</v>
      </c>
      <c r="T4285" t="s">
        <v>1518</v>
      </c>
    </row>
    <row r="4286" spans="1:20" x14ac:dyDescent="0.25">
      <c r="A4286" t="s">
        <v>9949</v>
      </c>
      <c r="B4286" t="str">
        <f>"7537"</f>
        <v>7537</v>
      </c>
      <c r="C4286" t="str">
        <f>"273427537"</f>
        <v>273427537</v>
      </c>
      <c r="D4286" t="s">
        <v>9950</v>
      </c>
      <c r="E4286" t="s">
        <v>304</v>
      </c>
      <c r="F4286" t="s">
        <v>556</v>
      </c>
      <c r="G4286" s="1">
        <v>20975</v>
      </c>
      <c r="H4286" s="1">
        <v>37116</v>
      </c>
      <c r="I4286" t="str">
        <f t="shared" si="97"/>
        <v>20</v>
      </c>
      <c r="J4286" t="s">
        <v>123</v>
      </c>
      <c r="K4286" t="s">
        <v>98</v>
      </c>
      <c r="L4286" t="s">
        <v>37</v>
      </c>
      <c r="M4286" t="s">
        <v>99</v>
      </c>
      <c r="N4286" s="1">
        <v>41631</v>
      </c>
      <c r="O4286">
        <v>14801.82</v>
      </c>
      <c r="P4286">
        <v>3700.4</v>
      </c>
      <c r="Q4286" t="s">
        <v>28</v>
      </c>
      <c r="R4286" t="s">
        <v>29</v>
      </c>
      <c r="S4286" t="s">
        <v>878</v>
      </c>
      <c r="T4286" t="s">
        <v>879</v>
      </c>
    </row>
    <row r="4287" spans="1:20" x14ac:dyDescent="0.25">
      <c r="A4287" t="s">
        <v>9951</v>
      </c>
      <c r="B4287" t="str">
        <f>"9839"</f>
        <v>9839</v>
      </c>
      <c r="C4287" t="str">
        <f>"034469839"</f>
        <v>034469839</v>
      </c>
      <c r="D4287" t="s">
        <v>9952</v>
      </c>
      <c r="E4287" t="s">
        <v>988</v>
      </c>
      <c r="F4287" t="s">
        <v>37</v>
      </c>
      <c r="G4287" s="1">
        <v>21632</v>
      </c>
      <c r="H4287" s="1">
        <v>37116</v>
      </c>
      <c r="I4287" t="str">
        <f t="shared" si="97"/>
        <v>20</v>
      </c>
      <c r="J4287" t="s">
        <v>123</v>
      </c>
      <c r="K4287" t="s">
        <v>98</v>
      </c>
      <c r="L4287" t="s">
        <v>37</v>
      </c>
      <c r="M4287" t="s">
        <v>117</v>
      </c>
      <c r="N4287" s="1">
        <v>41631</v>
      </c>
      <c r="O4287">
        <v>4951.9799999999996</v>
      </c>
      <c r="P4287">
        <v>1237.94</v>
      </c>
      <c r="Q4287" t="s">
        <v>28</v>
      </c>
      <c r="R4287" t="s">
        <v>29</v>
      </c>
      <c r="S4287" t="s">
        <v>1204</v>
      </c>
      <c r="T4287" t="s">
        <v>1205</v>
      </c>
    </row>
    <row r="4288" spans="1:20" x14ac:dyDescent="0.25">
      <c r="A4288" t="s">
        <v>9953</v>
      </c>
      <c r="B4288" t="str">
        <f>"8211"</f>
        <v>8211</v>
      </c>
      <c r="C4288" t="str">
        <f>"277788211"</f>
        <v>277788211</v>
      </c>
      <c r="D4288" t="s">
        <v>4797</v>
      </c>
      <c r="E4288" t="s">
        <v>1639</v>
      </c>
      <c r="F4288" t="s">
        <v>165</v>
      </c>
      <c r="G4288" s="1">
        <v>25928</v>
      </c>
      <c r="H4288" s="1">
        <v>37116</v>
      </c>
      <c r="I4288" t="str">
        <f t="shared" si="97"/>
        <v>20</v>
      </c>
      <c r="J4288" t="s">
        <v>123</v>
      </c>
      <c r="L4288" t="s">
        <v>37</v>
      </c>
      <c r="M4288" t="s">
        <v>143</v>
      </c>
      <c r="N4288" s="1">
        <v>41631</v>
      </c>
      <c r="O4288">
        <v>185.9</v>
      </c>
      <c r="P4288">
        <v>-185.9</v>
      </c>
      <c r="Q4288" t="s">
        <v>28</v>
      </c>
      <c r="R4288" t="s">
        <v>71</v>
      </c>
      <c r="S4288" t="s">
        <v>2458</v>
      </c>
      <c r="T4288" t="s">
        <v>2459</v>
      </c>
    </row>
    <row r="4289" spans="1:20" x14ac:dyDescent="0.25">
      <c r="A4289" t="s">
        <v>9954</v>
      </c>
      <c r="B4289" t="str">
        <f>"4428"</f>
        <v>4428</v>
      </c>
      <c r="C4289" t="str">
        <f>"222384428"</f>
        <v>222384428</v>
      </c>
      <c r="D4289" t="s">
        <v>4050</v>
      </c>
      <c r="E4289" t="s">
        <v>9605</v>
      </c>
      <c r="F4289" t="s">
        <v>97</v>
      </c>
      <c r="G4289" s="1">
        <v>19446</v>
      </c>
      <c r="H4289" s="1">
        <v>37116</v>
      </c>
      <c r="I4289" t="str">
        <f t="shared" si="97"/>
        <v>20</v>
      </c>
      <c r="J4289" t="s">
        <v>123</v>
      </c>
      <c r="K4289" t="s">
        <v>98</v>
      </c>
      <c r="L4289" t="s">
        <v>37</v>
      </c>
      <c r="M4289" t="s">
        <v>117</v>
      </c>
      <c r="N4289" s="1">
        <v>41631</v>
      </c>
      <c r="O4289">
        <v>4951.9799999999996</v>
      </c>
      <c r="P4289">
        <v>1237.94</v>
      </c>
      <c r="Q4289" t="s">
        <v>37</v>
      </c>
      <c r="R4289" t="s">
        <v>71</v>
      </c>
      <c r="S4289" t="s">
        <v>3635</v>
      </c>
      <c r="T4289" t="s">
        <v>3636</v>
      </c>
    </row>
    <row r="4290" spans="1:20" x14ac:dyDescent="0.25">
      <c r="A4290" t="s">
        <v>9955</v>
      </c>
      <c r="B4290" t="str">
        <f>"0664"</f>
        <v>0664</v>
      </c>
      <c r="C4290" t="str">
        <f>"298780664"</f>
        <v>298780664</v>
      </c>
      <c r="D4290" t="s">
        <v>9956</v>
      </c>
      <c r="E4290" t="s">
        <v>9957</v>
      </c>
      <c r="G4290" s="1">
        <v>25498</v>
      </c>
      <c r="H4290" s="1">
        <v>37116</v>
      </c>
      <c r="I4290" t="str">
        <f t="shared" si="97"/>
        <v>20</v>
      </c>
      <c r="J4290" t="s">
        <v>123</v>
      </c>
      <c r="K4290" t="s">
        <v>98</v>
      </c>
      <c r="L4290" t="s">
        <v>37</v>
      </c>
      <c r="M4290" t="s">
        <v>99</v>
      </c>
      <c r="N4290" s="1">
        <v>41631</v>
      </c>
      <c r="O4290">
        <v>14801.82</v>
      </c>
      <c r="P4290">
        <v>3700.4</v>
      </c>
      <c r="Q4290" t="s">
        <v>37</v>
      </c>
      <c r="R4290" t="s">
        <v>71</v>
      </c>
      <c r="S4290" t="s">
        <v>2406</v>
      </c>
      <c r="T4290" t="s">
        <v>2407</v>
      </c>
    </row>
    <row r="4291" spans="1:20" x14ac:dyDescent="0.25">
      <c r="A4291" t="s">
        <v>9958</v>
      </c>
      <c r="B4291" t="str">
        <f>"7988"</f>
        <v>7988</v>
      </c>
      <c r="C4291" t="str">
        <f>"332547988"</f>
        <v>332547988</v>
      </c>
      <c r="D4291" t="s">
        <v>782</v>
      </c>
      <c r="E4291" t="s">
        <v>1342</v>
      </c>
      <c r="G4291" s="1">
        <v>20568</v>
      </c>
      <c r="H4291" s="1">
        <v>37116</v>
      </c>
      <c r="I4291" t="str">
        <f t="shared" si="97"/>
        <v>20</v>
      </c>
      <c r="J4291" t="s">
        <v>123</v>
      </c>
      <c r="K4291" t="s">
        <v>98</v>
      </c>
      <c r="L4291" t="s">
        <v>37</v>
      </c>
      <c r="M4291" t="s">
        <v>117</v>
      </c>
      <c r="N4291" s="1">
        <v>41631</v>
      </c>
      <c r="O4291">
        <v>4951.9799999999996</v>
      </c>
      <c r="P4291">
        <v>1237.94</v>
      </c>
      <c r="Q4291" t="s">
        <v>37</v>
      </c>
      <c r="R4291" t="s">
        <v>71</v>
      </c>
      <c r="S4291" t="s">
        <v>9254</v>
      </c>
      <c r="T4291" t="s">
        <v>9255</v>
      </c>
    </row>
    <row r="4292" spans="1:20" x14ac:dyDescent="0.25">
      <c r="A4292" t="s">
        <v>9959</v>
      </c>
      <c r="B4292" t="str">
        <f>"7833"</f>
        <v>7833</v>
      </c>
      <c r="C4292" t="str">
        <f>"088607833"</f>
        <v>088607833</v>
      </c>
      <c r="D4292" t="s">
        <v>5643</v>
      </c>
      <c r="E4292" t="s">
        <v>704</v>
      </c>
      <c r="F4292" t="s">
        <v>264</v>
      </c>
      <c r="G4292" s="1">
        <v>24861</v>
      </c>
      <c r="H4292" s="1">
        <v>37116</v>
      </c>
      <c r="I4292" t="str">
        <f t="shared" si="97"/>
        <v>20</v>
      </c>
      <c r="J4292" t="s">
        <v>123</v>
      </c>
      <c r="K4292" t="s">
        <v>98</v>
      </c>
      <c r="L4292" t="s">
        <v>37</v>
      </c>
      <c r="M4292" t="s">
        <v>99</v>
      </c>
      <c r="N4292" s="1">
        <v>41631</v>
      </c>
      <c r="O4292">
        <v>14801.82</v>
      </c>
      <c r="P4292">
        <v>3700.4</v>
      </c>
      <c r="Q4292" t="s">
        <v>28</v>
      </c>
      <c r="R4292" t="s">
        <v>51</v>
      </c>
      <c r="S4292" s="2" t="s">
        <v>774</v>
      </c>
      <c r="T4292" t="s">
        <v>775</v>
      </c>
    </row>
    <row r="4293" spans="1:20" x14ac:dyDescent="0.25">
      <c r="A4293" t="s">
        <v>9960</v>
      </c>
      <c r="B4293" t="str">
        <f>"3003"</f>
        <v>3003</v>
      </c>
      <c r="C4293" t="str">
        <f>"219643003"</f>
        <v>219643003</v>
      </c>
      <c r="D4293" t="s">
        <v>9961</v>
      </c>
      <c r="E4293" t="s">
        <v>122</v>
      </c>
      <c r="F4293" t="s">
        <v>219</v>
      </c>
      <c r="G4293" s="1">
        <v>19331</v>
      </c>
      <c r="H4293" s="1">
        <v>37116</v>
      </c>
      <c r="I4293" t="str">
        <f t="shared" si="97"/>
        <v>20</v>
      </c>
      <c r="J4293" t="s">
        <v>123</v>
      </c>
      <c r="K4293" t="s">
        <v>98</v>
      </c>
      <c r="L4293" t="s">
        <v>37</v>
      </c>
      <c r="M4293" t="s">
        <v>117</v>
      </c>
      <c r="N4293" s="1">
        <v>41631</v>
      </c>
      <c r="O4293">
        <v>4951.9799999999996</v>
      </c>
      <c r="P4293">
        <v>1237.94</v>
      </c>
      <c r="Q4293" t="s">
        <v>28</v>
      </c>
      <c r="R4293" t="s">
        <v>71</v>
      </c>
      <c r="S4293" t="s">
        <v>3594</v>
      </c>
      <c r="T4293" t="s">
        <v>3595</v>
      </c>
    </row>
    <row r="4294" spans="1:20" x14ac:dyDescent="0.25">
      <c r="A4294" t="s">
        <v>9962</v>
      </c>
      <c r="B4294" t="str">
        <f>"8231"</f>
        <v>8231</v>
      </c>
      <c r="C4294" t="str">
        <f>"277428231"</f>
        <v>277428231</v>
      </c>
      <c r="D4294" t="s">
        <v>9963</v>
      </c>
      <c r="E4294" t="s">
        <v>933</v>
      </c>
      <c r="F4294" t="s">
        <v>2438</v>
      </c>
      <c r="G4294" s="1">
        <v>17128</v>
      </c>
      <c r="H4294" s="1">
        <v>37116</v>
      </c>
      <c r="I4294" t="str">
        <f t="shared" si="97"/>
        <v>20</v>
      </c>
      <c r="J4294" t="s">
        <v>123</v>
      </c>
      <c r="K4294" t="s">
        <v>98</v>
      </c>
      <c r="L4294" t="s">
        <v>37</v>
      </c>
      <c r="M4294" t="s">
        <v>117</v>
      </c>
      <c r="N4294" s="1">
        <v>41631</v>
      </c>
      <c r="O4294">
        <v>4951.9799999999996</v>
      </c>
      <c r="P4294">
        <v>1237.94</v>
      </c>
      <c r="Q4294" t="s">
        <v>28</v>
      </c>
      <c r="R4294" t="s">
        <v>29</v>
      </c>
      <c r="S4294" t="s">
        <v>83</v>
      </c>
      <c r="T4294" t="s">
        <v>84</v>
      </c>
    </row>
    <row r="4295" spans="1:20" x14ac:dyDescent="0.25">
      <c r="A4295" t="s">
        <v>9964</v>
      </c>
      <c r="B4295" t="str">
        <f>"1619"</f>
        <v>1619</v>
      </c>
      <c r="C4295" t="str">
        <f>"295461619"</f>
        <v>295461619</v>
      </c>
      <c r="D4295" t="s">
        <v>9965</v>
      </c>
      <c r="E4295" t="s">
        <v>1589</v>
      </c>
      <c r="G4295" s="1">
        <v>19918</v>
      </c>
      <c r="H4295" s="1">
        <v>37116</v>
      </c>
      <c r="I4295" t="str">
        <f t="shared" si="97"/>
        <v>20</v>
      </c>
      <c r="J4295" t="s">
        <v>123</v>
      </c>
      <c r="K4295" t="s">
        <v>98</v>
      </c>
      <c r="L4295" t="s">
        <v>37</v>
      </c>
      <c r="M4295" t="s">
        <v>99</v>
      </c>
      <c r="N4295" s="1">
        <v>41631</v>
      </c>
      <c r="O4295">
        <v>14801.82</v>
      </c>
      <c r="P4295">
        <v>3700.4</v>
      </c>
      <c r="Q4295" t="s">
        <v>37</v>
      </c>
      <c r="R4295" t="s">
        <v>29</v>
      </c>
      <c r="S4295" t="s">
        <v>1555</v>
      </c>
      <c r="T4295" t="s">
        <v>1556</v>
      </c>
    </row>
    <row r="4296" spans="1:20" x14ac:dyDescent="0.25">
      <c r="A4296" t="s">
        <v>9966</v>
      </c>
      <c r="B4296" t="str">
        <f>"4867"</f>
        <v>4867</v>
      </c>
      <c r="C4296" t="str">
        <f>"278744867"</f>
        <v>278744867</v>
      </c>
      <c r="D4296" t="s">
        <v>9967</v>
      </c>
      <c r="E4296" t="s">
        <v>9968</v>
      </c>
      <c r="F4296" t="s">
        <v>9969</v>
      </c>
      <c r="G4296" s="1">
        <v>26276</v>
      </c>
      <c r="H4296" s="1">
        <v>37116</v>
      </c>
      <c r="I4296" t="str">
        <f t="shared" si="97"/>
        <v>20</v>
      </c>
      <c r="J4296" t="s">
        <v>123</v>
      </c>
      <c r="K4296" t="s">
        <v>98</v>
      </c>
      <c r="L4296" t="s">
        <v>37</v>
      </c>
      <c r="M4296" t="s">
        <v>99</v>
      </c>
      <c r="N4296" s="1">
        <v>41631</v>
      </c>
      <c r="O4296">
        <v>14801.82</v>
      </c>
      <c r="P4296">
        <v>3700.4</v>
      </c>
      <c r="Q4296" t="s">
        <v>28</v>
      </c>
      <c r="R4296" t="s">
        <v>51</v>
      </c>
      <c r="S4296" s="2" t="s">
        <v>1656</v>
      </c>
      <c r="T4296" t="s">
        <v>1657</v>
      </c>
    </row>
    <row r="4297" spans="1:20" x14ac:dyDescent="0.25">
      <c r="A4297" t="s">
        <v>9970</v>
      </c>
      <c r="B4297" t="str">
        <f>"4740"</f>
        <v>4740</v>
      </c>
      <c r="C4297" t="str">
        <f>"289644740"</f>
        <v>289644740</v>
      </c>
      <c r="D4297" t="s">
        <v>6940</v>
      </c>
      <c r="E4297" t="s">
        <v>197</v>
      </c>
      <c r="F4297" t="s">
        <v>165</v>
      </c>
      <c r="G4297" s="1">
        <v>26923</v>
      </c>
      <c r="H4297" s="1">
        <v>37116</v>
      </c>
      <c r="I4297" t="str">
        <f t="shared" si="97"/>
        <v>20</v>
      </c>
      <c r="J4297" t="s">
        <v>123</v>
      </c>
      <c r="K4297" t="s">
        <v>98</v>
      </c>
      <c r="L4297" t="s">
        <v>37</v>
      </c>
      <c r="M4297" t="s">
        <v>99</v>
      </c>
      <c r="N4297" s="1">
        <v>41631</v>
      </c>
      <c r="O4297">
        <v>14801.82</v>
      </c>
      <c r="P4297">
        <v>3700.4</v>
      </c>
      <c r="Q4297" t="s">
        <v>28</v>
      </c>
      <c r="R4297" t="s">
        <v>51</v>
      </c>
      <c r="S4297" s="2" t="s">
        <v>1568</v>
      </c>
      <c r="T4297" t="s">
        <v>1569</v>
      </c>
    </row>
    <row r="4298" spans="1:20" x14ac:dyDescent="0.25">
      <c r="A4298" t="s">
        <v>9971</v>
      </c>
      <c r="B4298" t="str">
        <f>"5425"</f>
        <v>5425</v>
      </c>
      <c r="C4298" t="str">
        <f>"286605425"</f>
        <v>286605425</v>
      </c>
      <c r="D4298" t="s">
        <v>9972</v>
      </c>
      <c r="E4298" t="s">
        <v>430</v>
      </c>
      <c r="G4298" s="1">
        <v>24978</v>
      </c>
      <c r="H4298" s="1">
        <v>37116</v>
      </c>
      <c r="I4298" t="str">
        <f t="shared" si="97"/>
        <v>20</v>
      </c>
      <c r="J4298" t="s">
        <v>123</v>
      </c>
      <c r="K4298" t="s">
        <v>98</v>
      </c>
      <c r="L4298" t="s">
        <v>37</v>
      </c>
      <c r="M4298" t="s">
        <v>117</v>
      </c>
      <c r="N4298" s="1">
        <v>41631</v>
      </c>
      <c r="O4298">
        <v>4951.9799999999996</v>
      </c>
      <c r="P4298">
        <v>1237.94</v>
      </c>
      <c r="Q4298" t="s">
        <v>28</v>
      </c>
      <c r="R4298" t="s">
        <v>29</v>
      </c>
      <c r="S4298" t="s">
        <v>1494</v>
      </c>
      <c r="T4298" t="s">
        <v>1495</v>
      </c>
    </row>
    <row r="4299" spans="1:20" x14ac:dyDescent="0.25">
      <c r="A4299" t="s">
        <v>9973</v>
      </c>
      <c r="B4299" t="str">
        <f>"7292"</f>
        <v>7292</v>
      </c>
      <c r="C4299" t="str">
        <f>"284427292"</f>
        <v>284427292</v>
      </c>
      <c r="D4299" t="s">
        <v>9974</v>
      </c>
      <c r="E4299" t="s">
        <v>756</v>
      </c>
      <c r="F4299" t="s">
        <v>44</v>
      </c>
      <c r="G4299" s="1">
        <v>17564</v>
      </c>
      <c r="H4299" s="1">
        <v>37109</v>
      </c>
      <c r="I4299" t="str">
        <f t="shared" ref="I4299:I4307" si="98">"30"</f>
        <v>30</v>
      </c>
      <c r="J4299" t="s">
        <v>50</v>
      </c>
      <c r="K4299" t="s">
        <v>25</v>
      </c>
      <c r="L4299" t="s">
        <v>26</v>
      </c>
      <c r="M4299" t="s">
        <v>27</v>
      </c>
      <c r="N4299" s="1">
        <v>18629</v>
      </c>
      <c r="O4299">
        <v>0</v>
      </c>
      <c r="P4299">
        <v>0</v>
      </c>
      <c r="Q4299" t="s">
        <v>37</v>
      </c>
      <c r="R4299" t="s">
        <v>71</v>
      </c>
      <c r="S4299" t="s">
        <v>3003</v>
      </c>
      <c r="T4299" t="s">
        <v>3004</v>
      </c>
    </row>
    <row r="4300" spans="1:20" x14ac:dyDescent="0.25">
      <c r="A4300" t="s">
        <v>9975</v>
      </c>
      <c r="B4300" t="str">
        <f>"9551"</f>
        <v>9551</v>
      </c>
      <c r="C4300" t="str">
        <f>"290549551"</f>
        <v>290549551</v>
      </c>
      <c r="D4300" t="s">
        <v>9976</v>
      </c>
      <c r="E4300" t="s">
        <v>609</v>
      </c>
      <c r="F4300" t="s">
        <v>219</v>
      </c>
      <c r="G4300" s="1">
        <v>19794</v>
      </c>
      <c r="H4300" s="1">
        <v>37109</v>
      </c>
      <c r="I4300" t="str">
        <f t="shared" si="98"/>
        <v>30</v>
      </c>
      <c r="J4300" t="s">
        <v>50</v>
      </c>
      <c r="K4300" t="s">
        <v>25</v>
      </c>
      <c r="L4300" t="s">
        <v>26</v>
      </c>
      <c r="M4300" t="s">
        <v>27</v>
      </c>
      <c r="N4300" s="1">
        <v>18629</v>
      </c>
      <c r="O4300">
        <v>0</v>
      </c>
      <c r="P4300">
        <v>0</v>
      </c>
      <c r="Q4300" t="s">
        <v>28</v>
      </c>
      <c r="R4300" t="s">
        <v>51</v>
      </c>
      <c r="S4300" s="2" t="s">
        <v>198</v>
      </c>
      <c r="T4300" t="s">
        <v>199</v>
      </c>
    </row>
    <row r="4301" spans="1:20" x14ac:dyDescent="0.25">
      <c r="A4301" t="s">
        <v>9977</v>
      </c>
      <c r="B4301" t="str">
        <f>"4472"</f>
        <v>4472</v>
      </c>
      <c r="C4301" t="str">
        <f>"269564472"</f>
        <v>269564472</v>
      </c>
      <c r="D4301" t="s">
        <v>9483</v>
      </c>
      <c r="E4301" t="s">
        <v>358</v>
      </c>
      <c r="G4301" s="1">
        <v>23487</v>
      </c>
      <c r="H4301" s="1">
        <v>37109</v>
      </c>
      <c r="I4301" t="str">
        <f t="shared" si="98"/>
        <v>30</v>
      </c>
      <c r="J4301" t="s">
        <v>50</v>
      </c>
      <c r="K4301" t="s">
        <v>25</v>
      </c>
      <c r="L4301" t="s">
        <v>26</v>
      </c>
      <c r="M4301" t="s">
        <v>27</v>
      </c>
      <c r="N4301" s="1">
        <v>18629</v>
      </c>
      <c r="O4301">
        <v>0</v>
      </c>
      <c r="P4301">
        <v>0</v>
      </c>
      <c r="Q4301" t="s">
        <v>37</v>
      </c>
      <c r="R4301" t="s">
        <v>71</v>
      </c>
      <c r="S4301" t="s">
        <v>373</v>
      </c>
      <c r="T4301" t="s">
        <v>374</v>
      </c>
    </row>
    <row r="4302" spans="1:20" x14ac:dyDescent="0.25">
      <c r="A4302" t="s">
        <v>9978</v>
      </c>
      <c r="B4302" t="str">
        <f>"7831"</f>
        <v>7831</v>
      </c>
      <c r="C4302" t="str">
        <f>"283567831"</f>
        <v>283567831</v>
      </c>
      <c r="D4302" t="s">
        <v>9979</v>
      </c>
      <c r="E4302" t="s">
        <v>1248</v>
      </c>
      <c r="F4302" t="s">
        <v>93</v>
      </c>
      <c r="G4302" s="1">
        <v>20165</v>
      </c>
      <c r="H4302" s="1">
        <v>37109</v>
      </c>
      <c r="I4302" t="str">
        <f t="shared" si="98"/>
        <v>30</v>
      </c>
      <c r="J4302" t="s">
        <v>50</v>
      </c>
      <c r="K4302" t="s">
        <v>25</v>
      </c>
      <c r="L4302" t="s">
        <v>26</v>
      </c>
      <c r="M4302" t="s">
        <v>27</v>
      </c>
      <c r="N4302" s="1">
        <v>18629</v>
      </c>
      <c r="O4302">
        <v>0</v>
      </c>
      <c r="P4302">
        <v>0</v>
      </c>
      <c r="Q4302" t="s">
        <v>37</v>
      </c>
      <c r="R4302" t="s">
        <v>71</v>
      </c>
      <c r="S4302" t="s">
        <v>5588</v>
      </c>
      <c r="T4302" t="s">
        <v>5589</v>
      </c>
    </row>
    <row r="4303" spans="1:20" x14ac:dyDescent="0.25">
      <c r="A4303" t="s">
        <v>9980</v>
      </c>
      <c r="B4303" t="str">
        <f>"3554"</f>
        <v>3554</v>
      </c>
      <c r="C4303" t="str">
        <f>"278503554"</f>
        <v>278503554</v>
      </c>
      <c r="D4303" t="s">
        <v>7328</v>
      </c>
      <c r="E4303" t="s">
        <v>870</v>
      </c>
      <c r="F4303" t="s">
        <v>174</v>
      </c>
      <c r="G4303" s="1">
        <v>18916</v>
      </c>
      <c r="H4303" s="1">
        <v>37109</v>
      </c>
      <c r="I4303" t="str">
        <f t="shared" si="98"/>
        <v>30</v>
      </c>
      <c r="J4303" t="s">
        <v>50</v>
      </c>
      <c r="K4303" t="s">
        <v>25</v>
      </c>
      <c r="L4303" t="s">
        <v>26</v>
      </c>
      <c r="M4303" t="s">
        <v>27</v>
      </c>
      <c r="N4303" s="1">
        <v>18629</v>
      </c>
      <c r="O4303">
        <v>0</v>
      </c>
      <c r="P4303">
        <v>0</v>
      </c>
      <c r="Q4303" t="s">
        <v>37</v>
      </c>
      <c r="R4303" t="s">
        <v>71</v>
      </c>
      <c r="S4303" t="s">
        <v>209</v>
      </c>
      <c r="T4303" t="s">
        <v>210</v>
      </c>
    </row>
    <row r="4304" spans="1:20" x14ac:dyDescent="0.25">
      <c r="A4304" t="s">
        <v>9981</v>
      </c>
      <c r="B4304" t="str">
        <f>"2266"</f>
        <v>2266</v>
      </c>
      <c r="C4304" t="str">
        <f>"280642266"</f>
        <v>280642266</v>
      </c>
      <c r="D4304" t="s">
        <v>269</v>
      </c>
      <c r="E4304" t="s">
        <v>197</v>
      </c>
      <c r="G4304" s="1">
        <v>26631</v>
      </c>
      <c r="H4304" s="1">
        <v>37109</v>
      </c>
      <c r="I4304" t="str">
        <f t="shared" si="98"/>
        <v>30</v>
      </c>
      <c r="J4304" t="s">
        <v>50</v>
      </c>
      <c r="K4304" t="s">
        <v>25</v>
      </c>
      <c r="L4304" t="s">
        <v>26</v>
      </c>
      <c r="M4304" t="s">
        <v>27</v>
      </c>
      <c r="N4304" s="1">
        <v>18629</v>
      </c>
      <c r="O4304">
        <v>0</v>
      </c>
      <c r="P4304">
        <v>0</v>
      </c>
      <c r="Q4304" t="s">
        <v>28</v>
      </c>
      <c r="R4304" t="s">
        <v>51</v>
      </c>
      <c r="S4304" s="2" t="s">
        <v>198</v>
      </c>
      <c r="T4304" t="s">
        <v>199</v>
      </c>
    </row>
    <row r="4305" spans="1:20" x14ac:dyDescent="0.25">
      <c r="A4305" t="s">
        <v>9982</v>
      </c>
      <c r="B4305" t="str">
        <f>"9142"</f>
        <v>9142</v>
      </c>
      <c r="C4305" t="str">
        <f>"300589142"</f>
        <v>300589142</v>
      </c>
      <c r="D4305" t="s">
        <v>9983</v>
      </c>
      <c r="E4305" t="s">
        <v>1074</v>
      </c>
      <c r="F4305" t="s">
        <v>44</v>
      </c>
      <c r="G4305" s="1">
        <v>20907</v>
      </c>
      <c r="H4305" s="1">
        <v>37109</v>
      </c>
      <c r="I4305" t="str">
        <f t="shared" si="98"/>
        <v>30</v>
      </c>
      <c r="J4305" t="s">
        <v>50</v>
      </c>
      <c r="K4305" t="s">
        <v>25</v>
      </c>
      <c r="L4305" t="s">
        <v>26</v>
      </c>
      <c r="M4305" t="s">
        <v>27</v>
      </c>
      <c r="N4305" s="1">
        <v>18629</v>
      </c>
      <c r="O4305">
        <v>0</v>
      </c>
      <c r="P4305">
        <v>0</v>
      </c>
      <c r="Q4305" t="s">
        <v>37</v>
      </c>
      <c r="R4305" t="s">
        <v>71</v>
      </c>
      <c r="S4305" t="s">
        <v>522</v>
      </c>
      <c r="T4305" t="s">
        <v>523</v>
      </c>
    </row>
    <row r="4306" spans="1:20" x14ac:dyDescent="0.25">
      <c r="A4306" t="s">
        <v>9984</v>
      </c>
      <c r="B4306" t="str">
        <f>"5252"</f>
        <v>5252</v>
      </c>
      <c r="C4306" t="str">
        <f>"295425252"</f>
        <v>295425252</v>
      </c>
      <c r="D4306" t="s">
        <v>9985</v>
      </c>
      <c r="E4306" t="s">
        <v>22</v>
      </c>
      <c r="G4306" s="1">
        <v>16700</v>
      </c>
      <c r="H4306" s="1">
        <v>37109</v>
      </c>
      <c r="I4306" t="str">
        <f t="shared" si="98"/>
        <v>30</v>
      </c>
      <c r="J4306" t="s">
        <v>50</v>
      </c>
      <c r="K4306" t="s">
        <v>25</v>
      </c>
      <c r="L4306" t="s">
        <v>26</v>
      </c>
      <c r="M4306" t="s">
        <v>27</v>
      </c>
      <c r="N4306" s="1">
        <v>18629</v>
      </c>
      <c r="O4306">
        <v>0</v>
      </c>
      <c r="P4306">
        <v>0</v>
      </c>
      <c r="Q4306" t="s">
        <v>28</v>
      </c>
      <c r="R4306" t="s">
        <v>29</v>
      </c>
      <c r="S4306" t="s">
        <v>240</v>
      </c>
      <c r="T4306" t="s">
        <v>241</v>
      </c>
    </row>
    <row r="4307" spans="1:20" x14ac:dyDescent="0.25">
      <c r="A4307" t="s">
        <v>9986</v>
      </c>
      <c r="B4307" t="str">
        <f>"3005"</f>
        <v>3005</v>
      </c>
      <c r="C4307" t="str">
        <f>"279963005"</f>
        <v>279963005</v>
      </c>
      <c r="D4307" t="s">
        <v>9987</v>
      </c>
      <c r="E4307" t="s">
        <v>9988</v>
      </c>
      <c r="F4307" t="s">
        <v>264</v>
      </c>
      <c r="G4307" s="1">
        <v>17865</v>
      </c>
      <c r="H4307" s="1">
        <v>37109</v>
      </c>
      <c r="I4307" t="str">
        <f t="shared" si="98"/>
        <v>30</v>
      </c>
      <c r="J4307" t="s">
        <v>50</v>
      </c>
      <c r="K4307" t="s">
        <v>25</v>
      </c>
      <c r="L4307" t="s">
        <v>26</v>
      </c>
      <c r="M4307" t="s">
        <v>27</v>
      </c>
      <c r="N4307" s="1">
        <v>18629</v>
      </c>
      <c r="O4307">
        <v>0</v>
      </c>
      <c r="P4307">
        <v>0</v>
      </c>
      <c r="Q4307" t="s">
        <v>37</v>
      </c>
      <c r="R4307" t="s">
        <v>71</v>
      </c>
      <c r="S4307" t="s">
        <v>373</v>
      </c>
      <c r="T4307" t="s">
        <v>374</v>
      </c>
    </row>
    <row r="4308" spans="1:20" x14ac:dyDescent="0.25">
      <c r="A4308" t="s">
        <v>9989</v>
      </c>
      <c r="B4308" t="str">
        <f>"7786"</f>
        <v>7786</v>
      </c>
      <c r="C4308" t="str">
        <f>"282607786"</f>
        <v>282607786</v>
      </c>
      <c r="D4308" t="s">
        <v>9990</v>
      </c>
      <c r="E4308" t="s">
        <v>304</v>
      </c>
      <c r="G4308" s="1">
        <v>25066</v>
      </c>
      <c r="H4308" s="1">
        <v>37095</v>
      </c>
      <c r="I4308" t="str">
        <f>"02"</f>
        <v>02</v>
      </c>
      <c r="J4308" t="s">
        <v>9991</v>
      </c>
      <c r="K4308" t="s">
        <v>98</v>
      </c>
      <c r="L4308" t="s">
        <v>37</v>
      </c>
      <c r="M4308" t="s">
        <v>117</v>
      </c>
      <c r="N4308" s="1">
        <v>41617</v>
      </c>
      <c r="O4308">
        <v>4951.96</v>
      </c>
      <c r="P4308">
        <v>1237.8599999999999</v>
      </c>
      <c r="Q4308" t="s">
        <v>28</v>
      </c>
      <c r="R4308" t="s">
        <v>110</v>
      </c>
      <c r="S4308" t="s">
        <v>1963</v>
      </c>
      <c r="T4308" t="s">
        <v>1964</v>
      </c>
    </row>
    <row r="4309" spans="1:20" x14ac:dyDescent="0.25">
      <c r="A4309" t="s">
        <v>9992</v>
      </c>
      <c r="B4309" t="str">
        <f>"7481"</f>
        <v>7481</v>
      </c>
      <c r="C4309" t="str">
        <f>"284407481"</f>
        <v>284407481</v>
      </c>
      <c r="D4309" t="s">
        <v>9993</v>
      </c>
      <c r="E4309" t="s">
        <v>189</v>
      </c>
      <c r="F4309" t="s">
        <v>3696</v>
      </c>
      <c r="G4309" s="1">
        <v>16308</v>
      </c>
      <c r="H4309" s="1">
        <v>37067</v>
      </c>
      <c r="I4309" t="str">
        <f>"41"</f>
        <v>41</v>
      </c>
      <c r="J4309" t="s">
        <v>24</v>
      </c>
      <c r="K4309" t="s">
        <v>25</v>
      </c>
      <c r="L4309" t="s">
        <v>26</v>
      </c>
      <c r="M4309" t="s">
        <v>27</v>
      </c>
      <c r="N4309" s="1">
        <v>18629</v>
      </c>
      <c r="O4309">
        <v>0</v>
      </c>
      <c r="P4309">
        <v>0</v>
      </c>
      <c r="Q4309" t="s">
        <v>37</v>
      </c>
      <c r="R4309" t="s">
        <v>51</v>
      </c>
      <c r="S4309" t="s">
        <v>4743</v>
      </c>
      <c r="T4309" t="s">
        <v>4744</v>
      </c>
    </row>
    <row r="4310" spans="1:20" x14ac:dyDescent="0.25">
      <c r="A4310" t="s">
        <v>9994</v>
      </c>
      <c r="B4310" t="str">
        <f>"1962"</f>
        <v>1962</v>
      </c>
      <c r="C4310" t="str">
        <f>"425711962"</f>
        <v>425711962</v>
      </c>
      <c r="D4310" t="s">
        <v>5960</v>
      </c>
      <c r="E4310" t="s">
        <v>9995</v>
      </c>
      <c r="G4310" s="1">
        <v>23905</v>
      </c>
      <c r="H4310" s="1">
        <v>37040</v>
      </c>
      <c r="I4310" t="str">
        <f>"51"</f>
        <v>51</v>
      </c>
      <c r="J4310" t="s">
        <v>471</v>
      </c>
      <c r="K4310" t="s">
        <v>25</v>
      </c>
      <c r="L4310" t="s">
        <v>26</v>
      </c>
      <c r="M4310" t="s">
        <v>27</v>
      </c>
      <c r="N4310" s="1">
        <v>18629</v>
      </c>
      <c r="O4310">
        <v>0</v>
      </c>
      <c r="P4310">
        <v>0</v>
      </c>
      <c r="Q4310" t="s">
        <v>37</v>
      </c>
      <c r="R4310" t="s">
        <v>51</v>
      </c>
      <c r="S4310" t="s">
        <v>1288</v>
      </c>
      <c r="T4310" t="s">
        <v>1289</v>
      </c>
    </row>
    <row r="4311" spans="1:20" x14ac:dyDescent="0.25">
      <c r="A4311" t="s">
        <v>9996</v>
      </c>
      <c r="B4311" t="str">
        <f>"4067"</f>
        <v>4067</v>
      </c>
      <c r="C4311" t="str">
        <f>"276724067"</f>
        <v>276724067</v>
      </c>
      <c r="D4311" t="s">
        <v>9997</v>
      </c>
      <c r="E4311" t="s">
        <v>832</v>
      </c>
      <c r="F4311" t="s">
        <v>3934</v>
      </c>
      <c r="G4311" s="1">
        <v>26331</v>
      </c>
      <c r="H4311" s="1">
        <v>37040</v>
      </c>
      <c r="I4311" t="str">
        <f>"51"</f>
        <v>51</v>
      </c>
      <c r="J4311" t="s">
        <v>471</v>
      </c>
      <c r="K4311" t="s">
        <v>25</v>
      </c>
      <c r="L4311" t="s">
        <v>26</v>
      </c>
      <c r="M4311" t="s">
        <v>27</v>
      </c>
      <c r="N4311" s="1">
        <v>18629</v>
      </c>
      <c r="O4311">
        <v>0</v>
      </c>
      <c r="P4311">
        <v>0</v>
      </c>
      <c r="Q4311" t="s">
        <v>28</v>
      </c>
      <c r="R4311" t="s">
        <v>51</v>
      </c>
      <c r="S4311" s="2" t="s">
        <v>774</v>
      </c>
      <c r="T4311" t="s">
        <v>775</v>
      </c>
    </row>
    <row r="4312" spans="1:20" x14ac:dyDescent="0.25">
      <c r="A4312" t="s">
        <v>9998</v>
      </c>
      <c r="B4312" t="str">
        <f>"1197"</f>
        <v>1197</v>
      </c>
      <c r="C4312" t="str">
        <f>"271781197"</f>
        <v>271781197</v>
      </c>
      <c r="D4312" t="s">
        <v>9999</v>
      </c>
      <c r="E4312" t="s">
        <v>106</v>
      </c>
      <c r="G4312" s="1">
        <v>24701</v>
      </c>
      <c r="H4312" s="1">
        <v>36976</v>
      </c>
      <c r="I4312" t="str">
        <f>"51"</f>
        <v>51</v>
      </c>
      <c r="J4312" t="s">
        <v>471</v>
      </c>
      <c r="K4312" t="s">
        <v>25</v>
      </c>
      <c r="L4312" t="s">
        <v>26</v>
      </c>
      <c r="M4312" t="s">
        <v>27</v>
      </c>
      <c r="N4312" s="1">
        <v>18629</v>
      </c>
      <c r="O4312">
        <v>0</v>
      </c>
      <c r="P4312">
        <v>0</v>
      </c>
      <c r="Q4312" t="s">
        <v>28</v>
      </c>
      <c r="R4312" t="s">
        <v>312</v>
      </c>
      <c r="S4312" t="s">
        <v>2054</v>
      </c>
      <c r="T4312" t="s">
        <v>2055</v>
      </c>
    </row>
    <row r="4313" spans="1:20" x14ac:dyDescent="0.25">
      <c r="A4313" t="s">
        <v>10000</v>
      </c>
      <c r="B4313" t="str">
        <f>"6897"</f>
        <v>6897</v>
      </c>
      <c r="C4313" t="str">
        <f>"276686897"</f>
        <v>276686897</v>
      </c>
      <c r="D4313" t="s">
        <v>452</v>
      </c>
      <c r="E4313" t="s">
        <v>2794</v>
      </c>
      <c r="F4313" t="s">
        <v>329</v>
      </c>
      <c r="G4313" s="1">
        <v>27465</v>
      </c>
      <c r="H4313" s="1">
        <v>36972</v>
      </c>
      <c r="I4313" t="str">
        <f>"33"</f>
        <v>33</v>
      </c>
      <c r="J4313" t="s">
        <v>45</v>
      </c>
      <c r="K4313" t="s">
        <v>25</v>
      </c>
      <c r="L4313" t="s">
        <v>26</v>
      </c>
      <c r="M4313" t="s">
        <v>27</v>
      </c>
      <c r="N4313" s="1">
        <v>18629</v>
      </c>
      <c r="O4313">
        <v>0</v>
      </c>
      <c r="P4313">
        <v>0</v>
      </c>
      <c r="Q4313" t="s">
        <v>28</v>
      </c>
      <c r="R4313" t="s">
        <v>71</v>
      </c>
      <c r="S4313" t="s">
        <v>955</v>
      </c>
      <c r="T4313" t="s">
        <v>956</v>
      </c>
    </row>
    <row r="4314" spans="1:20" x14ac:dyDescent="0.25">
      <c r="A4314" t="s">
        <v>10001</v>
      </c>
      <c r="B4314" t="str">
        <f>"6259"</f>
        <v>6259</v>
      </c>
      <c r="C4314" t="str">
        <f>"271766259"</f>
        <v>271766259</v>
      </c>
      <c r="D4314" t="s">
        <v>10002</v>
      </c>
      <c r="E4314" t="s">
        <v>10003</v>
      </c>
      <c r="G4314" s="1">
        <v>18334</v>
      </c>
      <c r="H4314" s="1">
        <v>36969</v>
      </c>
      <c r="I4314" t="str">
        <f>"33"</f>
        <v>33</v>
      </c>
      <c r="J4314" t="s">
        <v>45</v>
      </c>
      <c r="K4314" t="s">
        <v>25</v>
      </c>
      <c r="L4314" t="s">
        <v>26</v>
      </c>
      <c r="M4314" t="s">
        <v>27</v>
      </c>
      <c r="N4314" s="1">
        <v>18629</v>
      </c>
      <c r="O4314">
        <v>0</v>
      </c>
      <c r="P4314">
        <v>0</v>
      </c>
      <c r="Q4314" t="s">
        <v>37</v>
      </c>
      <c r="R4314" t="s">
        <v>51</v>
      </c>
      <c r="S4314" t="s">
        <v>795</v>
      </c>
      <c r="T4314" t="s">
        <v>796</v>
      </c>
    </row>
    <row r="4315" spans="1:20" x14ac:dyDescent="0.25">
      <c r="A4315" t="s">
        <v>10004</v>
      </c>
      <c r="B4315" t="str">
        <f>"6769"</f>
        <v>6769</v>
      </c>
      <c r="C4315" t="str">
        <f>"289926769"</f>
        <v>289926769</v>
      </c>
      <c r="D4315" t="s">
        <v>10005</v>
      </c>
      <c r="E4315" t="s">
        <v>10006</v>
      </c>
      <c r="G4315" s="1">
        <v>20943</v>
      </c>
      <c r="H4315" s="1">
        <v>36955</v>
      </c>
      <c r="I4315" t="str">
        <f>"12"</f>
        <v>12</v>
      </c>
      <c r="J4315" t="s">
        <v>245</v>
      </c>
      <c r="K4315" t="s">
        <v>98</v>
      </c>
      <c r="L4315" t="s">
        <v>37</v>
      </c>
      <c r="M4315" t="s">
        <v>99</v>
      </c>
      <c r="N4315" s="1">
        <v>41617</v>
      </c>
      <c r="O4315">
        <v>14801.8</v>
      </c>
      <c r="P4315">
        <v>3700.32</v>
      </c>
      <c r="Q4315" t="s">
        <v>28</v>
      </c>
      <c r="R4315" t="s">
        <v>29</v>
      </c>
      <c r="S4315" t="s">
        <v>5068</v>
      </c>
      <c r="T4315" t="s">
        <v>5069</v>
      </c>
    </row>
    <row r="4316" spans="1:20" x14ac:dyDescent="0.25">
      <c r="A4316" t="s">
        <v>10007</v>
      </c>
      <c r="B4316" t="str">
        <f>"8053"</f>
        <v>8053</v>
      </c>
      <c r="C4316" t="str">
        <f>"141428053"</f>
        <v>141428053</v>
      </c>
      <c r="D4316" t="s">
        <v>10008</v>
      </c>
      <c r="E4316" t="s">
        <v>1666</v>
      </c>
      <c r="F4316" t="s">
        <v>239</v>
      </c>
      <c r="G4316" s="1">
        <v>17555</v>
      </c>
      <c r="H4316" s="1">
        <v>36951</v>
      </c>
      <c r="I4316" t="str">
        <f>"50"</f>
        <v>50</v>
      </c>
      <c r="J4316" t="s">
        <v>208</v>
      </c>
      <c r="K4316" t="s">
        <v>25</v>
      </c>
      <c r="L4316" t="s">
        <v>26</v>
      </c>
      <c r="M4316" t="s">
        <v>27</v>
      </c>
      <c r="N4316" s="1">
        <v>18629</v>
      </c>
      <c r="O4316">
        <v>0</v>
      </c>
      <c r="P4316">
        <v>0</v>
      </c>
      <c r="Q4316" t="s">
        <v>37</v>
      </c>
      <c r="R4316" t="s">
        <v>71</v>
      </c>
      <c r="S4316" t="s">
        <v>246</v>
      </c>
      <c r="T4316" t="s">
        <v>247</v>
      </c>
    </row>
    <row r="4317" spans="1:20" x14ac:dyDescent="0.25">
      <c r="A4317" t="s">
        <v>10009</v>
      </c>
      <c r="B4317" t="str">
        <f>"4602"</f>
        <v>4602</v>
      </c>
      <c r="C4317" t="str">
        <f>"289544602"</f>
        <v>289544602</v>
      </c>
      <c r="D4317" t="s">
        <v>10010</v>
      </c>
      <c r="E4317" t="s">
        <v>5538</v>
      </c>
      <c r="F4317" t="s">
        <v>28</v>
      </c>
      <c r="G4317" s="1">
        <v>24961</v>
      </c>
      <c r="H4317" s="1">
        <v>36941</v>
      </c>
      <c r="I4317" t="str">
        <f>"51"</f>
        <v>51</v>
      </c>
      <c r="J4317" t="s">
        <v>471</v>
      </c>
      <c r="K4317" t="s">
        <v>25</v>
      </c>
      <c r="L4317" t="s">
        <v>26</v>
      </c>
      <c r="M4317" t="s">
        <v>27</v>
      </c>
      <c r="N4317" s="1">
        <v>18629</v>
      </c>
      <c r="O4317">
        <v>0</v>
      </c>
      <c r="P4317">
        <v>0</v>
      </c>
      <c r="Q4317" t="s">
        <v>37</v>
      </c>
      <c r="R4317" t="s">
        <v>71</v>
      </c>
      <c r="S4317" t="s">
        <v>2458</v>
      </c>
      <c r="T4317" t="s">
        <v>2459</v>
      </c>
    </row>
    <row r="4318" spans="1:20" x14ac:dyDescent="0.25">
      <c r="A4318" t="s">
        <v>10011</v>
      </c>
      <c r="B4318" t="str">
        <f>"8519"</f>
        <v>8519</v>
      </c>
      <c r="C4318" t="str">
        <f>"277468519"</f>
        <v>277468519</v>
      </c>
      <c r="D4318" t="s">
        <v>10012</v>
      </c>
      <c r="E4318" t="s">
        <v>122</v>
      </c>
      <c r="F4318" t="s">
        <v>165</v>
      </c>
      <c r="G4318" s="1">
        <v>23313</v>
      </c>
      <c r="H4318" s="1">
        <v>36914</v>
      </c>
      <c r="I4318" t="str">
        <f>"33"</f>
        <v>33</v>
      </c>
      <c r="J4318" t="s">
        <v>45</v>
      </c>
      <c r="K4318" t="s">
        <v>25</v>
      </c>
      <c r="L4318" t="s">
        <v>26</v>
      </c>
      <c r="M4318" t="s">
        <v>27</v>
      </c>
      <c r="N4318" s="1">
        <v>18629</v>
      </c>
      <c r="O4318">
        <v>0</v>
      </c>
      <c r="P4318">
        <v>0</v>
      </c>
      <c r="Q4318" t="s">
        <v>28</v>
      </c>
      <c r="R4318" t="s">
        <v>71</v>
      </c>
      <c r="S4318" t="s">
        <v>955</v>
      </c>
      <c r="T4318" t="s">
        <v>956</v>
      </c>
    </row>
    <row r="4319" spans="1:20" x14ac:dyDescent="0.25">
      <c r="A4319" t="s">
        <v>10013</v>
      </c>
      <c r="B4319" t="str">
        <f>"1530"</f>
        <v>1530</v>
      </c>
      <c r="C4319" t="str">
        <f>"582311530"</f>
        <v>582311530</v>
      </c>
      <c r="D4319" t="s">
        <v>10014</v>
      </c>
      <c r="E4319" t="s">
        <v>2969</v>
      </c>
      <c r="G4319" s="1">
        <v>26433</v>
      </c>
      <c r="H4319" s="1">
        <v>36913</v>
      </c>
      <c r="I4319" t="str">
        <f>"12"</f>
        <v>12</v>
      </c>
      <c r="J4319" t="s">
        <v>245</v>
      </c>
      <c r="K4319" t="s">
        <v>98</v>
      </c>
      <c r="L4319" t="s">
        <v>37</v>
      </c>
      <c r="M4319" t="s">
        <v>99</v>
      </c>
      <c r="N4319" s="1">
        <v>41617</v>
      </c>
      <c r="O4319">
        <v>14801.8</v>
      </c>
      <c r="P4319">
        <v>3700.32</v>
      </c>
      <c r="Q4319" t="s">
        <v>28</v>
      </c>
      <c r="R4319" t="s">
        <v>29</v>
      </c>
      <c r="S4319" t="s">
        <v>514</v>
      </c>
      <c r="T4319" t="s">
        <v>515</v>
      </c>
    </row>
    <row r="4320" spans="1:20" x14ac:dyDescent="0.25">
      <c r="A4320" t="s">
        <v>10015</v>
      </c>
      <c r="B4320" t="str">
        <f>"4217"</f>
        <v>4217</v>
      </c>
      <c r="C4320" t="str">
        <f>"187744217"</f>
        <v>187744217</v>
      </c>
      <c r="D4320" t="s">
        <v>10016</v>
      </c>
      <c r="E4320" t="s">
        <v>10017</v>
      </c>
      <c r="G4320" s="1">
        <v>23034</v>
      </c>
      <c r="H4320" s="1">
        <v>36907</v>
      </c>
      <c r="I4320" t="str">
        <f>"20"</f>
        <v>20</v>
      </c>
      <c r="J4320" t="s">
        <v>123</v>
      </c>
      <c r="K4320" t="s">
        <v>98</v>
      </c>
      <c r="L4320" t="s">
        <v>37</v>
      </c>
      <c r="M4320" t="s">
        <v>99</v>
      </c>
      <c r="N4320" s="1">
        <v>41631</v>
      </c>
      <c r="O4320">
        <v>14801.82</v>
      </c>
      <c r="P4320">
        <v>3700.4</v>
      </c>
      <c r="Q4320" t="s">
        <v>28</v>
      </c>
      <c r="R4320" t="s">
        <v>51</v>
      </c>
      <c r="S4320" s="2" t="s">
        <v>683</v>
      </c>
      <c r="T4320" t="s">
        <v>684</v>
      </c>
    </row>
    <row r="4321" spans="1:20" x14ac:dyDescent="0.25">
      <c r="A4321" t="s">
        <v>10018</v>
      </c>
      <c r="B4321" t="str">
        <f>"9714"</f>
        <v>9714</v>
      </c>
      <c r="C4321" t="str">
        <f>"278749714"</f>
        <v>278749714</v>
      </c>
      <c r="D4321" t="s">
        <v>10019</v>
      </c>
      <c r="E4321" t="s">
        <v>57</v>
      </c>
      <c r="F4321" t="s">
        <v>430</v>
      </c>
      <c r="G4321" s="1">
        <v>28813</v>
      </c>
      <c r="H4321" s="1">
        <v>36907</v>
      </c>
      <c r="I4321" t="str">
        <f t="shared" ref="I4321:I4330" si="99">"51"</f>
        <v>51</v>
      </c>
      <c r="J4321" t="s">
        <v>471</v>
      </c>
      <c r="K4321" t="s">
        <v>25</v>
      </c>
      <c r="L4321" t="s">
        <v>26</v>
      </c>
      <c r="M4321" t="s">
        <v>27</v>
      </c>
      <c r="N4321" s="1">
        <v>18629</v>
      </c>
      <c r="O4321">
        <v>0</v>
      </c>
      <c r="P4321">
        <v>0</v>
      </c>
      <c r="Q4321" t="s">
        <v>28</v>
      </c>
      <c r="R4321" t="s">
        <v>51</v>
      </c>
      <c r="S4321" t="s">
        <v>5366</v>
      </c>
      <c r="T4321" t="s">
        <v>5367</v>
      </c>
    </row>
    <row r="4322" spans="1:20" x14ac:dyDescent="0.25">
      <c r="A4322" t="s">
        <v>10020</v>
      </c>
      <c r="B4322" t="str">
        <f>"9660"</f>
        <v>9660</v>
      </c>
      <c r="C4322" t="str">
        <f>"289509660"</f>
        <v>289509660</v>
      </c>
      <c r="D4322" t="s">
        <v>4261</v>
      </c>
      <c r="E4322" t="s">
        <v>1981</v>
      </c>
      <c r="F4322" t="s">
        <v>256</v>
      </c>
      <c r="G4322" s="1">
        <v>18679</v>
      </c>
      <c r="H4322" s="1">
        <v>36907</v>
      </c>
      <c r="I4322" t="str">
        <f t="shared" si="99"/>
        <v>51</v>
      </c>
      <c r="J4322" t="s">
        <v>471</v>
      </c>
      <c r="K4322" t="s">
        <v>25</v>
      </c>
      <c r="L4322" t="s">
        <v>26</v>
      </c>
      <c r="M4322" t="s">
        <v>27</v>
      </c>
      <c r="N4322" s="1">
        <v>18629</v>
      </c>
      <c r="O4322">
        <v>0</v>
      </c>
      <c r="P4322">
        <v>0</v>
      </c>
      <c r="Q4322" t="s">
        <v>37</v>
      </c>
      <c r="R4322" t="s">
        <v>29</v>
      </c>
      <c r="S4322" t="s">
        <v>1075</v>
      </c>
      <c r="T4322" t="s">
        <v>1076</v>
      </c>
    </row>
    <row r="4323" spans="1:20" x14ac:dyDescent="0.25">
      <c r="A4323" t="s">
        <v>10021</v>
      </c>
      <c r="B4323" t="str">
        <f>"3035"</f>
        <v>3035</v>
      </c>
      <c r="C4323" t="str">
        <f>"268823035"</f>
        <v>268823035</v>
      </c>
      <c r="D4323" t="s">
        <v>1045</v>
      </c>
      <c r="E4323" t="s">
        <v>106</v>
      </c>
      <c r="F4323" t="s">
        <v>219</v>
      </c>
      <c r="G4323" s="1">
        <v>25571</v>
      </c>
      <c r="H4323" s="1">
        <v>36907</v>
      </c>
      <c r="I4323" t="str">
        <f t="shared" si="99"/>
        <v>51</v>
      </c>
      <c r="J4323" t="s">
        <v>471</v>
      </c>
      <c r="K4323" t="s">
        <v>25</v>
      </c>
      <c r="L4323" t="s">
        <v>26</v>
      </c>
      <c r="M4323" t="s">
        <v>27</v>
      </c>
      <c r="N4323" s="1">
        <v>18629</v>
      </c>
      <c r="O4323">
        <v>0</v>
      </c>
      <c r="P4323">
        <v>0</v>
      </c>
      <c r="Q4323" t="s">
        <v>28</v>
      </c>
      <c r="R4323" t="s">
        <v>71</v>
      </c>
      <c r="S4323" t="s">
        <v>1474</v>
      </c>
      <c r="T4323" t="s">
        <v>1475</v>
      </c>
    </row>
    <row r="4324" spans="1:20" x14ac:dyDescent="0.25">
      <c r="A4324" t="s">
        <v>10022</v>
      </c>
      <c r="B4324" t="str">
        <f>"7743"</f>
        <v>7743</v>
      </c>
      <c r="C4324" t="str">
        <f>"366707743"</f>
        <v>366707743</v>
      </c>
      <c r="D4324" t="s">
        <v>10023</v>
      </c>
      <c r="E4324" t="s">
        <v>2256</v>
      </c>
      <c r="F4324" t="s">
        <v>93</v>
      </c>
      <c r="G4324" s="1">
        <v>23260</v>
      </c>
      <c r="H4324" s="1">
        <v>36907</v>
      </c>
      <c r="I4324" t="str">
        <f t="shared" si="99"/>
        <v>51</v>
      </c>
      <c r="J4324" t="s">
        <v>471</v>
      </c>
      <c r="K4324" t="s">
        <v>25</v>
      </c>
      <c r="L4324" t="s">
        <v>26</v>
      </c>
      <c r="M4324" t="s">
        <v>27</v>
      </c>
      <c r="N4324" s="1">
        <v>18629</v>
      </c>
      <c r="O4324">
        <v>0</v>
      </c>
      <c r="P4324">
        <v>0</v>
      </c>
      <c r="Q4324" t="s">
        <v>37</v>
      </c>
      <c r="R4324" t="s">
        <v>51</v>
      </c>
      <c r="S4324" t="s">
        <v>191</v>
      </c>
      <c r="T4324" t="s">
        <v>192</v>
      </c>
    </row>
    <row r="4325" spans="1:20" x14ac:dyDescent="0.25">
      <c r="A4325" t="s">
        <v>10024</v>
      </c>
      <c r="B4325" t="str">
        <f>"0895"</f>
        <v>0895</v>
      </c>
      <c r="C4325" t="str">
        <f>"283880895"</f>
        <v>283880895</v>
      </c>
      <c r="D4325" t="s">
        <v>10025</v>
      </c>
      <c r="E4325" t="s">
        <v>1167</v>
      </c>
      <c r="F4325" t="s">
        <v>93</v>
      </c>
      <c r="G4325" s="1">
        <v>26403</v>
      </c>
      <c r="H4325" s="1">
        <v>36907</v>
      </c>
      <c r="I4325" t="str">
        <f t="shared" si="99"/>
        <v>51</v>
      </c>
      <c r="J4325" t="s">
        <v>471</v>
      </c>
      <c r="K4325" t="s">
        <v>25</v>
      </c>
      <c r="L4325" t="s">
        <v>26</v>
      </c>
      <c r="M4325" t="s">
        <v>27</v>
      </c>
      <c r="N4325" s="1">
        <v>18629</v>
      </c>
      <c r="O4325">
        <v>0</v>
      </c>
      <c r="P4325">
        <v>0</v>
      </c>
      <c r="Q4325" t="s">
        <v>37</v>
      </c>
      <c r="R4325" t="s">
        <v>71</v>
      </c>
      <c r="S4325" t="s">
        <v>3963</v>
      </c>
      <c r="T4325" t="s">
        <v>3964</v>
      </c>
    </row>
    <row r="4326" spans="1:20" x14ac:dyDescent="0.25">
      <c r="A4326" t="s">
        <v>10026</v>
      </c>
      <c r="B4326" t="str">
        <f>"1729"</f>
        <v>1729</v>
      </c>
      <c r="C4326" t="str">
        <f>"517541729"</f>
        <v>517541729</v>
      </c>
      <c r="D4326" t="s">
        <v>10027</v>
      </c>
      <c r="E4326" t="s">
        <v>609</v>
      </c>
      <c r="F4326" t="s">
        <v>219</v>
      </c>
      <c r="G4326" s="1">
        <v>17537</v>
      </c>
      <c r="H4326" s="1">
        <v>36907</v>
      </c>
      <c r="I4326" t="str">
        <f t="shared" si="99"/>
        <v>51</v>
      </c>
      <c r="J4326" t="s">
        <v>471</v>
      </c>
      <c r="K4326" t="s">
        <v>25</v>
      </c>
      <c r="L4326" t="s">
        <v>26</v>
      </c>
      <c r="M4326" t="s">
        <v>27</v>
      </c>
      <c r="N4326" s="1">
        <v>18629</v>
      </c>
      <c r="O4326">
        <v>0</v>
      </c>
      <c r="P4326">
        <v>0</v>
      </c>
      <c r="Q4326" t="s">
        <v>28</v>
      </c>
      <c r="R4326" t="s">
        <v>51</v>
      </c>
      <c r="S4326" s="2" t="s">
        <v>774</v>
      </c>
      <c r="T4326" t="s">
        <v>775</v>
      </c>
    </row>
    <row r="4327" spans="1:20" x14ac:dyDescent="0.25">
      <c r="A4327" t="s">
        <v>10028</v>
      </c>
      <c r="B4327" t="str">
        <f>"8253"</f>
        <v>8253</v>
      </c>
      <c r="C4327" t="str">
        <f>"280028253"</f>
        <v>280028253</v>
      </c>
      <c r="D4327" t="s">
        <v>10029</v>
      </c>
      <c r="E4327" t="s">
        <v>3747</v>
      </c>
      <c r="F4327" t="s">
        <v>174</v>
      </c>
      <c r="G4327" s="1">
        <v>24033</v>
      </c>
      <c r="H4327" s="1">
        <v>36907</v>
      </c>
      <c r="I4327" t="str">
        <f t="shared" si="99"/>
        <v>51</v>
      </c>
      <c r="J4327" t="s">
        <v>471</v>
      </c>
      <c r="K4327" t="s">
        <v>25</v>
      </c>
      <c r="L4327" t="s">
        <v>26</v>
      </c>
      <c r="M4327" t="s">
        <v>27</v>
      </c>
      <c r="N4327" s="1">
        <v>18629</v>
      </c>
      <c r="O4327">
        <v>0</v>
      </c>
      <c r="P4327">
        <v>0</v>
      </c>
      <c r="Q4327" t="s">
        <v>28</v>
      </c>
      <c r="R4327" t="s">
        <v>51</v>
      </c>
      <c r="S4327" s="2" t="s">
        <v>3730</v>
      </c>
      <c r="T4327" t="s">
        <v>3731</v>
      </c>
    </row>
    <row r="4328" spans="1:20" x14ac:dyDescent="0.25">
      <c r="A4328" t="s">
        <v>10030</v>
      </c>
      <c r="B4328" t="str">
        <f>"3252"</f>
        <v>3252</v>
      </c>
      <c r="C4328" t="str">
        <f>"285583252"</f>
        <v>285583252</v>
      </c>
      <c r="D4328" t="s">
        <v>6676</v>
      </c>
      <c r="E4328" t="s">
        <v>1808</v>
      </c>
      <c r="F4328" t="s">
        <v>44</v>
      </c>
      <c r="G4328" s="1">
        <v>20318</v>
      </c>
      <c r="H4328" s="1">
        <v>36907</v>
      </c>
      <c r="I4328" t="str">
        <f t="shared" si="99"/>
        <v>51</v>
      </c>
      <c r="J4328" t="s">
        <v>471</v>
      </c>
      <c r="K4328" t="s">
        <v>25</v>
      </c>
      <c r="L4328" t="s">
        <v>26</v>
      </c>
      <c r="M4328" t="s">
        <v>27</v>
      </c>
      <c r="N4328" s="1">
        <v>18629</v>
      </c>
      <c r="O4328">
        <v>0</v>
      </c>
      <c r="P4328">
        <v>0</v>
      </c>
      <c r="Q4328" t="s">
        <v>37</v>
      </c>
      <c r="R4328" t="s">
        <v>51</v>
      </c>
      <c r="S4328" s="2" t="s">
        <v>10031</v>
      </c>
      <c r="T4328" t="s">
        <v>10032</v>
      </c>
    </row>
    <row r="4329" spans="1:20" x14ac:dyDescent="0.25">
      <c r="A4329" t="s">
        <v>10033</v>
      </c>
      <c r="B4329" t="str">
        <f>"3976"</f>
        <v>3976</v>
      </c>
      <c r="C4329" t="str">
        <f>"295443976"</f>
        <v>295443976</v>
      </c>
      <c r="D4329" t="s">
        <v>10034</v>
      </c>
      <c r="E4329" t="s">
        <v>1247</v>
      </c>
      <c r="F4329" t="s">
        <v>28</v>
      </c>
      <c r="G4329" s="1">
        <v>19361</v>
      </c>
      <c r="H4329" s="1">
        <v>36906</v>
      </c>
      <c r="I4329" t="str">
        <f t="shared" si="99"/>
        <v>51</v>
      </c>
      <c r="J4329" t="s">
        <v>471</v>
      </c>
      <c r="K4329" t="s">
        <v>25</v>
      </c>
      <c r="L4329" t="s">
        <v>26</v>
      </c>
      <c r="M4329" t="s">
        <v>27</v>
      </c>
      <c r="N4329" s="1">
        <v>18629</v>
      </c>
      <c r="O4329">
        <v>0</v>
      </c>
      <c r="P4329">
        <v>0</v>
      </c>
      <c r="Q4329" t="s">
        <v>28</v>
      </c>
      <c r="R4329" t="s">
        <v>71</v>
      </c>
      <c r="S4329" t="s">
        <v>2602</v>
      </c>
      <c r="T4329" t="s">
        <v>2603</v>
      </c>
    </row>
    <row r="4330" spans="1:20" x14ac:dyDescent="0.25">
      <c r="A4330" t="s">
        <v>10035</v>
      </c>
      <c r="B4330" t="str">
        <f>"6541"</f>
        <v>6541</v>
      </c>
      <c r="C4330" t="str">
        <f>"276806541"</f>
        <v>276806541</v>
      </c>
      <c r="D4330" t="s">
        <v>5050</v>
      </c>
      <c r="E4330" t="s">
        <v>179</v>
      </c>
      <c r="G4330" s="1">
        <v>27098</v>
      </c>
      <c r="H4330" s="1">
        <v>36906</v>
      </c>
      <c r="I4330" t="str">
        <f t="shared" si="99"/>
        <v>51</v>
      </c>
      <c r="J4330" t="s">
        <v>471</v>
      </c>
      <c r="K4330" t="s">
        <v>25</v>
      </c>
      <c r="L4330" t="s">
        <v>26</v>
      </c>
      <c r="M4330" t="s">
        <v>27</v>
      </c>
      <c r="N4330" s="1">
        <v>18629</v>
      </c>
      <c r="O4330">
        <v>0</v>
      </c>
      <c r="P4330">
        <v>0</v>
      </c>
      <c r="Q4330" t="s">
        <v>28</v>
      </c>
      <c r="R4330" t="s">
        <v>71</v>
      </c>
      <c r="S4330" t="s">
        <v>305</v>
      </c>
      <c r="T4330" t="s">
        <v>306</v>
      </c>
    </row>
    <row r="4331" spans="1:20" x14ac:dyDescent="0.25">
      <c r="A4331" t="s">
        <v>10036</v>
      </c>
      <c r="B4331" t="str">
        <f>"6375"</f>
        <v>6375</v>
      </c>
      <c r="C4331" t="str">
        <f>"295786375"</f>
        <v>295786375</v>
      </c>
      <c r="D4331" t="s">
        <v>4711</v>
      </c>
      <c r="E4331" t="s">
        <v>1453</v>
      </c>
      <c r="F4331" t="s">
        <v>93</v>
      </c>
      <c r="G4331" s="1">
        <v>24344</v>
      </c>
      <c r="H4331" s="1">
        <v>36899</v>
      </c>
      <c r="I4331" t="str">
        <f>"42"</f>
        <v>42</v>
      </c>
      <c r="J4331" t="s">
        <v>367</v>
      </c>
      <c r="K4331" t="s">
        <v>25</v>
      </c>
      <c r="L4331" t="s">
        <v>26</v>
      </c>
      <c r="M4331" t="s">
        <v>27</v>
      </c>
      <c r="N4331" s="1">
        <v>18629</v>
      </c>
      <c r="O4331">
        <v>0</v>
      </c>
      <c r="P4331">
        <v>0</v>
      </c>
      <c r="Q4331" t="s">
        <v>28</v>
      </c>
      <c r="R4331" t="s">
        <v>51</v>
      </c>
      <c r="S4331" t="s">
        <v>1222</v>
      </c>
      <c r="T4331" t="s">
        <v>1223</v>
      </c>
    </row>
    <row r="4332" spans="1:20" x14ac:dyDescent="0.25">
      <c r="A4332" t="s">
        <v>10037</v>
      </c>
      <c r="B4332" t="str">
        <f>"6943"</f>
        <v>6943</v>
      </c>
      <c r="C4332" t="str">
        <f>"287426943"</f>
        <v>287426943</v>
      </c>
      <c r="D4332" t="s">
        <v>10038</v>
      </c>
      <c r="E4332" t="s">
        <v>106</v>
      </c>
      <c r="F4332" t="s">
        <v>93</v>
      </c>
      <c r="G4332" s="1">
        <v>17697</v>
      </c>
      <c r="H4332" s="1">
        <v>36881</v>
      </c>
      <c r="I4332" t="str">
        <f>"50"</f>
        <v>50</v>
      </c>
      <c r="J4332" t="s">
        <v>208</v>
      </c>
      <c r="K4332" t="s">
        <v>25</v>
      </c>
      <c r="L4332" t="s">
        <v>26</v>
      </c>
      <c r="M4332" t="s">
        <v>27</v>
      </c>
      <c r="N4332" s="1">
        <v>18629</v>
      </c>
      <c r="O4332">
        <v>0</v>
      </c>
      <c r="P4332">
        <v>0</v>
      </c>
      <c r="Q4332" t="s">
        <v>28</v>
      </c>
      <c r="R4332" t="s">
        <v>71</v>
      </c>
      <c r="S4332" t="s">
        <v>3419</v>
      </c>
      <c r="T4332" t="s">
        <v>3420</v>
      </c>
    </row>
    <row r="4333" spans="1:20" x14ac:dyDescent="0.25">
      <c r="A4333" t="s">
        <v>10039</v>
      </c>
      <c r="B4333" t="str">
        <f>"3928"</f>
        <v>3928</v>
      </c>
      <c r="C4333" t="str">
        <f>"277463928"</f>
        <v>277463928</v>
      </c>
      <c r="D4333" t="s">
        <v>10040</v>
      </c>
      <c r="E4333" t="s">
        <v>1067</v>
      </c>
      <c r="F4333" t="s">
        <v>219</v>
      </c>
      <c r="G4333" s="1">
        <v>17703</v>
      </c>
      <c r="H4333" s="1">
        <v>36861</v>
      </c>
      <c r="I4333" t="str">
        <f>"42"</f>
        <v>42</v>
      </c>
      <c r="J4333" t="s">
        <v>367</v>
      </c>
      <c r="K4333" t="s">
        <v>25</v>
      </c>
      <c r="L4333" t="s">
        <v>26</v>
      </c>
      <c r="M4333" t="s">
        <v>27</v>
      </c>
      <c r="N4333" s="1">
        <v>18629</v>
      </c>
      <c r="O4333">
        <v>0</v>
      </c>
      <c r="P4333">
        <v>0</v>
      </c>
      <c r="Q4333" t="s">
        <v>28</v>
      </c>
      <c r="R4333" t="s">
        <v>71</v>
      </c>
      <c r="S4333" t="s">
        <v>2839</v>
      </c>
      <c r="T4333" t="s">
        <v>2591</v>
      </c>
    </row>
    <row r="4334" spans="1:20" x14ac:dyDescent="0.25">
      <c r="A4334" t="s">
        <v>10041</v>
      </c>
      <c r="B4334" t="str">
        <f>"3356"</f>
        <v>3356</v>
      </c>
      <c r="C4334" t="str">
        <f>"284603356"</f>
        <v>284603356</v>
      </c>
      <c r="D4334" t="s">
        <v>5849</v>
      </c>
      <c r="E4334" t="s">
        <v>1234</v>
      </c>
      <c r="F4334" t="s">
        <v>44</v>
      </c>
      <c r="G4334" s="1">
        <v>23564</v>
      </c>
      <c r="H4334" s="1">
        <v>36861</v>
      </c>
      <c r="I4334" t="str">
        <f>"42"</f>
        <v>42</v>
      </c>
      <c r="J4334" t="s">
        <v>367</v>
      </c>
      <c r="K4334" t="s">
        <v>25</v>
      </c>
      <c r="L4334" t="s">
        <v>26</v>
      </c>
      <c r="M4334" t="s">
        <v>27</v>
      </c>
      <c r="N4334" s="1">
        <v>18629</v>
      </c>
      <c r="O4334">
        <v>0</v>
      </c>
      <c r="P4334">
        <v>0</v>
      </c>
      <c r="Q4334" t="s">
        <v>28</v>
      </c>
      <c r="R4334" t="s">
        <v>51</v>
      </c>
      <c r="S4334" t="s">
        <v>1222</v>
      </c>
      <c r="T4334" t="s">
        <v>1223</v>
      </c>
    </row>
    <row r="4335" spans="1:20" x14ac:dyDescent="0.25">
      <c r="A4335" t="s">
        <v>10042</v>
      </c>
      <c r="B4335" t="str">
        <f>"5479"</f>
        <v>5479</v>
      </c>
      <c r="C4335" t="str">
        <f>"283605479"</f>
        <v>283605479</v>
      </c>
      <c r="D4335" t="s">
        <v>10043</v>
      </c>
      <c r="E4335" t="s">
        <v>1248</v>
      </c>
      <c r="F4335" t="s">
        <v>358</v>
      </c>
      <c r="G4335" s="1">
        <v>21195</v>
      </c>
      <c r="H4335" s="1">
        <v>36857</v>
      </c>
      <c r="I4335" t="str">
        <f>"03"</f>
        <v>03</v>
      </c>
      <c r="J4335" t="s">
        <v>70</v>
      </c>
      <c r="K4335" t="s">
        <v>98</v>
      </c>
      <c r="L4335" t="s">
        <v>37</v>
      </c>
      <c r="M4335" t="s">
        <v>117</v>
      </c>
      <c r="N4335" s="1">
        <v>41617</v>
      </c>
      <c r="O4335">
        <v>4951.96</v>
      </c>
      <c r="P4335">
        <v>1237.8599999999999</v>
      </c>
      <c r="Q4335" t="s">
        <v>37</v>
      </c>
      <c r="R4335" t="s">
        <v>71</v>
      </c>
      <c r="S4335" t="s">
        <v>857</v>
      </c>
      <c r="T4335" t="s">
        <v>858</v>
      </c>
    </row>
    <row r="4336" spans="1:20" x14ac:dyDescent="0.25">
      <c r="A4336" t="s">
        <v>10044</v>
      </c>
      <c r="B4336" t="str">
        <f>"9675"</f>
        <v>9675</v>
      </c>
      <c r="C4336" t="str">
        <f>"274589675"</f>
        <v>274589675</v>
      </c>
      <c r="D4336" t="s">
        <v>10045</v>
      </c>
      <c r="E4336" t="s">
        <v>1981</v>
      </c>
      <c r="F4336" t="s">
        <v>97</v>
      </c>
      <c r="G4336" s="1">
        <v>21070</v>
      </c>
      <c r="H4336" s="1">
        <v>36857</v>
      </c>
      <c r="I4336" t="str">
        <f>"05"</f>
        <v>05</v>
      </c>
      <c r="J4336" t="s">
        <v>58</v>
      </c>
      <c r="K4336" t="s">
        <v>98</v>
      </c>
      <c r="L4336" t="s">
        <v>37</v>
      </c>
      <c r="M4336" t="s">
        <v>257</v>
      </c>
      <c r="N4336" s="1">
        <v>41617</v>
      </c>
      <c r="O4336">
        <v>10753.08</v>
      </c>
      <c r="P4336">
        <v>2688.4</v>
      </c>
      <c r="Q4336" t="s">
        <v>37</v>
      </c>
      <c r="R4336" t="s">
        <v>71</v>
      </c>
      <c r="S4336" t="s">
        <v>9080</v>
      </c>
      <c r="T4336" t="s">
        <v>9081</v>
      </c>
    </row>
    <row r="4337" spans="1:20" x14ac:dyDescent="0.25">
      <c r="A4337" t="s">
        <v>10046</v>
      </c>
      <c r="B4337" t="str">
        <f>"5540"</f>
        <v>5540</v>
      </c>
      <c r="C4337" t="str">
        <f>"295745540"</f>
        <v>295745540</v>
      </c>
      <c r="D4337" t="s">
        <v>10047</v>
      </c>
      <c r="E4337" t="s">
        <v>10048</v>
      </c>
      <c r="F4337" t="s">
        <v>414</v>
      </c>
      <c r="G4337" s="1">
        <v>17735</v>
      </c>
      <c r="H4337" s="1">
        <v>36843</v>
      </c>
      <c r="I4337" t="str">
        <f>"30"</f>
        <v>30</v>
      </c>
      <c r="J4337" t="s">
        <v>50</v>
      </c>
      <c r="K4337" t="s">
        <v>25</v>
      </c>
      <c r="L4337" t="s">
        <v>26</v>
      </c>
      <c r="M4337" t="s">
        <v>27</v>
      </c>
      <c r="N4337" s="1">
        <v>18629</v>
      </c>
      <c r="O4337">
        <v>0</v>
      </c>
      <c r="P4337">
        <v>0</v>
      </c>
      <c r="Q4337" t="s">
        <v>37</v>
      </c>
      <c r="R4337" t="s">
        <v>71</v>
      </c>
      <c r="S4337" t="s">
        <v>373</v>
      </c>
      <c r="T4337" t="s">
        <v>374</v>
      </c>
    </row>
    <row r="4338" spans="1:20" x14ac:dyDescent="0.25">
      <c r="A4338" t="s">
        <v>10049</v>
      </c>
      <c r="B4338" t="str">
        <f>"5239"</f>
        <v>5239</v>
      </c>
      <c r="C4338" t="str">
        <f>"274385239"</f>
        <v>274385239</v>
      </c>
      <c r="D4338" t="s">
        <v>1449</v>
      </c>
      <c r="E4338" t="s">
        <v>675</v>
      </c>
      <c r="F4338" t="s">
        <v>93</v>
      </c>
      <c r="G4338" s="1">
        <v>15666</v>
      </c>
      <c r="H4338" s="1">
        <v>36843</v>
      </c>
      <c r="I4338" t="str">
        <f>"41"</f>
        <v>41</v>
      </c>
      <c r="J4338" t="s">
        <v>24</v>
      </c>
      <c r="K4338" t="s">
        <v>25</v>
      </c>
      <c r="L4338" t="s">
        <v>26</v>
      </c>
      <c r="M4338" t="s">
        <v>27</v>
      </c>
      <c r="N4338" s="1">
        <v>18629</v>
      </c>
      <c r="O4338">
        <v>0</v>
      </c>
      <c r="P4338">
        <v>0</v>
      </c>
      <c r="Q4338" t="s">
        <v>37</v>
      </c>
      <c r="R4338" t="s">
        <v>51</v>
      </c>
      <c r="S4338" t="s">
        <v>2084</v>
      </c>
      <c r="T4338" t="s">
        <v>2085</v>
      </c>
    </row>
    <row r="4339" spans="1:20" x14ac:dyDescent="0.25">
      <c r="A4339" t="s">
        <v>10050</v>
      </c>
      <c r="B4339" t="str">
        <f>"5395"</f>
        <v>5395</v>
      </c>
      <c r="C4339" t="str">
        <f>"276885395"</f>
        <v>276885395</v>
      </c>
      <c r="D4339" t="s">
        <v>10051</v>
      </c>
      <c r="E4339" t="s">
        <v>3468</v>
      </c>
      <c r="F4339" t="s">
        <v>49</v>
      </c>
      <c r="G4339" s="1">
        <v>27421</v>
      </c>
      <c r="H4339" s="1">
        <v>36843</v>
      </c>
      <c r="I4339" t="str">
        <f>"05"</f>
        <v>05</v>
      </c>
      <c r="J4339" t="s">
        <v>58</v>
      </c>
      <c r="K4339" t="s">
        <v>175</v>
      </c>
      <c r="L4339" t="s">
        <v>37</v>
      </c>
      <c r="M4339" t="s">
        <v>99</v>
      </c>
      <c r="N4339" s="1">
        <v>41617</v>
      </c>
      <c r="O4339">
        <v>16411.72</v>
      </c>
      <c r="P4339">
        <v>4102.8</v>
      </c>
      <c r="Q4339" t="s">
        <v>37</v>
      </c>
      <c r="R4339" t="s">
        <v>71</v>
      </c>
      <c r="S4339" t="s">
        <v>522</v>
      </c>
      <c r="T4339" t="s">
        <v>523</v>
      </c>
    </row>
    <row r="4340" spans="1:20" x14ac:dyDescent="0.25">
      <c r="A4340" t="s">
        <v>10052</v>
      </c>
      <c r="B4340" t="str">
        <f>"5413"</f>
        <v>5413</v>
      </c>
      <c r="C4340" t="str">
        <f>"587015413"</f>
        <v>587015413</v>
      </c>
      <c r="D4340" t="s">
        <v>10053</v>
      </c>
      <c r="E4340" t="s">
        <v>10054</v>
      </c>
      <c r="G4340" s="1">
        <v>17028</v>
      </c>
      <c r="H4340" s="1">
        <v>36843</v>
      </c>
      <c r="I4340" t="str">
        <f>"30"</f>
        <v>30</v>
      </c>
      <c r="J4340" t="s">
        <v>50</v>
      </c>
      <c r="K4340" t="s">
        <v>25</v>
      </c>
      <c r="L4340" t="s">
        <v>26</v>
      </c>
      <c r="M4340" t="s">
        <v>27</v>
      </c>
      <c r="N4340" s="1">
        <v>18629</v>
      </c>
      <c r="O4340">
        <v>0</v>
      </c>
      <c r="P4340">
        <v>0</v>
      </c>
      <c r="Q4340" t="s">
        <v>37</v>
      </c>
      <c r="R4340" t="s">
        <v>51</v>
      </c>
      <c r="S4340" t="s">
        <v>2084</v>
      </c>
      <c r="T4340" t="s">
        <v>2085</v>
      </c>
    </row>
    <row r="4341" spans="1:20" x14ac:dyDescent="0.25">
      <c r="A4341" t="s">
        <v>10055</v>
      </c>
      <c r="B4341" t="str">
        <f>"9344"</f>
        <v>9344</v>
      </c>
      <c r="C4341" t="str">
        <f>"287269344"</f>
        <v>287269344</v>
      </c>
      <c r="D4341" t="s">
        <v>10056</v>
      </c>
      <c r="E4341" t="s">
        <v>2049</v>
      </c>
      <c r="F4341" t="s">
        <v>9757</v>
      </c>
      <c r="G4341" s="1">
        <v>11336</v>
      </c>
      <c r="H4341" s="1">
        <v>36843</v>
      </c>
      <c r="I4341" t="str">
        <f>"33"</f>
        <v>33</v>
      </c>
      <c r="J4341" t="s">
        <v>45</v>
      </c>
      <c r="K4341" t="s">
        <v>25</v>
      </c>
      <c r="L4341" t="s">
        <v>26</v>
      </c>
      <c r="M4341" t="s">
        <v>27</v>
      </c>
      <c r="N4341" s="1">
        <v>18629</v>
      </c>
      <c r="O4341">
        <v>0</v>
      </c>
      <c r="P4341">
        <v>0</v>
      </c>
      <c r="Q4341" t="s">
        <v>28</v>
      </c>
      <c r="R4341" t="s">
        <v>51</v>
      </c>
      <c r="S4341" t="s">
        <v>795</v>
      </c>
      <c r="T4341" t="s">
        <v>796</v>
      </c>
    </row>
    <row r="4342" spans="1:20" x14ac:dyDescent="0.25">
      <c r="A4342" t="s">
        <v>10057</v>
      </c>
      <c r="B4342" t="str">
        <f>"6996"</f>
        <v>6996</v>
      </c>
      <c r="C4342" t="str">
        <f>"276706996"</f>
        <v>276706996</v>
      </c>
      <c r="D4342" t="s">
        <v>10058</v>
      </c>
      <c r="E4342" t="s">
        <v>10059</v>
      </c>
      <c r="F4342" t="s">
        <v>5245</v>
      </c>
      <c r="G4342" s="1">
        <v>23097</v>
      </c>
      <c r="H4342" s="1">
        <v>36843</v>
      </c>
      <c r="I4342" t="str">
        <f>"52"</f>
        <v>52</v>
      </c>
      <c r="J4342" t="s">
        <v>330</v>
      </c>
      <c r="K4342" t="s">
        <v>25</v>
      </c>
      <c r="L4342" t="s">
        <v>26</v>
      </c>
      <c r="M4342" t="s">
        <v>27</v>
      </c>
      <c r="N4342" s="1">
        <v>18629</v>
      </c>
      <c r="O4342">
        <v>0</v>
      </c>
      <c r="P4342">
        <v>0</v>
      </c>
      <c r="Q4342" t="s">
        <v>37</v>
      </c>
      <c r="R4342" t="s">
        <v>71</v>
      </c>
      <c r="S4342" t="s">
        <v>1774</v>
      </c>
      <c r="T4342" t="s">
        <v>1775</v>
      </c>
    </row>
    <row r="4343" spans="1:20" x14ac:dyDescent="0.25">
      <c r="A4343" t="s">
        <v>10060</v>
      </c>
      <c r="B4343" t="str">
        <f>"0323"</f>
        <v>0323</v>
      </c>
      <c r="C4343" t="str">
        <f>"274420323"</f>
        <v>274420323</v>
      </c>
      <c r="D4343" t="s">
        <v>10061</v>
      </c>
      <c r="E4343" t="s">
        <v>6976</v>
      </c>
      <c r="G4343" s="1">
        <v>17493</v>
      </c>
      <c r="H4343" s="1">
        <v>36815</v>
      </c>
      <c r="I4343" t="str">
        <f>"41"</f>
        <v>41</v>
      </c>
      <c r="J4343" t="s">
        <v>24</v>
      </c>
      <c r="K4343" t="s">
        <v>25</v>
      </c>
      <c r="L4343" t="s">
        <v>26</v>
      </c>
      <c r="M4343" t="s">
        <v>27</v>
      </c>
      <c r="N4343" s="1">
        <v>18629</v>
      </c>
      <c r="O4343">
        <v>0</v>
      </c>
      <c r="P4343">
        <v>0</v>
      </c>
      <c r="Q4343" t="s">
        <v>37</v>
      </c>
      <c r="R4343" t="s">
        <v>29</v>
      </c>
      <c r="S4343" t="s">
        <v>10062</v>
      </c>
      <c r="T4343" t="s">
        <v>10063</v>
      </c>
    </row>
    <row r="4344" spans="1:20" x14ac:dyDescent="0.25">
      <c r="A4344" t="s">
        <v>10064</v>
      </c>
      <c r="B4344" t="str">
        <f>"2783"</f>
        <v>2783</v>
      </c>
      <c r="C4344" t="str">
        <f>"039442783"</f>
        <v>039442783</v>
      </c>
      <c r="D4344" t="s">
        <v>10065</v>
      </c>
      <c r="E4344" t="s">
        <v>721</v>
      </c>
      <c r="G4344" s="1">
        <v>24472</v>
      </c>
      <c r="H4344" s="1">
        <v>36787</v>
      </c>
      <c r="I4344" t="str">
        <f>"12"</f>
        <v>12</v>
      </c>
      <c r="J4344" t="s">
        <v>245</v>
      </c>
      <c r="K4344" t="s">
        <v>98</v>
      </c>
      <c r="L4344" t="s">
        <v>37</v>
      </c>
      <c r="M4344" t="s">
        <v>99</v>
      </c>
      <c r="N4344" s="1">
        <v>41617</v>
      </c>
      <c r="O4344">
        <v>14801.8</v>
      </c>
      <c r="P4344">
        <v>3700.32</v>
      </c>
      <c r="Q4344" t="s">
        <v>28</v>
      </c>
      <c r="R4344" t="s">
        <v>110</v>
      </c>
      <c r="S4344" t="s">
        <v>3195</v>
      </c>
      <c r="T4344" t="s">
        <v>3196</v>
      </c>
    </row>
    <row r="4345" spans="1:20" x14ac:dyDescent="0.25">
      <c r="A4345" t="s">
        <v>10066</v>
      </c>
      <c r="B4345" t="str">
        <f>"7983"</f>
        <v>7983</v>
      </c>
      <c r="C4345" t="str">
        <f>"274707983"</f>
        <v>274707983</v>
      </c>
      <c r="D4345" t="s">
        <v>777</v>
      </c>
      <c r="E4345" t="s">
        <v>499</v>
      </c>
      <c r="F4345" t="s">
        <v>219</v>
      </c>
      <c r="G4345" s="1">
        <v>23296</v>
      </c>
      <c r="H4345" s="1">
        <v>36781</v>
      </c>
      <c r="I4345" t="str">
        <f>"20"</f>
        <v>20</v>
      </c>
      <c r="J4345" t="s">
        <v>123</v>
      </c>
      <c r="K4345" t="s">
        <v>175</v>
      </c>
      <c r="L4345" t="s">
        <v>37</v>
      </c>
      <c r="M4345" t="s">
        <v>117</v>
      </c>
      <c r="N4345" s="1">
        <v>41631</v>
      </c>
      <c r="O4345">
        <v>5288.8</v>
      </c>
      <c r="P4345">
        <v>1322.2</v>
      </c>
      <c r="Q4345" t="s">
        <v>28</v>
      </c>
      <c r="R4345" t="s">
        <v>51</v>
      </c>
      <c r="S4345" s="2" t="s">
        <v>683</v>
      </c>
      <c r="T4345" t="s">
        <v>684</v>
      </c>
    </row>
    <row r="4346" spans="1:20" x14ac:dyDescent="0.25">
      <c r="A4346" t="s">
        <v>10067</v>
      </c>
      <c r="B4346" t="str">
        <f>"1592"</f>
        <v>1592</v>
      </c>
      <c r="C4346" t="str">
        <f>"290541592"</f>
        <v>290541592</v>
      </c>
      <c r="D4346" t="s">
        <v>10068</v>
      </c>
      <c r="E4346" t="s">
        <v>430</v>
      </c>
      <c r="F4346" t="s">
        <v>165</v>
      </c>
      <c r="G4346" s="1">
        <v>20023</v>
      </c>
      <c r="H4346" s="1">
        <v>36774</v>
      </c>
      <c r="I4346" t="str">
        <f>"33"</f>
        <v>33</v>
      </c>
      <c r="J4346" t="s">
        <v>45</v>
      </c>
      <c r="K4346" t="s">
        <v>25</v>
      </c>
      <c r="L4346" t="s">
        <v>26</v>
      </c>
      <c r="M4346" t="s">
        <v>27</v>
      </c>
      <c r="N4346" s="1">
        <v>18629</v>
      </c>
      <c r="O4346">
        <v>0</v>
      </c>
      <c r="P4346">
        <v>0</v>
      </c>
      <c r="Q4346" t="s">
        <v>28</v>
      </c>
      <c r="R4346" t="s">
        <v>29</v>
      </c>
      <c r="S4346" t="s">
        <v>594</v>
      </c>
      <c r="T4346" t="s">
        <v>595</v>
      </c>
    </row>
    <row r="4347" spans="1:20" x14ac:dyDescent="0.25">
      <c r="A4347" t="s">
        <v>10069</v>
      </c>
      <c r="B4347" t="str">
        <f>"6261"</f>
        <v>6261</v>
      </c>
      <c r="C4347" t="str">
        <f>"270586261"</f>
        <v>270586261</v>
      </c>
      <c r="D4347" t="s">
        <v>10070</v>
      </c>
      <c r="E4347" t="s">
        <v>308</v>
      </c>
      <c r="F4347" t="s">
        <v>28</v>
      </c>
      <c r="G4347" s="1">
        <v>20443</v>
      </c>
      <c r="H4347" s="1">
        <v>36773</v>
      </c>
      <c r="I4347" t="str">
        <f>"03"</f>
        <v>03</v>
      </c>
      <c r="J4347" t="s">
        <v>70</v>
      </c>
      <c r="K4347" t="s">
        <v>98</v>
      </c>
      <c r="L4347" t="s">
        <v>37</v>
      </c>
      <c r="M4347" t="s">
        <v>257</v>
      </c>
      <c r="N4347" s="1">
        <v>41617</v>
      </c>
      <c r="O4347">
        <v>10753.08</v>
      </c>
      <c r="P4347">
        <v>2688.4</v>
      </c>
      <c r="Q4347" t="s">
        <v>37</v>
      </c>
      <c r="R4347" t="s">
        <v>71</v>
      </c>
      <c r="S4347" t="s">
        <v>72</v>
      </c>
      <c r="T4347" t="s">
        <v>73</v>
      </c>
    </row>
    <row r="4348" spans="1:20" x14ac:dyDescent="0.25">
      <c r="A4348" t="s">
        <v>10071</v>
      </c>
      <c r="B4348" t="str">
        <f>"7116"</f>
        <v>7116</v>
      </c>
      <c r="C4348" t="str">
        <f>"293367116"</f>
        <v>293367116</v>
      </c>
      <c r="D4348" t="s">
        <v>10072</v>
      </c>
      <c r="E4348" t="s">
        <v>2450</v>
      </c>
      <c r="F4348" t="s">
        <v>219</v>
      </c>
      <c r="G4348" s="1">
        <v>15027</v>
      </c>
      <c r="H4348" s="1">
        <v>36773</v>
      </c>
      <c r="I4348" t="str">
        <f>"51"</f>
        <v>51</v>
      </c>
      <c r="J4348" t="s">
        <v>471</v>
      </c>
      <c r="K4348" t="s">
        <v>25</v>
      </c>
      <c r="L4348" t="s">
        <v>26</v>
      </c>
      <c r="M4348" t="s">
        <v>27</v>
      </c>
      <c r="N4348" s="1">
        <v>18629</v>
      </c>
      <c r="O4348">
        <v>0</v>
      </c>
      <c r="P4348">
        <v>0</v>
      </c>
      <c r="Q4348" t="s">
        <v>37</v>
      </c>
      <c r="R4348" t="s">
        <v>71</v>
      </c>
      <c r="S4348" t="s">
        <v>10073</v>
      </c>
      <c r="T4348" t="s">
        <v>10074</v>
      </c>
    </row>
    <row r="4349" spans="1:20" x14ac:dyDescent="0.25">
      <c r="A4349" t="s">
        <v>10075</v>
      </c>
      <c r="B4349" t="str">
        <f>"6618"</f>
        <v>6618</v>
      </c>
      <c r="C4349" t="str">
        <f>"272586618"</f>
        <v>272586618</v>
      </c>
      <c r="D4349" t="s">
        <v>3785</v>
      </c>
      <c r="E4349" t="s">
        <v>1287</v>
      </c>
      <c r="F4349" t="s">
        <v>93</v>
      </c>
      <c r="G4349" s="1">
        <v>20733</v>
      </c>
      <c r="H4349" s="1">
        <v>36766</v>
      </c>
      <c r="I4349" t="str">
        <f>"41"</f>
        <v>41</v>
      </c>
      <c r="J4349" t="s">
        <v>24</v>
      </c>
      <c r="K4349" t="s">
        <v>25</v>
      </c>
      <c r="L4349" t="s">
        <v>26</v>
      </c>
      <c r="M4349" t="s">
        <v>27</v>
      </c>
      <c r="N4349" s="1">
        <v>18629</v>
      </c>
      <c r="O4349">
        <v>0</v>
      </c>
      <c r="P4349">
        <v>0</v>
      </c>
      <c r="Q4349" t="s">
        <v>37</v>
      </c>
      <c r="R4349" t="s">
        <v>29</v>
      </c>
      <c r="S4349" t="s">
        <v>2066</v>
      </c>
      <c r="T4349" t="s">
        <v>2067</v>
      </c>
    </row>
    <row r="4350" spans="1:20" x14ac:dyDescent="0.25">
      <c r="A4350" t="s">
        <v>10076</v>
      </c>
      <c r="B4350" t="str">
        <f>"5217"</f>
        <v>5217</v>
      </c>
      <c r="C4350" t="str">
        <f>"279585217"</f>
        <v>279585217</v>
      </c>
      <c r="D4350" t="s">
        <v>10077</v>
      </c>
      <c r="E4350" t="s">
        <v>96</v>
      </c>
      <c r="F4350" t="s">
        <v>93</v>
      </c>
      <c r="G4350" s="1">
        <v>21168</v>
      </c>
      <c r="H4350" s="1">
        <v>36762</v>
      </c>
      <c r="I4350" t="str">
        <f t="shared" ref="I4350:I4355" si="100">"51"</f>
        <v>51</v>
      </c>
      <c r="J4350" t="s">
        <v>471</v>
      </c>
      <c r="K4350" t="s">
        <v>25</v>
      </c>
      <c r="L4350" t="s">
        <v>26</v>
      </c>
      <c r="M4350" t="s">
        <v>27</v>
      </c>
      <c r="N4350" s="1">
        <v>18629</v>
      </c>
      <c r="O4350">
        <v>0</v>
      </c>
      <c r="P4350">
        <v>0</v>
      </c>
      <c r="Q4350" t="s">
        <v>37</v>
      </c>
      <c r="R4350" t="s">
        <v>71</v>
      </c>
      <c r="S4350" t="s">
        <v>4090</v>
      </c>
      <c r="T4350" t="s">
        <v>4091</v>
      </c>
    </row>
    <row r="4351" spans="1:20" x14ac:dyDescent="0.25">
      <c r="A4351" t="s">
        <v>10078</v>
      </c>
      <c r="B4351" t="str">
        <f>"5403"</f>
        <v>5403</v>
      </c>
      <c r="C4351" t="str">
        <f>"274665403"</f>
        <v>274665403</v>
      </c>
      <c r="D4351" t="s">
        <v>4812</v>
      </c>
      <c r="E4351" t="s">
        <v>430</v>
      </c>
      <c r="F4351" t="s">
        <v>239</v>
      </c>
      <c r="G4351" s="1">
        <v>26149</v>
      </c>
      <c r="H4351" s="1">
        <v>36762</v>
      </c>
      <c r="I4351" t="str">
        <f t="shared" si="100"/>
        <v>51</v>
      </c>
      <c r="J4351" t="s">
        <v>471</v>
      </c>
      <c r="K4351" t="s">
        <v>25</v>
      </c>
      <c r="L4351" t="s">
        <v>26</v>
      </c>
      <c r="M4351" t="s">
        <v>27</v>
      </c>
      <c r="N4351" s="1">
        <v>18629</v>
      </c>
      <c r="O4351">
        <v>0</v>
      </c>
      <c r="P4351">
        <v>0</v>
      </c>
      <c r="Q4351" t="s">
        <v>28</v>
      </c>
      <c r="R4351" t="s">
        <v>71</v>
      </c>
      <c r="S4351" t="s">
        <v>2458</v>
      </c>
      <c r="T4351" t="s">
        <v>2459</v>
      </c>
    </row>
    <row r="4352" spans="1:20" x14ac:dyDescent="0.25">
      <c r="A4352" t="s">
        <v>10079</v>
      </c>
      <c r="B4352" t="str">
        <f>"0856"</f>
        <v>0856</v>
      </c>
      <c r="C4352" t="str">
        <f>"386600856"</f>
        <v>386600856</v>
      </c>
      <c r="D4352" t="s">
        <v>10080</v>
      </c>
      <c r="E4352" t="s">
        <v>10081</v>
      </c>
      <c r="G4352" s="1">
        <v>19757</v>
      </c>
      <c r="H4352" s="1">
        <v>36762</v>
      </c>
      <c r="I4352" t="str">
        <f t="shared" si="100"/>
        <v>51</v>
      </c>
      <c r="J4352" t="s">
        <v>471</v>
      </c>
      <c r="K4352" t="s">
        <v>25</v>
      </c>
      <c r="L4352" t="s">
        <v>26</v>
      </c>
      <c r="M4352" t="s">
        <v>27</v>
      </c>
      <c r="N4352" s="1">
        <v>18629</v>
      </c>
      <c r="O4352">
        <v>0</v>
      </c>
      <c r="P4352">
        <v>0</v>
      </c>
      <c r="Q4352" t="s">
        <v>37</v>
      </c>
      <c r="R4352" t="s">
        <v>71</v>
      </c>
      <c r="S4352" t="s">
        <v>1547</v>
      </c>
      <c r="T4352" t="s">
        <v>1548</v>
      </c>
    </row>
    <row r="4353" spans="1:20" x14ac:dyDescent="0.25">
      <c r="A4353" t="s">
        <v>10082</v>
      </c>
      <c r="B4353" t="str">
        <f>"8138"</f>
        <v>8138</v>
      </c>
      <c r="C4353" t="str">
        <f>"287648138"</f>
        <v>287648138</v>
      </c>
      <c r="D4353" t="s">
        <v>10083</v>
      </c>
      <c r="E4353" t="s">
        <v>10084</v>
      </c>
      <c r="F4353" t="s">
        <v>93</v>
      </c>
      <c r="G4353" s="1">
        <v>21406</v>
      </c>
      <c r="H4353" s="1">
        <v>36762</v>
      </c>
      <c r="I4353" t="str">
        <f t="shared" si="100"/>
        <v>51</v>
      </c>
      <c r="J4353" t="s">
        <v>471</v>
      </c>
      <c r="K4353" t="s">
        <v>25</v>
      </c>
      <c r="L4353" t="s">
        <v>26</v>
      </c>
      <c r="M4353" t="s">
        <v>27</v>
      </c>
      <c r="N4353" s="1">
        <v>18629</v>
      </c>
      <c r="O4353">
        <v>0</v>
      </c>
      <c r="P4353">
        <v>0</v>
      </c>
      <c r="Q4353" t="s">
        <v>28</v>
      </c>
      <c r="R4353" t="s">
        <v>71</v>
      </c>
      <c r="S4353" t="s">
        <v>923</v>
      </c>
      <c r="T4353" t="s">
        <v>924</v>
      </c>
    </row>
    <row r="4354" spans="1:20" x14ac:dyDescent="0.25">
      <c r="A4354" t="s">
        <v>10085</v>
      </c>
      <c r="B4354" t="str">
        <f>"2546"</f>
        <v>2546</v>
      </c>
      <c r="C4354" t="str">
        <f>"096422546"</f>
        <v>096422546</v>
      </c>
      <c r="D4354" t="s">
        <v>10086</v>
      </c>
      <c r="E4354" t="s">
        <v>10087</v>
      </c>
      <c r="F4354" t="s">
        <v>97</v>
      </c>
      <c r="G4354" s="1">
        <v>17900</v>
      </c>
      <c r="H4354" s="1">
        <v>36762</v>
      </c>
      <c r="I4354" t="str">
        <f t="shared" si="100"/>
        <v>51</v>
      </c>
      <c r="J4354" t="s">
        <v>471</v>
      </c>
      <c r="K4354" t="s">
        <v>25</v>
      </c>
      <c r="L4354" t="s">
        <v>26</v>
      </c>
      <c r="M4354" t="s">
        <v>27</v>
      </c>
      <c r="N4354" s="1">
        <v>18629</v>
      </c>
      <c r="O4354">
        <v>0</v>
      </c>
      <c r="P4354">
        <v>0</v>
      </c>
      <c r="Q4354" t="s">
        <v>37</v>
      </c>
      <c r="R4354" t="s">
        <v>29</v>
      </c>
      <c r="S4354" t="s">
        <v>1572</v>
      </c>
      <c r="T4354" t="s">
        <v>1573</v>
      </c>
    </row>
    <row r="4355" spans="1:20" x14ac:dyDescent="0.25">
      <c r="A4355" t="s">
        <v>10088</v>
      </c>
      <c r="B4355" t="str">
        <f>"0353"</f>
        <v>0353</v>
      </c>
      <c r="C4355" t="str">
        <f>"279840353"</f>
        <v>279840353</v>
      </c>
      <c r="D4355" t="s">
        <v>10089</v>
      </c>
      <c r="E4355" t="s">
        <v>33</v>
      </c>
      <c r="G4355" s="1">
        <v>17913</v>
      </c>
      <c r="H4355" s="1">
        <v>36762</v>
      </c>
      <c r="I4355" t="str">
        <f t="shared" si="100"/>
        <v>51</v>
      </c>
      <c r="J4355" t="s">
        <v>471</v>
      </c>
      <c r="K4355" t="s">
        <v>25</v>
      </c>
      <c r="L4355" t="s">
        <v>26</v>
      </c>
      <c r="M4355" t="s">
        <v>27</v>
      </c>
      <c r="N4355" s="1">
        <v>18629</v>
      </c>
      <c r="O4355">
        <v>0</v>
      </c>
      <c r="P4355">
        <v>0</v>
      </c>
      <c r="Q4355" t="s">
        <v>28</v>
      </c>
      <c r="R4355" t="s">
        <v>71</v>
      </c>
      <c r="S4355" t="s">
        <v>3419</v>
      </c>
      <c r="T4355" t="s">
        <v>3420</v>
      </c>
    </row>
    <row r="4356" spans="1:20" x14ac:dyDescent="0.25">
      <c r="A4356" t="s">
        <v>10090</v>
      </c>
      <c r="B4356" t="str">
        <f>"0418"</f>
        <v>0418</v>
      </c>
      <c r="C4356" t="str">
        <f>"189480418"</f>
        <v>189480418</v>
      </c>
      <c r="D4356" t="s">
        <v>10091</v>
      </c>
      <c r="E4356" t="s">
        <v>724</v>
      </c>
      <c r="F4356" t="s">
        <v>28</v>
      </c>
      <c r="G4356" s="1">
        <v>23801</v>
      </c>
      <c r="H4356" s="1">
        <v>36759</v>
      </c>
      <c r="I4356" t="str">
        <f>"03"</f>
        <v>03</v>
      </c>
      <c r="J4356" t="s">
        <v>70</v>
      </c>
      <c r="K4356" t="s">
        <v>98</v>
      </c>
      <c r="L4356" t="s">
        <v>37</v>
      </c>
      <c r="M4356" t="s">
        <v>99</v>
      </c>
      <c r="N4356" s="1">
        <v>41617</v>
      </c>
      <c r="O4356">
        <v>14801.8</v>
      </c>
      <c r="P4356">
        <v>3700.32</v>
      </c>
      <c r="Q4356" t="s">
        <v>28</v>
      </c>
      <c r="R4356" t="s">
        <v>51</v>
      </c>
      <c r="S4356" s="2" t="s">
        <v>6987</v>
      </c>
      <c r="T4356" t="s">
        <v>6988</v>
      </c>
    </row>
    <row r="4357" spans="1:20" x14ac:dyDescent="0.25">
      <c r="A4357" t="s">
        <v>10092</v>
      </c>
      <c r="B4357" t="str">
        <f>"8827"</f>
        <v>8827</v>
      </c>
      <c r="C4357" t="str">
        <f>"284848827"</f>
        <v>284848827</v>
      </c>
      <c r="D4357" t="s">
        <v>10093</v>
      </c>
      <c r="E4357" t="s">
        <v>430</v>
      </c>
      <c r="F4357" t="s">
        <v>97</v>
      </c>
      <c r="G4357" s="1">
        <v>25687</v>
      </c>
      <c r="H4357" s="1">
        <v>36759</v>
      </c>
      <c r="I4357" t="str">
        <f>"01"</f>
        <v>01</v>
      </c>
      <c r="J4357" t="s">
        <v>116</v>
      </c>
      <c r="K4357" t="s">
        <v>98</v>
      </c>
      <c r="L4357" t="s">
        <v>37</v>
      </c>
      <c r="M4357" t="s">
        <v>257</v>
      </c>
      <c r="N4357" s="1">
        <v>41617</v>
      </c>
      <c r="O4357">
        <v>10753.08</v>
      </c>
      <c r="P4357">
        <v>2688.4</v>
      </c>
      <c r="Q4357" t="s">
        <v>28</v>
      </c>
      <c r="R4357" t="s">
        <v>29</v>
      </c>
      <c r="S4357" t="s">
        <v>594</v>
      </c>
      <c r="T4357" t="s">
        <v>595</v>
      </c>
    </row>
    <row r="4358" spans="1:20" x14ac:dyDescent="0.25">
      <c r="A4358" t="s">
        <v>10094</v>
      </c>
      <c r="B4358" t="str">
        <f>"4546"</f>
        <v>4546</v>
      </c>
      <c r="C4358" t="str">
        <f>"299684546"</f>
        <v>299684546</v>
      </c>
      <c r="D4358" t="s">
        <v>10095</v>
      </c>
      <c r="E4358" t="s">
        <v>122</v>
      </c>
      <c r="F4358" t="s">
        <v>97</v>
      </c>
      <c r="G4358" s="1">
        <v>22872</v>
      </c>
      <c r="H4358" s="1">
        <v>36759</v>
      </c>
      <c r="I4358" t="str">
        <f>"42"</f>
        <v>42</v>
      </c>
      <c r="J4358" t="s">
        <v>367</v>
      </c>
      <c r="K4358" t="s">
        <v>25</v>
      </c>
      <c r="L4358" t="s">
        <v>26</v>
      </c>
      <c r="M4358" t="s">
        <v>27</v>
      </c>
      <c r="N4358" s="1">
        <v>18629</v>
      </c>
      <c r="O4358">
        <v>0</v>
      </c>
      <c r="P4358">
        <v>0</v>
      </c>
      <c r="Q4358" t="s">
        <v>28</v>
      </c>
      <c r="R4358" t="s">
        <v>258</v>
      </c>
      <c r="S4358" t="s">
        <v>2839</v>
      </c>
      <c r="T4358" t="s">
        <v>2591</v>
      </c>
    </row>
    <row r="4359" spans="1:20" x14ac:dyDescent="0.25">
      <c r="A4359" t="s">
        <v>10096</v>
      </c>
      <c r="B4359" t="str">
        <f>"4399"</f>
        <v>4399</v>
      </c>
      <c r="C4359" t="str">
        <f>"273524399"</f>
        <v>273524399</v>
      </c>
      <c r="D4359" t="s">
        <v>9036</v>
      </c>
      <c r="E4359" t="s">
        <v>1081</v>
      </c>
      <c r="F4359" t="s">
        <v>44</v>
      </c>
      <c r="G4359" s="1">
        <v>21892</v>
      </c>
      <c r="H4359" s="1">
        <v>36759</v>
      </c>
      <c r="I4359" t="str">
        <f>"42"</f>
        <v>42</v>
      </c>
      <c r="J4359" t="s">
        <v>367</v>
      </c>
      <c r="K4359" t="s">
        <v>25</v>
      </c>
      <c r="L4359" t="s">
        <v>26</v>
      </c>
      <c r="M4359" t="s">
        <v>27</v>
      </c>
      <c r="N4359" s="1">
        <v>18629</v>
      </c>
      <c r="O4359">
        <v>0</v>
      </c>
      <c r="P4359">
        <v>0</v>
      </c>
      <c r="Q4359" t="s">
        <v>28</v>
      </c>
      <c r="R4359" t="s">
        <v>29</v>
      </c>
      <c r="S4359" t="s">
        <v>982</v>
      </c>
      <c r="T4359" t="s">
        <v>983</v>
      </c>
    </row>
    <row r="4360" spans="1:20" x14ac:dyDescent="0.25">
      <c r="A4360" t="s">
        <v>10097</v>
      </c>
      <c r="B4360" t="str">
        <f>"0514"</f>
        <v>0514</v>
      </c>
      <c r="C4360" t="str">
        <f>"266450514"</f>
        <v>266450514</v>
      </c>
      <c r="D4360" t="s">
        <v>10098</v>
      </c>
      <c r="E4360" t="s">
        <v>10099</v>
      </c>
      <c r="F4360" t="s">
        <v>556</v>
      </c>
      <c r="G4360" s="1">
        <v>21819</v>
      </c>
      <c r="H4360" s="1">
        <v>36752</v>
      </c>
      <c r="I4360" t="str">
        <f t="shared" ref="I4360:I4374" si="101">"20"</f>
        <v>20</v>
      </c>
      <c r="J4360" t="s">
        <v>123</v>
      </c>
      <c r="K4360" t="s">
        <v>98</v>
      </c>
      <c r="L4360" t="s">
        <v>37</v>
      </c>
      <c r="M4360" t="s">
        <v>257</v>
      </c>
      <c r="N4360" s="1">
        <v>41631</v>
      </c>
      <c r="O4360">
        <v>10753.16</v>
      </c>
      <c r="P4360">
        <v>2688.4</v>
      </c>
      <c r="Q4360" t="s">
        <v>37</v>
      </c>
      <c r="R4360" t="s">
        <v>29</v>
      </c>
      <c r="S4360" t="s">
        <v>1555</v>
      </c>
      <c r="T4360" t="s">
        <v>1556</v>
      </c>
    </row>
    <row r="4361" spans="1:20" x14ac:dyDescent="0.25">
      <c r="A4361" t="s">
        <v>10100</v>
      </c>
      <c r="B4361" t="str">
        <f>"9745"</f>
        <v>9745</v>
      </c>
      <c r="C4361" t="str">
        <f>"268709745"</f>
        <v>268709745</v>
      </c>
      <c r="D4361" t="s">
        <v>10101</v>
      </c>
      <c r="E4361" t="s">
        <v>335</v>
      </c>
      <c r="F4361" t="s">
        <v>219</v>
      </c>
      <c r="G4361" s="1">
        <v>25260</v>
      </c>
      <c r="H4361" s="1">
        <v>36752</v>
      </c>
      <c r="I4361" t="str">
        <f t="shared" si="101"/>
        <v>20</v>
      </c>
      <c r="J4361" t="s">
        <v>123</v>
      </c>
      <c r="K4361" t="s">
        <v>98</v>
      </c>
      <c r="L4361" t="s">
        <v>37</v>
      </c>
      <c r="M4361" t="s">
        <v>99</v>
      </c>
      <c r="N4361" s="1">
        <v>41631</v>
      </c>
      <c r="O4361">
        <v>14801.82</v>
      </c>
      <c r="P4361">
        <v>3700.4</v>
      </c>
      <c r="Q4361" t="s">
        <v>28</v>
      </c>
      <c r="R4361" t="s">
        <v>29</v>
      </c>
      <c r="S4361" t="s">
        <v>185</v>
      </c>
      <c r="T4361" t="s">
        <v>186</v>
      </c>
    </row>
    <row r="4362" spans="1:20" x14ac:dyDescent="0.25">
      <c r="A4362" t="s">
        <v>10102</v>
      </c>
      <c r="B4362" t="str">
        <f>"2154"</f>
        <v>2154</v>
      </c>
      <c r="C4362" t="str">
        <f>"559022154"</f>
        <v>559022154</v>
      </c>
      <c r="D4362" t="s">
        <v>10103</v>
      </c>
      <c r="E4362" t="s">
        <v>3059</v>
      </c>
      <c r="F4362" t="s">
        <v>44</v>
      </c>
      <c r="G4362" s="1">
        <v>21412</v>
      </c>
      <c r="H4362" s="1">
        <v>36752</v>
      </c>
      <c r="I4362" t="str">
        <f t="shared" si="101"/>
        <v>20</v>
      </c>
      <c r="J4362" t="s">
        <v>123</v>
      </c>
      <c r="L4362" t="s">
        <v>37</v>
      </c>
      <c r="M4362" t="s">
        <v>143</v>
      </c>
      <c r="N4362" s="1">
        <v>41631</v>
      </c>
      <c r="O4362">
        <v>185.9</v>
      </c>
      <c r="P4362">
        <v>-185.9</v>
      </c>
      <c r="Q4362" t="s">
        <v>28</v>
      </c>
      <c r="R4362" t="s">
        <v>71</v>
      </c>
      <c r="S4362" t="s">
        <v>3594</v>
      </c>
      <c r="T4362" t="s">
        <v>3595</v>
      </c>
    </row>
    <row r="4363" spans="1:20" x14ac:dyDescent="0.25">
      <c r="A4363" t="s">
        <v>10104</v>
      </c>
      <c r="B4363" t="str">
        <f>"9710"</f>
        <v>9710</v>
      </c>
      <c r="C4363" t="str">
        <f>"372889710"</f>
        <v>372889710</v>
      </c>
      <c r="D4363" t="s">
        <v>1279</v>
      </c>
      <c r="E4363" t="s">
        <v>944</v>
      </c>
      <c r="F4363" t="s">
        <v>7985</v>
      </c>
      <c r="G4363" s="1">
        <v>26571</v>
      </c>
      <c r="H4363" s="1">
        <v>36752</v>
      </c>
      <c r="I4363" t="str">
        <f t="shared" si="101"/>
        <v>20</v>
      </c>
      <c r="J4363" t="s">
        <v>123</v>
      </c>
      <c r="K4363" t="s">
        <v>98</v>
      </c>
      <c r="L4363" t="s">
        <v>37</v>
      </c>
      <c r="M4363" t="s">
        <v>99</v>
      </c>
      <c r="N4363" s="1">
        <v>41631</v>
      </c>
      <c r="O4363">
        <v>14801.82</v>
      </c>
      <c r="P4363">
        <v>3700.4</v>
      </c>
      <c r="Q4363" t="s">
        <v>28</v>
      </c>
      <c r="R4363" t="s">
        <v>71</v>
      </c>
      <c r="S4363" t="s">
        <v>6172</v>
      </c>
      <c r="T4363" t="s">
        <v>6173</v>
      </c>
    </row>
    <row r="4364" spans="1:20" x14ac:dyDescent="0.25">
      <c r="A4364" t="s">
        <v>10105</v>
      </c>
      <c r="B4364" t="str">
        <f>"2137"</f>
        <v>2137</v>
      </c>
      <c r="C4364" t="str">
        <f>"280722137"</f>
        <v>280722137</v>
      </c>
      <c r="D4364" t="s">
        <v>2161</v>
      </c>
      <c r="E4364" t="s">
        <v>2267</v>
      </c>
      <c r="F4364" t="s">
        <v>26</v>
      </c>
      <c r="G4364" s="1">
        <v>24062</v>
      </c>
      <c r="H4364" s="1">
        <v>36752</v>
      </c>
      <c r="I4364" t="str">
        <f t="shared" si="101"/>
        <v>20</v>
      </c>
      <c r="J4364" t="s">
        <v>123</v>
      </c>
      <c r="K4364" t="s">
        <v>98</v>
      </c>
      <c r="L4364" t="s">
        <v>37</v>
      </c>
      <c r="M4364" t="s">
        <v>99</v>
      </c>
      <c r="N4364" s="1">
        <v>41631</v>
      </c>
      <c r="O4364">
        <v>14801.82</v>
      </c>
      <c r="P4364">
        <v>3700.4</v>
      </c>
      <c r="Q4364" t="s">
        <v>28</v>
      </c>
      <c r="R4364" t="s">
        <v>71</v>
      </c>
      <c r="S4364" t="s">
        <v>305</v>
      </c>
      <c r="T4364" t="s">
        <v>306</v>
      </c>
    </row>
    <row r="4365" spans="1:20" x14ac:dyDescent="0.25">
      <c r="A4365" t="s">
        <v>10106</v>
      </c>
      <c r="B4365" t="str">
        <f>"2472"</f>
        <v>2472</v>
      </c>
      <c r="C4365" t="str">
        <f>"198522472"</f>
        <v>198522472</v>
      </c>
      <c r="D4365" t="s">
        <v>10107</v>
      </c>
      <c r="E4365" t="s">
        <v>430</v>
      </c>
      <c r="G4365" s="1">
        <v>22326</v>
      </c>
      <c r="H4365" s="1">
        <v>36752</v>
      </c>
      <c r="I4365" t="str">
        <f t="shared" si="101"/>
        <v>20</v>
      </c>
      <c r="J4365" t="s">
        <v>123</v>
      </c>
      <c r="K4365" t="s">
        <v>98</v>
      </c>
      <c r="L4365" t="s">
        <v>37</v>
      </c>
      <c r="M4365" t="s">
        <v>117</v>
      </c>
      <c r="N4365" s="1">
        <v>41631</v>
      </c>
      <c r="O4365">
        <v>4951.9799999999996</v>
      </c>
      <c r="P4365">
        <v>1237.94</v>
      </c>
      <c r="Q4365" t="s">
        <v>28</v>
      </c>
      <c r="R4365" t="s">
        <v>71</v>
      </c>
      <c r="S4365" t="s">
        <v>2190</v>
      </c>
      <c r="T4365" t="s">
        <v>2191</v>
      </c>
    </row>
    <row r="4366" spans="1:20" x14ac:dyDescent="0.25">
      <c r="A4366" t="s">
        <v>10108</v>
      </c>
      <c r="B4366" t="str">
        <f>"3511"</f>
        <v>3511</v>
      </c>
      <c r="C4366" t="str">
        <f>"297503511"</f>
        <v>297503511</v>
      </c>
      <c r="D4366" t="s">
        <v>10109</v>
      </c>
      <c r="E4366" t="s">
        <v>10110</v>
      </c>
      <c r="F4366" t="s">
        <v>28</v>
      </c>
      <c r="G4366" s="1">
        <v>19126</v>
      </c>
      <c r="H4366" s="1">
        <v>36752</v>
      </c>
      <c r="I4366" t="str">
        <f t="shared" si="101"/>
        <v>20</v>
      </c>
      <c r="J4366" t="s">
        <v>123</v>
      </c>
      <c r="K4366" t="s">
        <v>98</v>
      </c>
      <c r="L4366" t="s">
        <v>37</v>
      </c>
      <c r="M4366" t="s">
        <v>117</v>
      </c>
      <c r="N4366" s="1">
        <v>41631</v>
      </c>
      <c r="O4366">
        <v>4951.9799999999996</v>
      </c>
      <c r="P4366">
        <v>1237.94</v>
      </c>
      <c r="Q4366" t="s">
        <v>28</v>
      </c>
      <c r="R4366" t="s">
        <v>71</v>
      </c>
      <c r="S4366" t="s">
        <v>770</v>
      </c>
      <c r="T4366" t="s">
        <v>771</v>
      </c>
    </row>
    <row r="4367" spans="1:20" x14ac:dyDescent="0.25">
      <c r="A4367" t="s">
        <v>10111</v>
      </c>
      <c r="B4367" t="str">
        <f>"8176"</f>
        <v>8176</v>
      </c>
      <c r="C4367" t="str">
        <f>"577748176"</f>
        <v>577748176</v>
      </c>
      <c r="D4367" t="s">
        <v>563</v>
      </c>
      <c r="E4367" t="s">
        <v>8430</v>
      </c>
      <c r="F4367" t="s">
        <v>69</v>
      </c>
      <c r="G4367" s="1">
        <v>19232</v>
      </c>
      <c r="H4367" s="1">
        <v>36752</v>
      </c>
      <c r="I4367" t="str">
        <f t="shared" si="101"/>
        <v>20</v>
      </c>
      <c r="J4367" t="s">
        <v>123</v>
      </c>
      <c r="K4367" t="s">
        <v>175</v>
      </c>
      <c r="L4367" t="s">
        <v>37</v>
      </c>
      <c r="M4367" t="s">
        <v>117</v>
      </c>
      <c r="N4367" s="1">
        <v>41631</v>
      </c>
      <c r="O4367">
        <v>5288.8</v>
      </c>
      <c r="P4367">
        <v>1322.2</v>
      </c>
      <c r="Q4367" t="s">
        <v>28</v>
      </c>
      <c r="R4367" t="s">
        <v>29</v>
      </c>
      <c r="S4367" t="s">
        <v>1572</v>
      </c>
      <c r="T4367" t="s">
        <v>1573</v>
      </c>
    </row>
    <row r="4368" spans="1:20" x14ac:dyDescent="0.25">
      <c r="A4368" t="s">
        <v>10112</v>
      </c>
      <c r="B4368" t="str">
        <f>"6501"</f>
        <v>6501</v>
      </c>
      <c r="C4368" t="str">
        <f>"297526501"</f>
        <v>297526501</v>
      </c>
      <c r="D4368" t="s">
        <v>122</v>
      </c>
      <c r="E4368" t="s">
        <v>197</v>
      </c>
      <c r="F4368" t="s">
        <v>93</v>
      </c>
      <c r="G4368" s="1">
        <v>20480</v>
      </c>
      <c r="H4368" s="1">
        <v>36752</v>
      </c>
      <c r="I4368" t="str">
        <f t="shared" si="101"/>
        <v>20</v>
      </c>
      <c r="J4368" t="s">
        <v>123</v>
      </c>
      <c r="K4368" t="s">
        <v>98</v>
      </c>
      <c r="L4368" t="s">
        <v>37</v>
      </c>
      <c r="M4368" t="s">
        <v>99</v>
      </c>
      <c r="N4368" s="1">
        <v>41631</v>
      </c>
      <c r="O4368">
        <v>14801.82</v>
      </c>
      <c r="P4368">
        <v>3700.4</v>
      </c>
      <c r="Q4368" t="s">
        <v>28</v>
      </c>
      <c r="R4368" t="s">
        <v>71</v>
      </c>
      <c r="S4368" t="s">
        <v>857</v>
      </c>
      <c r="T4368" t="s">
        <v>858</v>
      </c>
    </row>
    <row r="4369" spans="1:20" x14ac:dyDescent="0.25">
      <c r="A4369" t="s">
        <v>10113</v>
      </c>
      <c r="B4369" t="str">
        <f>"7689"</f>
        <v>7689</v>
      </c>
      <c r="C4369" t="str">
        <f>"181627689"</f>
        <v>181627689</v>
      </c>
      <c r="D4369" t="s">
        <v>310</v>
      </c>
      <c r="E4369" t="s">
        <v>263</v>
      </c>
      <c r="F4369" t="s">
        <v>219</v>
      </c>
      <c r="G4369" s="1">
        <v>24941</v>
      </c>
      <c r="H4369" s="1">
        <v>36752</v>
      </c>
      <c r="I4369" t="str">
        <f t="shared" si="101"/>
        <v>20</v>
      </c>
      <c r="J4369" t="s">
        <v>123</v>
      </c>
      <c r="K4369" t="s">
        <v>98</v>
      </c>
      <c r="L4369" t="s">
        <v>37</v>
      </c>
      <c r="M4369" t="s">
        <v>99</v>
      </c>
      <c r="N4369" s="1">
        <v>41631</v>
      </c>
      <c r="O4369">
        <v>14801.82</v>
      </c>
      <c r="P4369">
        <v>3700.4</v>
      </c>
      <c r="Q4369" t="s">
        <v>28</v>
      </c>
      <c r="R4369" t="s">
        <v>71</v>
      </c>
      <c r="S4369" t="s">
        <v>157</v>
      </c>
      <c r="T4369" t="s">
        <v>158</v>
      </c>
    </row>
    <row r="4370" spans="1:20" x14ac:dyDescent="0.25">
      <c r="A4370" t="s">
        <v>10114</v>
      </c>
      <c r="B4370" t="str">
        <f>"5268"</f>
        <v>5268</v>
      </c>
      <c r="C4370" t="str">
        <f>"272705268"</f>
        <v>272705268</v>
      </c>
      <c r="D4370" t="s">
        <v>10115</v>
      </c>
      <c r="E4370" t="s">
        <v>197</v>
      </c>
      <c r="F4370" t="s">
        <v>37</v>
      </c>
      <c r="G4370" s="1">
        <v>21694</v>
      </c>
      <c r="H4370" s="1">
        <v>36745</v>
      </c>
      <c r="I4370" t="str">
        <f t="shared" si="101"/>
        <v>20</v>
      </c>
      <c r="J4370" t="s">
        <v>123</v>
      </c>
      <c r="K4370" t="s">
        <v>98</v>
      </c>
      <c r="L4370" t="s">
        <v>37</v>
      </c>
      <c r="M4370" t="s">
        <v>117</v>
      </c>
      <c r="N4370" s="1">
        <v>41631</v>
      </c>
      <c r="O4370">
        <v>4951.9799999999996</v>
      </c>
      <c r="P4370">
        <v>1237.94</v>
      </c>
      <c r="Q4370" t="s">
        <v>28</v>
      </c>
      <c r="R4370" t="s">
        <v>29</v>
      </c>
      <c r="S4370" t="s">
        <v>5657</v>
      </c>
      <c r="T4370" t="s">
        <v>5658</v>
      </c>
    </row>
    <row r="4371" spans="1:20" x14ac:dyDescent="0.25">
      <c r="A4371" t="s">
        <v>10116</v>
      </c>
      <c r="B4371" t="str">
        <f>"6838"</f>
        <v>6838</v>
      </c>
      <c r="C4371" t="str">
        <f>"268686838"</f>
        <v>268686838</v>
      </c>
      <c r="D4371" t="s">
        <v>10117</v>
      </c>
      <c r="E4371" t="s">
        <v>122</v>
      </c>
      <c r="F4371" t="s">
        <v>329</v>
      </c>
      <c r="G4371" s="1">
        <v>23428</v>
      </c>
      <c r="H4371" s="1">
        <v>36745</v>
      </c>
      <c r="I4371" t="str">
        <f t="shared" si="101"/>
        <v>20</v>
      </c>
      <c r="J4371" t="s">
        <v>123</v>
      </c>
      <c r="L4371" t="s">
        <v>37</v>
      </c>
      <c r="M4371" t="s">
        <v>143</v>
      </c>
      <c r="N4371" s="1">
        <v>41631</v>
      </c>
      <c r="O4371">
        <v>185.9</v>
      </c>
      <c r="P4371">
        <v>-185.9</v>
      </c>
      <c r="Q4371" t="s">
        <v>28</v>
      </c>
      <c r="R4371" t="s">
        <v>51</v>
      </c>
      <c r="S4371" t="s">
        <v>717</v>
      </c>
      <c r="T4371" t="s">
        <v>718</v>
      </c>
    </row>
    <row r="4372" spans="1:20" x14ac:dyDescent="0.25">
      <c r="A4372" t="s">
        <v>10118</v>
      </c>
      <c r="B4372" t="str">
        <f>"6172"</f>
        <v>6172</v>
      </c>
      <c r="C4372" t="str">
        <f>"290466172"</f>
        <v>290466172</v>
      </c>
      <c r="D4372" t="s">
        <v>10119</v>
      </c>
      <c r="E4372" t="s">
        <v>2152</v>
      </c>
      <c r="F4372" t="s">
        <v>93</v>
      </c>
      <c r="G4372" s="1">
        <v>17779</v>
      </c>
      <c r="H4372" s="1">
        <v>36745</v>
      </c>
      <c r="I4372" t="str">
        <f t="shared" si="101"/>
        <v>20</v>
      </c>
      <c r="J4372" t="s">
        <v>123</v>
      </c>
      <c r="K4372" t="s">
        <v>98</v>
      </c>
      <c r="L4372" t="s">
        <v>37</v>
      </c>
      <c r="M4372" t="s">
        <v>117</v>
      </c>
      <c r="N4372" s="1">
        <v>41631</v>
      </c>
      <c r="O4372">
        <v>4951.9799999999996</v>
      </c>
      <c r="P4372">
        <v>1237.94</v>
      </c>
      <c r="Q4372" t="s">
        <v>37</v>
      </c>
      <c r="R4372" t="s">
        <v>71</v>
      </c>
      <c r="S4372" t="s">
        <v>2634</v>
      </c>
      <c r="T4372" t="s">
        <v>2635</v>
      </c>
    </row>
    <row r="4373" spans="1:20" x14ac:dyDescent="0.25">
      <c r="A4373" t="s">
        <v>10120</v>
      </c>
      <c r="B4373" t="str">
        <f>"6699"</f>
        <v>6699</v>
      </c>
      <c r="C4373" t="str">
        <f>"302586699"</f>
        <v>302586699</v>
      </c>
      <c r="D4373" t="s">
        <v>10121</v>
      </c>
      <c r="E4373" t="s">
        <v>1094</v>
      </c>
      <c r="F4373" t="s">
        <v>93</v>
      </c>
      <c r="G4373" s="1">
        <v>20814</v>
      </c>
      <c r="H4373" s="1">
        <v>36745</v>
      </c>
      <c r="I4373" t="str">
        <f t="shared" si="101"/>
        <v>20</v>
      </c>
      <c r="J4373" t="s">
        <v>123</v>
      </c>
      <c r="K4373" t="s">
        <v>98</v>
      </c>
      <c r="L4373" t="s">
        <v>37</v>
      </c>
      <c r="M4373" t="s">
        <v>257</v>
      </c>
      <c r="N4373" s="1">
        <v>41631</v>
      </c>
      <c r="O4373">
        <v>10753.16</v>
      </c>
      <c r="P4373">
        <v>2688.4</v>
      </c>
      <c r="Q4373" t="s">
        <v>37</v>
      </c>
      <c r="R4373" t="s">
        <v>71</v>
      </c>
      <c r="S4373" t="s">
        <v>808</v>
      </c>
      <c r="T4373" t="s">
        <v>809</v>
      </c>
    </row>
    <row r="4374" spans="1:20" x14ac:dyDescent="0.25">
      <c r="A4374" t="s">
        <v>10122</v>
      </c>
      <c r="B4374" t="str">
        <f>"7665"</f>
        <v>7665</v>
      </c>
      <c r="C4374" t="str">
        <f>"059727665"</f>
        <v>059727665</v>
      </c>
      <c r="D4374" t="s">
        <v>10123</v>
      </c>
      <c r="E4374" t="s">
        <v>1442</v>
      </c>
      <c r="G4374" s="1">
        <v>19242</v>
      </c>
      <c r="H4374" s="1">
        <v>36745</v>
      </c>
      <c r="I4374" t="str">
        <f t="shared" si="101"/>
        <v>20</v>
      </c>
      <c r="J4374" t="s">
        <v>123</v>
      </c>
      <c r="L4374" t="s">
        <v>37</v>
      </c>
      <c r="M4374" t="s">
        <v>143</v>
      </c>
      <c r="N4374" s="1">
        <v>41631</v>
      </c>
      <c r="O4374">
        <v>185.9</v>
      </c>
      <c r="P4374">
        <v>-185.9</v>
      </c>
      <c r="Q4374" t="s">
        <v>37</v>
      </c>
      <c r="R4374" t="s">
        <v>71</v>
      </c>
      <c r="S4374" t="s">
        <v>2602</v>
      </c>
      <c r="T4374" t="s">
        <v>2603</v>
      </c>
    </row>
    <row r="4375" spans="1:20" x14ac:dyDescent="0.25">
      <c r="A4375" t="s">
        <v>10124</v>
      </c>
      <c r="B4375" t="str">
        <f>"9481"</f>
        <v>9481</v>
      </c>
      <c r="C4375" t="str">
        <f>"266989481"</f>
        <v>266989481</v>
      </c>
      <c r="D4375" t="s">
        <v>517</v>
      </c>
      <c r="E4375" t="s">
        <v>509</v>
      </c>
      <c r="F4375" t="s">
        <v>69</v>
      </c>
      <c r="G4375" s="1">
        <v>18439</v>
      </c>
      <c r="H4375" s="1">
        <v>36745</v>
      </c>
      <c r="I4375" t="str">
        <f>"51"</f>
        <v>51</v>
      </c>
      <c r="J4375" t="s">
        <v>471</v>
      </c>
      <c r="K4375" t="s">
        <v>25</v>
      </c>
      <c r="L4375" t="s">
        <v>26</v>
      </c>
      <c r="M4375" t="s">
        <v>27</v>
      </c>
      <c r="N4375" s="1">
        <v>18629</v>
      </c>
      <c r="O4375">
        <v>0</v>
      </c>
      <c r="P4375">
        <v>0</v>
      </c>
      <c r="Q4375" t="s">
        <v>37</v>
      </c>
      <c r="R4375" t="s">
        <v>29</v>
      </c>
      <c r="S4375" t="s">
        <v>1494</v>
      </c>
      <c r="T4375" t="s">
        <v>1495</v>
      </c>
    </row>
    <row r="4376" spans="1:20" x14ac:dyDescent="0.25">
      <c r="A4376" t="s">
        <v>10125</v>
      </c>
      <c r="B4376" t="str">
        <f>"4302"</f>
        <v>4302</v>
      </c>
      <c r="C4376" t="str">
        <f>"285624302"</f>
        <v>285624302</v>
      </c>
      <c r="D4376" t="s">
        <v>10126</v>
      </c>
      <c r="E4376" t="s">
        <v>35</v>
      </c>
      <c r="F4376" t="s">
        <v>26</v>
      </c>
      <c r="G4376" s="1">
        <v>22252</v>
      </c>
      <c r="H4376" s="1">
        <v>36745</v>
      </c>
      <c r="I4376" t="str">
        <f>"20"</f>
        <v>20</v>
      </c>
      <c r="J4376" t="s">
        <v>123</v>
      </c>
      <c r="K4376" t="s">
        <v>175</v>
      </c>
      <c r="L4376" t="s">
        <v>37</v>
      </c>
      <c r="M4376" t="s">
        <v>257</v>
      </c>
      <c r="N4376" s="1">
        <v>41631</v>
      </c>
      <c r="O4376">
        <v>11847.88</v>
      </c>
      <c r="P4376">
        <v>2962.08</v>
      </c>
      <c r="Q4376" t="s">
        <v>28</v>
      </c>
      <c r="R4376" t="s">
        <v>71</v>
      </c>
      <c r="S4376" t="s">
        <v>923</v>
      </c>
      <c r="T4376" t="s">
        <v>924</v>
      </c>
    </row>
    <row r="4377" spans="1:20" x14ac:dyDescent="0.25">
      <c r="A4377" t="s">
        <v>10127</v>
      </c>
      <c r="B4377" t="str">
        <f>"5881"</f>
        <v>5881</v>
      </c>
      <c r="C4377" t="str">
        <f>"269545881"</f>
        <v>269545881</v>
      </c>
      <c r="D4377" t="s">
        <v>10128</v>
      </c>
      <c r="E4377" t="s">
        <v>1813</v>
      </c>
      <c r="F4377" t="s">
        <v>44</v>
      </c>
      <c r="G4377" s="1">
        <v>19240</v>
      </c>
      <c r="H4377" s="1">
        <v>36745</v>
      </c>
      <c r="I4377" t="str">
        <f>"20"</f>
        <v>20</v>
      </c>
      <c r="J4377" t="s">
        <v>123</v>
      </c>
      <c r="K4377" t="s">
        <v>98</v>
      </c>
      <c r="L4377" t="s">
        <v>37</v>
      </c>
      <c r="M4377" t="s">
        <v>117</v>
      </c>
      <c r="N4377" s="1">
        <v>41631</v>
      </c>
      <c r="O4377">
        <v>4951.9799999999996</v>
      </c>
      <c r="P4377">
        <v>1237.94</v>
      </c>
      <c r="Q4377" t="s">
        <v>37</v>
      </c>
      <c r="R4377" t="s">
        <v>71</v>
      </c>
      <c r="S4377" t="s">
        <v>2458</v>
      </c>
      <c r="T4377" t="s">
        <v>2459</v>
      </c>
    </row>
    <row r="4378" spans="1:20" x14ac:dyDescent="0.25">
      <c r="A4378" t="s">
        <v>10129</v>
      </c>
      <c r="B4378" t="str">
        <f>"5110"</f>
        <v>5110</v>
      </c>
      <c r="C4378" t="str">
        <f>"281605110"</f>
        <v>281605110</v>
      </c>
      <c r="D4378" t="s">
        <v>10130</v>
      </c>
      <c r="E4378" t="s">
        <v>789</v>
      </c>
      <c r="F4378" t="s">
        <v>7606</v>
      </c>
      <c r="G4378" s="1">
        <v>24516</v>
      </c>
      <c r="H4378" s="1">
        <v>36745</v>
      </c>
      <c r="I4378" t="str">
        <f>"20"</f>
        <v>20</v>
      </c>
      <c r="J4378" t="s">
        <v>123</v>
      </c>
      <c r="L4378" t="s">
        <v>37</v>
      </c>
      <c r="M4378" t="s">
        <v>143</v>
      </c>
      <c r="N4378" s="1">
        <v>41631</v>
      </c>
      <c r="O4378">
        <v>185.9</v>
      </c>
      <c r="P4378">
        <v>-185.9</v>
      </c>
      <c r="Q4378" t="s">
        <v>37</v>
      </c>
      <c r="R4378" t="s">
        <v>71</v>
      </c>
      <c r="S4378" t="s">
        <v>2190</v>
      </c>
      <c r="T4378" t="s">
        <v>2191</v>
      </c>
    </row>
    <row r="4379" spans="1:20" x14ac:dyDescent="0.25">
      <c r="A4379" t="s">
        <v>10131</v>
      </c>
      <c r="B4379" t="str">
        <f>"1541"</f>
        <v>1541</v>
      </c>
      <c r="C4379" t="str">
        <f>"294361541"</f>
        <v>294361541</v>
      </c>
      <c r="D4379" t="s">
        <v>9947</v>
      </c>
      <c r="E4379" t="s">
        <v>1247</v>
      </c>
      <c r="F4379" t="s">
        <v>93</v>
      </c>
      <c r="G4379" s="1">
        <v>15587</v>
      </c>
      <c r="H4379" s="1">
        <v>36745</v>
      </c>
      <c r="I4379" t="str">
        <f>"20"</f>
        <v>20</v>
      </c>
      <c r="J4379" t="s">
        <v>123</v>
      </c>
      <c r="K4379" t="s">
        <v>98</v>
      </c>
      <c r="L4379" t="s">
        <v>37</v>
      </c>
      <c r="M4379" t="s">
        <v>257</v>
      </c>
      <c r="N4379" s="1">
        <v>41631</v>
      </c>
      <c r="O4379">
        <v>10753.16</v>
      </c>
      <c r="P4379">
        <v>2688.4</v>
      </c>
      <c r="Q4379" t="s">
        <v>28</v>
      </c>
      <c r="R4379" t="s">
        <v>51</v>
      </c>
      <c r="S4379" s="2" t="s">
        <v>4664</v>
      </c>
      <c r="T4379" t="s">
        <v>4665</v>
      </c>
    </row>
    <row r="4380" spans="1:20" x14ac:dyDescent="0.25">
      <c r="A4380" t="s">
        <v>10132</v>
      </c>
      <c r="B4380" t="str">
        <f>"6228"</f>
        <v>6228</v>
      </c>
      <c r="C4380" t="str">
        <f>"281586228"</f>
        <v>281586228</v>
      </c>
      <c r="D4380" t="s">
        <v>10133</v>
      </c>
      <c r="E4380" t="s">
        <v>856</v>
      </c>
      <c r="F4380" t="s">
        <v>28</v>
      </c>
      <c r="G4380" s="1">
        <v>19735</v>
      </c>
      <c r="H4380" s="1">
        <v>36745</v>
      </c>
      <c r="I4380" t="str">
        <f>"20"</f>
        <v>20</v>
      </c>
      <c r="J4380" t="s">
        <v>123</v>
      </c>
      <c r="K4380" t="s">
        <v>98</v>
      </c>
      <c r="L4380" t="s">
        <v>37</v>
      </c>
      <c r="M4380" t="s">
        <v>257</v>
      </c>
      <c r="N4380" s="1">
        <v>41631</v>
      </c>
      <c r="O4380">
        <v>10753.16</v>
      </c>
      <c r="P4380">
        <v>2688.4</v>
      </c>
      <c r="Q4380" t="s">
        <v>37</v>
      </c>
      <c r="R4380" t="s">
        <v>29</v>
      </c>
      <c r="S4380" t="s">
        <v>1555</v>
      </c>
      <c r="T4380" t="s">
        <v>1556</v>
      </c>
    </row>
    <row r="4381" spans="1:20" x14ac:dyDescent="0.25">
      <c r="A4381" t="s">
        <v>10134</v>
      </c>
      <c r="B4381" t="str">
        <f>"6983"</f>
        <v>6983</v>
      </c>
      <c r="C4381" t="str">
        <f>"273386983"</f>
        <v>273386983</v>
      </c>
      <c r="D4381" t="s">
        <v>10135</v>
      </c>
      <c r="E4381" t="s">
        <v>335</v>
      </c>
      <c r="F4381" t="s">
        <v>37</v>
      </c>
      <c r="G4381" s="1">
        <v>16209</v>
      </c>
      <c r="H4381" s="1">
        <v>36731</v>
      </c>
      <c r="I4381" t="str">
        <f>"03"</f>
        <v>03</v>
      </c>
      <c r="J4381" t="s">
        <v>70</v>
      </c>
      <c r="K4381" t="s">
        <v>98</v>
      </c>
      <c r="L4381" t="s">
        <v>37</v>
      </c>
      <c r="M4381" t="s">
        <v>257</v>
      </c>
      <c r="N4381" s="1">
        <v>41617</v>
      </c>
      <c r="O4381">
        <v>10753.08</v>
      </c>
      <c r="P4381">
        <v>2688.4</v>
      </c>
      <c r="Q4381" t="s">
        <v>28</v>
      </c>
      <c r="R4381" t="s">
        <v>258</v>
      </c>
      <c r="S4381" t="s">
        <v>5564</v>
      </c>
      <c r="T4381" t="s">
        <v>5565</v>
      </c>
    </row>
    <row r="4382" spans="1:20" x14ac:dyDescent="0.25">
      <c r="A4382" t="s">
        <v>10136</v>
      </c>
      <c r="B4382" t="str">
        <f>"3596"</f>
        <v>3596</v>
      </c>
      <c r="C4382" t="str">
        <f>"300683596"</f>
        <v>300683596</v>
      </c>
      <c r="D4382" t="s">
        <v>782</v>
      </c>
      <c r="E4382" t="s">
        <v>129</v>
      </c>
      <c r="F4382" t="s">
        <v>28</v>
      </c>
      <c r="G4382" s="1">
        <v>22702</v>
      </c>
      <c r="H4382" s="1">
        <v>36676</v>
      </c>
      <c r="I4382" t="str">
        <f>"51"</f>
        <v>51</v>
      </c>
      <c r="J4382" t="s">
        <v>471</v>
      </c>
      <c r="K4382" t="s">
        <v>25</v>
      </c>
      <c r="L4382" t="s">
        <v>26</v>
      </c>
      <c r="M4382" t="s">
        <v>27</v>
      </c>
      <c r="N4382" s="1">
        <v>18629</v>
      </c>
      <c r="O4382">
        <v>0</v>
      </c>
      <c r="P4382">
        <v>0</v>
      </c>
      <c r="Q4382" t="s">
        <v>37</v>
      </c>
      <c r="R4382" t="s">
        <v>51</v>
      </c>
      <c r="S4382" t="s">
        <v>1517</v>
      </c>
      <c r="T4382" t="s">
        <v>1518</v>
      </c>
    </row>
    <row r="4383" spans="1:20" x14ac:dyDescent="0.25">
      <c r="A4383" t="s">
        <v>10137</v>
      </c>
      <c r="B4383" t="str">
        <f>"6804"</f>
        <v>6804</v>
      </c>
      <c r="C4383" t="str">
        <f>"269666804"</f>
        <v>269666804</v>
      </c>
      <c r="D4383" t="s">
        <v>1156</v>
      </c>
      <c r="E4383" t="s">
        <v>2931</v>
      </c>
      <c r="F4383" t="s">
        <v>44</v>
      </c>
      <c r="G4383" s="1">
        <v>21709</v>
      </c>
      <c r="H4383" s="1">
        <v>36647</v>
      </c>
      <c r="I4383" t="str">
        <f>"09"</f>
        <v>09</v>
      </c>
      <c r="J4383" t="s">
        <v>4483</v>
      </c>
      <c r="K4383" t="s">
        <v>98</v>
      </c>
      <c r="L4383" t="s">
        <v>37</v>
      </c>
      <c r="M4383" t="s">
        <v>117</v>
      </c>
      <c r="N4383" s="1">
        <v>41617</v>
      </c>
      <c r="O4383">
        <v>4951.96</v>
      </c>
      <c r="P4383">
        <v>1237.8599999999999</v>
      </c>
      <c r="Q4383" t="s">
        <v>37</v>
      </c>
      <c r="R4383" t="s">
        <v>29</v>
      </c>
      <c r="S4383" t="s">
        <v>3986</v>
      </c>
      <c r="T4383" t="s">
        <v>3987</v>
      </c>
    </row>
    <row r="4384" spans="1:20" x14ac:dyDescent="0.25">
      <c r="A4384" t="s">
        <v>10138</v>
      </c>
      <c r="B4384" t="str">
        <f>"1651"</f>
        <v>1651</v>
      </c>
      <c r="C4384" t="str">
        <f>"287521651"</f>
        <v>287521651</v>
      </c>
      <c r="D4384" t="s">
        <v>10139</v>
      </c>
      <c r="E4384" t="s">
        <v>756</v>
      </c>
      <c r="G4384" s="1">
        <v>24118</v>
      </c>
      <c r="H4384" s="1">
        <v>36633</v>
      </c>
      <c r="I4384" t="str">
        <f>"20"</f>
        <v>20</v>
      </c>
      <c r="J4384" t="s">
        <v>123</v>
      </c>
      <c r="K4384" t="s">
        <v>98</v>
      </c>
      <c r="L4384" t="s">
        <v>37</v>
      </c>
      <c r="M4384" t="s">
        <v>99</v>
      </c>
      <c r="N4384" s="1">
        <v>41631</v>
      </c>
      <c r="O4384">
        <v>14801.82</v>
      </c>
      <c r="P4384">
        <v>3700.4</v>
      </c>
      <c r="Q4384" t="s">
        <v>37</v>
      </c>
      <c r="R4384" t="s">
        <v>29</v>
      </c>
      <c r="S4384" t="s">
        <v>240</v>
      </c>
      <c r="T4384" t="s">
        <v>241</v>
      </c>
    </row>
    <row r="4385" spans="1:20" x14ac:dyDescent="0.25">
      <c r="A4385" t="s">
        <v>10140</v>
      </c>
      <c r="B4385" t="str">
        <f>"6251"</f>
        <v>6251</v>
      </c>
      <c r="C4385" t="str">
        <f>"300386251"</f>
        <v>300386251</v>
      </c>
      <c r="D4385" t="s">
        <v>10141</v>
      </c>
      <c r="E4385" t="s">
        <v>1067</v>
      </c>
      <c r="F4385" t="s">
        <v>97</v>
      </c>
      <c r="G4385" s="1">
        <v>16296</v>
      </c>
      <c r="H4385" s="1">
        <v>36607</v>
      </c>
      <c r="I4385" t="str">
        <f>"33"</f>
        <v>33</v>
      </c>
      <c r="J4385" t="s">
        <v>45</v>
      </c>
      <c r="K4385" t="s">
        <v>25</v>
      </c>
      <c r="L4385" t="s">
        <v>26</v>
      </c>
      <c r="M4385" t="s">
        <v>27</v>
      </c>
      <c r="N4385" s="1">
        <v>18629</v>
      </c>
      <c r="O4385">
        <v>0</v>
      </c>
      <c r="P4385">
        <v>0</v>
      </c>
      <c r="Q4385" t="s">
        <v>28</v>
      </c>
      <c r="R4385" t="s">
        <v>71</v>
      </c>
      <c r="S4385" t="s">
        <v>955</v>
      </c>
      <c r="T4385" t="s">
        <v>956</v>
      </c>
    </row>
    <row r="4386" spans="1:20" x14ac:dyDescent="0.25">
      <c r="A4386" t="s">
        <v>10142</v>
      </c>
      <c r="B4386" t="str">
        <f>"2145"</f>
        <v>2145</v>
      </c>
      <c r="C4386" t="str">
        <f>"099422145"</f>
        <v>099422145</v>
      </c>
      <c r="D4386" t="s">
        <v>10143</v>
      </c>
      <c r="E4386" t="s">
        <v>22</v>
      </c>
      <c r="F4386" t="s">
        <v>264</v>
      </c>
      <c r="G4386" s="1">
        <v>17744</v>
      </c>
      <c r="H4386" s="1">
        <v>36598</v>
      </c>
      <c r="I4386" t="str">
        <f>"12"</f>
        <v>12</v>
      </c>
      <c r="J4386" t="s">
        <v>245</v>
      </c>
      <c r="K4386" t="s">
        <v>98</v>
      </c>
      <c r="L4386" t="s">
        <v>37</v>
      </c>
      <c r="M4386" t="s">
        <v>257</v>
      </c>
      <c r="N4386" s="1">
        <v>41617</v>
      </c>
      <c r="O4386">
        <v>10753.08</v>
      </c>
      <c r="P4386">
        <v>2688.4</v>
      </c>
      <c r="Q4386" t="s">
        <v>28</v>
      </c>
      <c r="R4386" t="s">
        <v>71</v>
      </c>
      <c r="S4386" t="s">
        <v>477</v>
      </c>
      <c r="T4386" t="s">
        <v>478</v>
      </c>
    </row>
    <row r="4387" spans="1:20" x14ac:dyDescent="0.25">
      <c r="A4387" t="s">
        <v>10144</v>
      </c>
      <c r="B4387" t="str">
        <f>"1678"</f>
        <v>1678</v>
      </c>
      <c r="C4387" t="str">
        <f>"302481678"</f>
        <v>302481678</v>
      </c>
      <c r="D4387" t="s">
        <v>10145</v>
      </c>
      <c r="E4387" t="s">
        <v>184</v>
      </c>
      <c r="F4387" t="s">
        <v>44</v>
      </c>
      <c r="G4387" s="1">
        <v>19027</v>
      </c>
      <c r="H4387" s="1">
        <v>36584</v>
      </c>
      <c r="I4387" t="str">
        <f>"05"</f>
        <v>05</v>
      </c>
      <c r="J4387" t="s">
        <v>58</v>
      </c>
      <c r="K4387" t="s">
        <v>175</v>
      </c>
      <c r="L4387" t="s">
        <v>37</v>
      </c>
      <c r="M4387" t="s">
        <v>117</v>
      </c>
      <c r="N4387" s="1">
        <v>41617</v>
      </c>
      <c r="O4387">
        <v>5288.66</v>
      </c>
      <c r="P4387">
        <v>1322.1</v>
      </c>
      <c r="Q4387" t="s">
        <v>37</v>
      </c>
      <c r="R4387" t="s">
        <v>51</v>
      </c>
      <c r="S4387" s="2" t="s">
        <v>198</v>
      </c>
      <c r="T4387" t="s">
        <v>199</v>
      </c>
    </row>
    <row r="4388" spans="1:20" x14ac:dyDescent="0.25">
      <c r="A4388" t="s">
        <v>10146</v>
      </c>
      <c r="B4388" t="str">
        <f>"8347"</f>
        <v>8347</v>
      </c>
      <c r="C4388" t="str">
        <f>"278868347"</f>
        <v>278868347</v>
      </c>
      <c r="D4388" t="s">
        <v>10147</v>
      </c>
      <c r="E4388" t="s">
        <v>35</v>
      </c>
      <c r="F4388" t="s">
        <v>97</v>
      </c>
      <c r="G4388" s="1">
        <v>26723</v>
      </c>
      <c r="H4388" s="1">
        <v>36549</v>
      </c>
      <c r="I4388" t="str">
        <f>"08"</f>
        <v>08</v>
      </c>
      <c r="J4388" t="s">
        <v>265</v>
      </c>
      <c r="K4388" t="s">
        <v>98</v>
      </c>
      <c r="L4388" t="s">
        <v>37</v>
      </c>
      <c r="M4388" t="s">
        <v>99</v>
      </c>
      <c r="N4388" s="1">
        <v>41617</v>
      </c>
      <c r="O4388">
        <v>14801.8</v>
      </c>
      <c r="P4388">
        <v>3700.32</v>
      </c>
      <c r="Q4388" t="s">
        <v>28</v>
      </c>
      <c r="R4388" t="s">
        <v>51</v>
      </c>
      <c r="S4388" t="s">
        <v>266</v>
      </c>
      <c r="T4388" t="s">
        <v>267</v>
      </c>
    </row>
    <row r="4389" spans="1:20" x14ac:dyDescent="0.25">
      <c r="A4389" t="s">
        <v>10148</v>
      </c>
      <c r="B4389" t="str">
        <f>"5024"</f>
        <v>5024</v>
      </c>
      <c r="C4389" t="str">
        <f>"271365024"</f>
        <v>271365024</v>
      </c>
      <c r="D4389" t="s">
        <v>10149</v>
      </c>
      <c r="E4389" t="s">
        <v>6198</v>
      </c>
      <c r="F4389" t="s">
        <v>37</v>
      </c>
      <c r="G4389" s="1">
        <v>14853</v>
      </c>
      <c r="H4389" s="1">
        <v>36549</v>
      </c>
      <c r="I4389" t="str">
        <f t="shared" ref="I4389:I4395" si="102">"51"</f>
        <v>51</v>
      </c>
      <c r="J4389" t="s">
        <v>471</v>
      </c>
      <c r="K4389" t="s">
        <v>25</v>
      </c>
      <c r="L4389" t="s">
        <v>26</v>
      </c>
      <c r="M4389" t="s">
        <v>27</v>
      </c>
      <c r="N4389" s="1">
        <v>18629</v>
      </c>
      <c r="O4389">
        <v>0</v>
      </c>
      <c r="P4389">
        <v>0</v>
      </c>
      <c r="Q4389" t="s">
        <v>28</v>
      </c>
      <c r="R4389" t="s">
        <v>29</v>
      </c>
      <c r="S4389" t="s">
        <v>1555</v>
      </c>
      <c r="T4389" t="s">
        <v>1556</v>
      </c>
    </row>
    <row r="4390" spans="1:20" x14ac:dyDescent="0.25">
      <c r="A4390" t="s">
        <v>10150</v>
      </c>
      <c r="B4390" t="str">
        <f>"4694"</f>
        <v>4694</v>
      </c>
      <c r="C4390" t="str">
        <f>"228154694"</f>
        <v>228154694</v>
      </c>
      <c r="D4390" t="s">
        <v>10151</v>
      </c>
      <c r="E4390" t="s">
        <v>3646</v>
      </c>
      <c r="F4390" t="s">
        <v>414</v>
      </c>
      <c r="G4390" s="1">
        <v>22962</v>
      </c>
      <c r="H4390" s="1">
        <v>36543</v>
      </c>
      <c r="I4390" t="str">
        <f t="shared" si="102"/>
        <v>51</v>
      </c>
      <c r="J4390" t="s">
        <v>471</v>
      </c>
      <c r="K4390" t="s">
        <v>25</v>
      </c>
      <c r="L4390" t="s">
        <v>26</v>
      </c>
      <c r="M4390" t="s">
        <v>27</v>
      </c>
      <c r="N4390" s="1">
        <v>18629</v>
      </c>
      <c r="O4390">
        <v>0</v>
      </c>
      <c r="P4390">
        <v>0</v>
      </c>
      <c r="Q4390" t="s">
        <v>28</v>
      </c>
      <c r="R4390" t="s">
        <v>51</v>
      </c>
      <c r="S4390" t="s">
        <v>808</v>
      </c>
      <c r="T4390" t="s">
        <v>809</v>
      </c>
    </row>
    <row r="4391" spans="1:20" x14ac:dyDescent="0.25">
      <c r="A4391" t="s">
        <v>10152</v>
      </c>
      <c r="B4391" t="str">
        <f>"5606"</f>
        <v>5606</v>
      </c>
      <c r="C4391" t="str">
        <f>"567685606"</f>
        <v>567685606</v>
      </c>
      <c r="D4391" t="s">
        <v>5247</v>
      </c>
      <c r="E4391" t="s">
        <v>1001</v>
      </c>
      <c r="F4391" t="s">
        <v>556</v>
      </c>
      <c r="G4391" s="1">
        <v>17149</v>
      </c>
      <c r="H4391" s="1">
        <v>36543</v>
      </c>
      <c r="I4391" t="str">
        <f t="shared" si="102"/>
        <v>51</v>
      </c>
      <c r="J4391" t="s">
        <v>471</v>
      </c>
      <c r="K4391" t="s">
        <v>25</v>
      </c>
      <c r="L4391" t="s">
        <v>26</v>
      </c>
      <c r="M4391" t="s">
        <v>27</v>
      </c>
      <c r="N4391" s="1">
        <v>18629</v>
      </c>
      <c r="O4391">
        <v>0</v>
      </c>
      <c r="P4391">
        <v>0</v>
      </c>
      <c r="Q4391" t="s">
        <v>28</v>
      </c>
      <c r="R4391" t="s">
        <v>29</v>
      </c>
      <c r="S4391" t="s">
        <v>1605</v>
      </c>
      <c r="T4391" t="s">
        <v>1606</v>
      </c>
    </row>
    <row r="4392" spans="1:20" x14ac:dyDescent="0.25">
      <c r="A4392" t="s">
        <v>10153</v>
      </c>
      <c r="B4392" t="str">
        <f>"6663"</f>
        <v>6663</v>
      </c>
      <c r="C4392" t="str">
        <f>"300426663"</f>
        <v>300426663</v>
      </c>
      <c r="D4392" t="s">
        <v>10154</v>
      </c>
      <c r="E4392" t="s">
        <v>10155</v>
      </c>
      <c r="F4392" t="s">
        <v>10156</v>
      </c>
      <c r="G4392" s="1">
        <v>17606</v>
      </c>
      <c r="H4392" s="1">
        <v>36543</v>
      </c>
      <c r="I4392" t="str">
        <f t="shared" si="102"/>
        <v>51</v>
      </c>
      <c r="J4392" t="s">
        <v>471</v>
      </c>
      <c r="K4392" t="s">
        <v>25</v>
      </c>
      <c r="L4392" t="s">
        <v>26</v>
      </c>
      <c r="M4392" t="s">
        <v>27</v>
      </c>
      <c r="N4392" s="1">
        <v>18629</v>
      </c>
      <c r="O4392">
        <v>0</v>
      </c>
      <c r="P4392">
        <v>0</v>
      </c>
      <c r="Q4392" t="s">
        <v>37</v>
      </c>
      <c r="R4392" t="s">
        <v>71</v>
      </c>
      <c r="S4392" t="s">
        <v>10157</v>
      </c>
      <c r="T4392" t="s">
        <v>10158</v>
      </c>
    </row>
    <row r="4393" spans="1:20" x14ac:dyDescent="0.25">
      <c r="A4393" t="s">
        <v>10159</v>
      </c>
      <c r="B4393" t="str">
        <f>"0919"</f>
        <v>0919</v>
      </c>
      <c r="C4393" t="str">
        <f>"297780919"</f>
        <v>297780919</v>
      </c>
      <c r="D4393" t="s">
        <v>10160</v>
      </c>
      <c r="E4393" t="s">
        <v>10161</v>
      </c>
      <c r="G4393" s="1">
        <v>20223</v>
      </c>
      <c r="H4393" s="1">
        <v>36543</v>
      </c>
      <c r="I4393" t="str">
        <f t="shared" si="102"/>
        <v>51</v>
      </c>
      <c r="J4393" t="s">
        <v>471</v>
      </c>
      <c r="K4393" t="s">
        <v>25</v>
      </c>
      <c r="L4393" t="s">
        <v>26</v>
      </c>
      <c r="M4393" t="s">
        <v>27</v>
      </c>
      <c r="N4393" s="1">
        <v>18629</v>
      </c>
      <c r="O4393">
        <v>0</v>
      </c>
      <c r="P4393">
        <v>0</v>
      </c>
      <c r="Q4393" t="s">
        <v>37</v>
      </c>
      <c r="R4393" t="s">
        <v>51</v>
      </c>
      <c r="S4393" t="s">
        <v>1572</v>
      </c>
      <c r="T4393" t="s">
        <v>1573</v>
      </c>
    </row>
    <row r="4394" spans="1:20" x14ac:dyDescent="0.25">
      <c r="A4394" t="s">
        <v>10162</v>
      </c>
      <c r="B4394" t="str">
        <f>"5988"</f>
        <v>5988</v>
      </c>
      <c r="C4394" t="str">
        <f>"297605988"</f>
        <v>297605988</v>
      </c>
      <c r="D4394" t="s">
        <v>10163</v>
      </c>
      <c r="E4394" t="s">
        <v>10164</v>
      </c>
      <c r="F4394" t="s">
        <v>239</v>
      </c>
      <c r="G4394" s="1">
        <v>19976</v>
      </c>
      <c r="H4394" s="1">
        <v>36543</v>
      </c>
      <c r="I4394" t="str">
        <f t="shared" si="102"/>
        <v>51</v>
      </c>
      <c r="J4394" t="s">
        <v>471</v>
      </c>
      <c r="K4394" t="s">
        <v>25</v>
      </c>
      <c r="L4394" t="s">
        <v>26</v>
      </c>
      <c r="M4394" t="s">
        <v>27</v>
      </c>
      <c r="N4394" s="1">
        <v>18629</v>
      </c>
      <c r="O4394">
        <v>0</v>
      </c>
      <c r="P4394">
        <v>0</v>
      </c>
      <c r="Q4394" t="s">
        <v>28</v>
      </c>
      <c r="R4394" t="s">
        <v>29</v>
      </c>
      <c r="S4394" t="s">
        <v>1555</v>
      </c>
      <c r="T4394" t="s">
        <v>1556</v>
      </c>
    </row>
    <row r="4395" spans="1:20" x14ac:dyDescent="0.25">
      <c r="A4395" t="s">
        <v>10165</v>
      </c>
      <c r="B4395" t="str">
        <f>"0679"</f>
        <v>0679</v>
      </c>
      <c r="C4395" t="str">
        <f>"276380679"</f>
        <v>276380679</v>
      </c>
      <c r="D4395" t="s">
        <v>6855</v>
      </c>
      <c r="E4395" t="s">
        <v>179</v>
      </c>
      <c r="F4395" t="s">
        <v>438</v>
      </c>
      <c r="G4395" s="1">
        <v>15100</v>
      </c>
      <c r="H4395" s="1">
        <v>36543</v>
      </c>
      <c r="I4395" t="str">
        <f t="shared" si="102"/>
        <v>51</v>
      </c>
      <c r="J4395" t="s">
        <v>471</v>
      </c>
      <c r="K4395" t="s">
        <v>25</v>
      </c>
      <c r="L4395" t="s">
        <v>26</v>
      </c>
      <c r="M4395" t="s">
        <v>27</v>
      </c>
      <c r="N4395" s="1">
        <v>18629</v>
      </c>
      <c r="O4395">
        <v>0</v>
      </c>
      <c r="P4395">
        <v>0</v>
      </c>
      <c r="Q4395" t="s">
        <v>28</v>
      </c>
      <c r="R4395" t="s">
        <v>51</v>
      </c>
      <c r="S4395" s="2" t="s">
        <v>5804</v>
      </c>
      <c r="T4395" t="s">
        <v>5805</v>
      </c>
    </row>
    <row r="4396" spans="1:20" x14ac:dyDescent="0.25">
      <c r="A4396" t="s">
        <v>10166</v>
      </c>
      <c r="B4396" t="str">
        <f>"4010"</f>
        <v>4010</v>
      </c>
      <c r="C4396" t="str">
        <f>"290504010"</f>
        <v>290504010</v>
      </c>
      <c r="D4396" t="s">
        <v>4466</v>
      </c>
      <c r="E4396" t="s">
        <v>1813</v>
      </c>
      <c r="G4396" s="1">
        <v>16612</v>
      </c>
      <c r="H4396" s="1">
        <v>36543</v>
      </c>
      <c r="I4396" t="str">
        <f>"33"</f>
        <v>33</v>
      </c>
      <c r="J4396" t="s">
        <v>45</v>
      </c>
      <c r="K4396" t="s">
        <v>25</v>
      </c>
      <c r="L4396" t="s">
        <v>26</v>
      </c>
      <c r="M4396" t="s">
        <v>27</v>
      </c>
      <c r="N4396" s="1">
        <v>18629</v>
      </c>
      <c r="O4396">
        <v>0</v>
      </c>
      <c r="P4396">
        <v>0</v>
      </c>
      <c r="Q4396" t="s">
        <v>37</v>
      </c>
      <c r="R4396" t="s">
        <v>51</v>
      </c>
      <c r="S4396" s="2" t="s">
        <v>1568</v>
      </c>
      <c r="T4396" t="s">
        <v>1569</v>
      </c>
    </row>
    <row r="4397" spans="1:20" x14ac:dyDescent="0.25">
      <c r="A4397" t="s">
        <v>10167</v>
      </c>
      <c r="B4397" t="str">
        <f>"6487"</f>
        <v>6487</v>
      </c>
      <c r="C4397" t="str">
        <f>"278506487"</f>
        <v>278506487</v>
      </c>
      <c r="D4397" t="s">
        <v>10168</v>
      </c>
      <c r="E4397" t="s">
        <v>1458</v>
      </c>
      <c r="G4397" s="1">
        <v>18741</v>
      </c>
      <c r="H4397" s="1">
        <v>36526</v>
      </c>
      <c r="I4397" t="str">
        <f>"51"</f>
        <v>51</v>
      </c>
      <c r="J4397" t="s">
        <v>471</v>
      </c>
      <c r="K4397" t="s">
        <v>25</v>
      </c>
      <c r="L4397" t="s">
        <v>26</v>
      </c>
      <c r="M4397" t="s">
        <v>27</v>
      </c>
      <c r="N4397" s="1">
        <v>18629</v>
      </c>
      <c r="O4397">
        <v>0</v>
      </c>
      <c r="P4397">
        <v>0</v>
      </c>
      <c r="Q4397" t="s">
        <v>37</v>
      </c>
      <c r="R4397" t="s">
        <v>71</v>
      </c>
      <c r="S4397" t="s">
        <v>209</v>
      </c>
      <c r="T4397" t="s">
        <v>210</v>
      </c>
    </row>
    <row r="4398" spans="1:20" x14ac:dyDescent="0.25">
      <c r="A4398" t="s">
        <v>10169</v>
      </c>
      <c r="B4398" t="str">
        <f>"1310"</f>
        <v>1310</v>
      </c>
      <c r="C4398" t="str">
        <f>"274841310"</f>
        <v>274841310</v>
      </c>
      <c r="D4398" t="s">
        <v>10170</v>
      </c>
      <c r="E4398" t="s">
        <v>2617</v>
      </c>
      <c r="F4398" t="s">
        <v>28</v>
      </c>
      <c r="G4398" s="1">
        <v>27206</v>
      </c>
      <c r="H4398" s="1">
        <v>36487</v>
      </c>
      <c r="I4398" t="str">
        <f>"52"</f>
        <v>52</v>
      </c>
      <c r="J4398" t="s">
        <v>330</v>
      </c>
      <c r="K4398" t="s">
        <v>25</v>
      </c>
      <c r="L4398" t="s">
        <v>26</v>
      </c>
      <c r="M4398" t="s">
        <v>27</v>
      </c>
      <c r="N4398" s="1">
        <v>18629</v>
      </c>
      <c r="O4398">
        <v>0</v>
      </c>
      <c r="P4398">
        <v>0</v>
      </c>
      <c r="Q4398" t="s">
        <v>28</v>
      </c>
      <c r="R4398" t="s">
        <v>71</v>
      </c>
      <c r="S4398" t="s">
        <v>377</v>
      </c>
      <c r="T4398" t="s">
        <v>378</v>
      </c>
    </row>
    <row r="4399" spans="1:20" x14ac:dyDescent="0.25">
      <c r="A4399" t="s">
        <v>10171</v>
      </c>
      <c r="B4399" t="str">
        <f>"3111"</f>
        <v>3111</v>
      </c>
      <c r="C4399" t="str">
        <f>"269663111"</f>
        <v>269663111</v>
      </c>
      <c r="D4399" t="s">
        <v>352</v>
      </c>
      <c r="E4399" t="s">
        <v>10172</v>
      </c>
      <c r="F4399" t="s">
        <v>28</v>
      </c>
      <c r="G4399" s="1">
        <v>21328</v>
      </c>
      <c r="H4399" s="1">
        <v>36472</v>
      </c>
      <c r="I4399" t="str">
        <f>"05"</f>
        <v>05</v>
      </c>
      <c r="J4399" t="s">
        <v>58</v>
      </c>
      <c r="L4399" t="s">
        <v>37</v>
      </c>
      <c r="M4399" t="s">
        <v>143</v>
      </c>
      <c r="N4399" s="1">
        <v>41617</v>
      </c>
      <c r="O4399">
        <v>185.9</v>
      </c>
      <c r="P4399">
        <v>-185.9</v>
      </c>
      <c r="Q4399" t="s">
        <v>37</v>
      </c>
      <c r="R4399" t="s">
        <v>29</v>
      </c>
      <c r="S4399" t="s">
        <v>1095</v>
      </c>
      <c r="T4399" t="s">
        <v>1096</v>
      </c>
    </row>
    <row r="4400" spans="1:20" x14ac:dyDescent="0.25">
      <c r="A4400" t="s">
        <v>10173</v>
      </c>
      <c r="B4400" t="str">
        <f>"4199"</f>
        <v>4199</v>
      </c>
      <c r="C4400" t="str">
        <f>"287524199"</f>
        <v>287524199</v>
      </c>
      <c r="D4400" t="s">
        <v>10174</v>
      </c>
      <c r="E4400" t="s">
        <v>10175</v>
      </c>
      <c r="F4400" t="s">
        <v>264</v>
      </c>
      <c r="G4400" s="1">
        <v>20310</v>
      </c>
      <c r="H4400" s="1">
        <v>36465</v>
      </c>
      <c r="I4400" t="str">
        <f>"15"</f>
        <v>15</v>
      </c>
      <c r="J4400" t="s">
        <v>36</v>
      </c>
      <c r="K4400" t="s">
        <v>175</v>
      </c>
      <c r="L4400" t="s">
        <v>37</v>
      </c>
      <c r="M4400" t="s">
        <v>257</v>
      </c>
      <c r="N4400" s="1">
        <v>41617</v>
      </c>
      <c r="O4400">
        <v>11847.94</v>
      </c>
      <c r="P4400">
        <v>2961.92</v>
      </c>
      <c r="Q4400" t="s">
        <v>37</v>
      </c>
      <c r="R4400" t="s">
        <v>29</v>
      </c>
      <c r="S4400" t="s">
        <v>3090</v>
      </c>
      <c r="T4400" t="s">
        <v>3091</v>
      </c>
    </row>
    <row r="4401" spans="1:20" x14ac:dyDescent="0.25">
      <c r="A4401" t="s">
        <v>10176</v>
      </c>
      <c r="B4401" t="str">
        <f>"9890"</f>
        <v>9890</v>
      </c>
      <c r="C4401" t="str">
        <f>"300429890"</f>
        <v>300429890</v>
      </c>
      <c r="D4401" t="s">
        <v>10177</v>
      </c>
      <c r="E4401" t="s">
        <v>10178</v>
      </c>
      <c r="F4401" t="s">
        <v>93</v>
      </c>
      <c r="G4401" s="1">
        <v>17230</v>
      </c>
      <c r="H4401" s="1">
        <v>36465</v>
      </c>
      <c r="I4401" t="str">
        <f>"30"</f>
        <v>30</v>
      </c>
      <c r="J4401" t="s">
        <v>50</v>
      </c>
      <c r="K4401" t="s">
        <v>25</v>
      </c>
      <c r="L4401" t="s">
        <v>26</v>
      </c>
      <c r="M4401" t="s">
        <v>27</v>
      </c>
      <c r="N4401" s="1">
        <v>18629</v>
      </c>
      <c r="O4401">
        <v>0</v>
      </c>
      <c r="P4401">
        <v>0</v>
      </c>
      <c r="Q4401" t="s">
        <v>37</v>
      </c>
      <c r="R4401" t="s">
        <v>51</v>
      </c>
      <c r="S4401" t="s">
        <v>2084</v>
      </c>
      <c r="T4401" t="s">
        <v>2085</v>
      </c>
    </row>
    <row r="4402" spans="1:20" x14ac:dyDescent="0.25">
      <c r="A4402" t="s">
        <v>10179</v>
      </c>
      <c r="B4402" t="str">
        <f>"6581"</f>
        <v>6581</v>
      </c>
      <c r="C4402" t="str">
        <f>"277506581"</f>
        <v>277506581</v>
      </c>
      <c r="D4402" t="s">
        <v>10180</v>
      </c>
      <c r="E4402" t="s">
        <v>1426</v>
      </c>
      <c r="G4402" s="1">
        <v>18335</v>
      </c>
      <c r="H4402" s="1">
        <v>36448</v>
      </c>
      <c r="I4402" t="str">
        <f>"50"</f>
        <v>50</v>
      </c>
      <c r="J4402" t="s">
        <v>208</v>
      </c>
      <c r="K4402" t="s">
        <v>25</v>
      </c>
      <c r="L4402" t="s">
        <v>26</v>
      </c>
      <c r="M4402" t="s">
        <v>27</v>
      </c>
      <c r="N4402" s="1">
        <v>18629</v>
      </c>
      <c r="O4402">
        <v>0</v>
      </c>
      <c r="P4402">
        <v>0</v>
      </c>
      <c r="Q4402" t="s">
        <v>37</v>
      </c>
      <c r="R4402" t="s">
        <v>29</v>
      </c>
      <c r="S4402" t="s">
        <v>240</v>
      </c>
      <c r="T4402" t="s">
        <v>241</v>
      </c>
    </row>
    <row r="4403" spans="1:20" x14ac:dyDescent="0.25">
      <c r="A4403" t="s">
        <v>10181</v>
      </c>
      <c r="B4403" t="str">
        <f>"4694"</f>
        <v>4694</v>
      </c>
      <c r="C4403" t="str">
        <f>"293464694"</f>
        <v>293464694</v>
      </c>
      <c r="D4403" t="s">
        <v>10182</v>
      </c>
      <c r="E4403" t="s">
        <v>6034</v>
      </c>
      <c r="F4403" t="s">
        <v>37</v>
      </c>
      <c r="G4403" s="1">
        <v>18184</v>
      </c>
      <c r="H4403" s="1">
        <v>36437</v>
      </c>
      <c r="I4403" t="str">
        <f>"01"</f>
        <v>01</v>
      </c>
      <c r="J4403" t="s">
        <v>116</v>
      </c>
      <c r="K4403" t="s">
        <v>98</v>
      </c>
      <c r="L4403" t="s">
        <v>37</v>
      </c>
      <c r="M4403" t="s">
        <v>257</v>
      </c>
      <c r="N4403" s="1">
        <v>41617</v>
      </c>
      <c r="O4403">
        <v>10753.08</v>
      </c>
      <c r="P4403">
        <v>2688.4</v>
      </c>
      <c r="Q4403" t="s">
        <v>37</v>
      </c>
      <c r="R4403" t="s">
        <v>38</v>
      </c>
      <c r="S4403" t="s">
        <v>5219</v>
      </c>
      <c r="T4403" t="s">
        <v>5220</v>
      </c>
    </row>
    <row r="4404" spans="1:20" x14ac:dyDescent="0.25">
      <c r="A4404" t="s">
        <v>10183</v>
      </c>
      <c r="B4404" t="str">
        <f>"7555"</f>
        <v>7555</v>
      </c>
      <c r="C4404" t="str">
        <f>"288387555"</f>
        <v>288387555</v>
      </c>
      <c r="D4404" t="s">
        <v>10184</v>
      </c>
      <c r="E4404" t="s">
        <v>10185</v>
      </c>
      <c r="F4404" t="s">
        <v>414</v>
      </c>
      <c r="G4404" s="1">
        <v>16041</v>
      </c>
      <c r="H4404" s="1">
        <v>36410</v>
      </c>
      <c r="I4404" t="str">
        <f>"33"</f>
        <v>33</v>
      </c>
      <c r="J4404" t="s">
        <v>45</v>
      </c>
      <c r="K4404" t="s">
        <v>25</v>
      </c>
      <c r="L4404" t="s">
        <v>26</v>
      </c>
      <c r="M4404" t="s">
        <v>27</v>
      </c>
      <c r="N4404" s="1">
        <v>18629</v>
      </c>
      <c r="O4404">
        <v>0</v>
      </c>
      <c r="P4404">
        <v>0</v>
      </c>
      <c r="Q4404" t="s">
        <v>37</v>
      </c>
      <c r="R4404" t="s">
        <v>51</v>
      </c>
      <c r="S4404" t="s">
        <v>795</v>
      </c>
      <c r="T4404" t="s">
        <v>796</v>
      </c>
    </row>
    <row r="4405" spans="1:20" x14ac:dyDescent="0.25">
      <c r="A4405" t="s">
        <v>10186</v>
      </c>
      <c r="B4405" t="str">
        <f>"4830"</f>
        <v>4830</v>
      </c>
      <c r="C4405" t="str">
        <f>"295464830"</f>
        <v>295464830</v>
      </c>
      <c r="D4405" t="s">
        <v>10187</v>
      </c>
      <c r="E4405" t="s">
        <v>231</v>
      </c>
      <c r="F4405" t="s">
        <v>28</v>
      </c>
      <c r="G4405" s="1">
        <v>18187</v>
      </c>
      <c r="H4405" s="1">
        <v>36402</v>
      </c>
      <c r="I4405" t="str">
        <f>"51"</f>
        <v>51</v>
      </c>
      <c r="J4405" t="s">
        <v>471</v>
      </c>
      <c r="K4405" t="s">
        <v>25</v>
      </c>
      <c r="L4405" t="s">
        <v>26</v>
      </c>
      <c r="M4405" t="s">
        <v>27</v>
      </c>
      <c r="N4405" s="1">
        <v>18629</v>
      </c>
      <c r="O4405">
        <v>0</v>
      </c>
      <c r="P4405">
        <v>0</v>
      </c>
      <c r="Q4405" t="s">
        <v>37</v>
      </c>
      <c r="R4405" t="s">
        <v>29</v>
      </c>
      <c r="S4405" t="s">
        <v>5657</v>
      </c>
      <c r="T4405" t="s">
        <v>5658</v>
      </c>
    </row>
    <row r="4406" spans="1:20" x14ac:dyDescent="0.25">
      <c r="A4406" t="s">
        <v>10188</v>
      </c>
      <c r="B4406" t="str">
        <f>"6038"</f>
        <v>6038</v>
      </c>
      <c r="C4406" t="str">
        <f>"295606038"</f>
        <v>295606038</v>
      </c>
      <c r="D4406" t="s">
        <v>10189</v>
      </c>
      <c r="E4406" t="s">
        <v>10190</v>
      </c>
      <c r="F4406" t="s">
        <v>10191</v>
      </c>
      <c r="G4406" s="1">
        <v>22473</v>
      </c>
      <c r="H4406" s="1">
        <v>36402</v>
      </c>
      <c r="I4406" t="str">
        <f>"51"</f>
        <v>51</v>
      </c>
      <c r="J4406" t="s">
        <v>471</v>
      </c>
      <c r="K4406" t="s">
        <v>25</v>
      </c>
      <c r="L4406" t="s">
        <v>26</v>
      </c>
      <c r="M4406" t="s">
        <v>27</v>
      </c>
      <c r="N4406" s="1">
        <v>18629</v>
      </c>
      <c r="O4406">
        <v>0</v>
      </c>
      <c r="P4406">
        <v>0</v>
      </c>
      <c r="Q4406" t="s">
        <v>28</v>
      </c>
      <c r="R4406" t="s">
        <v>71</v>
      </c>
      <c r="S4406" t="s">
        <v>2190</v>
      </c>
      <c r="T4406" t="s">
        <v>2191</v>
      </c>
    </row>
    <row r="4407" spans="1:20" x14ac:dyDescent="0.25">
      <c r="A4407" t="s">
        <v>10192</v>
      </c>
      <c r="B4407" t="str">
        <f>"8336"</f>
        <v>8336</v>
      </c>
      <c r="C4407" t="str">
        <f>"291568336"</f>
        <v>291568336</v>
      </c>
      <c r="D4407" t="s">
        <v>10193</v>
      </c>
      <c r="E4407" t="s">
        <v>769</v>
      </c>
      <c r="F4407" t="s">
        <v>414</v>
      </c>
      <c r="G4407" s="1">
        <v>20700</v>
      </c>
      <c r="H4407" s="1">
        <v>36402</v>
      </c>
      <c r="I4407" t="str">
        <f>"51"</f>
        <v>51</v>
      </c>
      <c r="J4407" t="s">
        <v>471</v>
      </c>
      <c r="K4407" t="s">
        <v>25</v>
      </c>
      <c r="L4407" t="s">
        <v>26</v>
      </c>
      <c r="M4407" t="s">
        <v>27</v>
      </c>
      <c r="N4407" s="1">
        <v>18629</v>
      </c>
      <c r="O4407">
        <v>0</v>
      </c>
      <c r="P4407">
        <v>0</v>
      </c>
      <c r="Q4407" t="s">
        <v>37</v>
      </c>
      <c r="R4407" t="s">
        <v>51</v>
      </c>
      <c r="S4407" s="2" t="s">
        <v>2524</v>
      </c>
      <c r="T4407" t="s">
        <v>2525</v>
      </c>
    </row>
    <row r="4408" spans="1:20" x14ac:dyDescent="0.25">
      <c r="A4408" t="s">
        <v>10194</v>
      </c>
      <c r="B4408" t="str">
        <f>"6060"</f>
        <v>6060</v>
      </c>
      <c r="C4408" t="str">
        <f>"295686060"</f>
        <v>295686060</v>
      </c>
      <c r="D4408" t="s">
        <v>10195</v>
      </c>
      <c r="E4408" t="s">
        <v>6385</v>
      </c>
      <c r="F4408" t="s">
        <v>69</v>
      </c>
      <c r="G4408" s="1">
        <v>24632</v>
      </c>
      <c r="H4408" s="1">
        <v>36402</v>
      </c>
      <c r="I4408" t="str">
        <f>"51"</f>
        <v>51</v>
      </c>
      <c r="J4408" t="s">
        <v>471</v>
      </c>
      <c r="K4408" t="s">
        <v>25</v>
      </c>
      <c r="L4408" t="s">
        <v>26</v>
      </c>
      <c r="M4408" t="s">
        <v>27</v>
      </c>
      <c r="N4408" s="1">
        <v>18629</v>
      </c>
      <c r="O4408">
        <v>0</v>
      </c>
      <c r="P4408">
        <v>0</v>
      </c>
      <c r="Q4408" t="s">
        <v>28</v>
      </c>
      <c r="R4408" t="s">
        <v>71</v>
      </c>
      <c r="S4408" t="s">
        <v>2458</v>
      </c>
      <c r="T4408" t="s">
        <v>2459</v>
      </c>
    </row>
    <row r="4409" spans="1:20" x14ac:dyDescent="0.25">
      <c r="A4409" t="s">
        <v>10196</v>
      </c>
      <c r="B4409" t="str">
        <f>"4870"</f>
        <v>4870</v>
      </c>
      <c r="C4409" t="str">
        <f>"271724870"</f>
        <v>271724870</v>
      </c>
      <c r="D4409" t="s">
        <v>10197</v>
      </c>
      <c r="E4409" t="s">
        <v>3747</v>
      </c>
      <c r="G4409" s="1">
        <v>23817</v>
      </c>
      <c r="H4409" s="1">
        <v>36388</v>
      </c>
      <c r="I4409" t="str">
        <f t="shared" ref="I4409:I4422" si="103">"20"</f>
        <v>20</v>
      </c>
      <c r="J4409" t="s">
        <v>123</v>
      </c>
      <c r="K4409" t="s">
        <v>98</v>
      </c>
      <c r="L4409" t="s">
        <v>37</v>
      </c>
      <c r="M4409" t="s">
        <v>99</v>
      </c>
      <c r="N4409" s="1">
        <v>41631</v>
      </c>
      <c r="O4409">
        <v>14801.82</v>
      </c>
      <c r="P4409">
        <v>3700.4</v>
      </c>
      <c r="Q4409" t="s">
        <v>28</v>
      </c>
      <c r="R4409" t="s">
        <v>51</v>
      </c>
      <c r="S4409" s="2" t="s">
        <v>1538</v>
      </c>
      <c r="T4409" t="s">
        <v>1539</v>
      </c>
    </row>
    <row r="4410" spans="1:20" x14ac:dyDescent="0.25">
      <c r="A4410" t="s">
        <v>10198</v>
      </c>
      <c r="B4410" t="str">
        <f>"6134"</f>
        <v>6134</v>
      </c>
      <c r="C4410" t="str">
        <f>"286426134"</f>
        <v>286426134</v>
      </c>
      <c r="D4410" t="s">
        <v>10199</v>
      </c>
      <c r="E4410" t="s">
        <v>649</v>
      </c>
      <c r="F4410" t="s">
        <v>97</v>
      </c>
      <c r="G4410" s="1">
        <v>18852</v>
      </c>
      <c r="H4410" s="1">
        <v>36388</v>
      </c>
      <c r="I4410" t="str">
        <f t="shared" si="103"/>
        <v>20</v>
      </c>
      <c r="J4410" t="s">
        <v>123</v>
      </c>
      <c r="K4410" t="s">
        <v>98</v>
      </c>
      <c r="L4410" t="s">
        <v>37</v>
      </c>
      <c r="M4410" t="s">
        <v>257</v>
      </c>
      <c r="N4410" s="1">
        <v>41631</v>
      </c>
      <c r="O4410">
        <v>10753.16</v>
      </c>
      <c r="P4410">
        <v>2688.4</v>
      </c>
      <c r="Q4410" t="s">
        <v>28</v>
      </c>
      <c r="R4410" t="s">
        <v>71</v>
      </c>
      <c r="S4410" t="s">
        <v>305</v>
      </c>
      <c r="T4410" t="s">
        <v>306</v>
      </c>
    </row>
    <row r="4411" spans="1:20" x14ac:dyDescent="0.25">
      <c r="A4411" t="s">
        <v>10200</v>
      </c>
      <c r="B4411" t="str">
        <f>"9589"</f>
        <v>9589</v>
      </c>
      <c r="C4411" t="str">
        <f>"287649589"</f>
        <v>287649589</v>
      </c>
      <c r="D4411" t="s">
        <v>2389</v>
      </c>
      <c r="E4411" t="s">
        <v>649</v>
      </c>
      <c r="F4411" t="s">
        <v>28</v>
      </c>
      <c r="G4411" s="1">
        <v>21127</v>
      </c>
      <c r="H4411" s="1">
        <v>36388</v>
      </c>
      <c r="I4411" t="str">
        <f t="shared" si="103"/>
        <v>20</v>
      </c>
      <c r="J4411" t="s">
        <v>123</v>
      </c>
      <c r="K4411" t="s">
        <v>98</v>
      </c>
      <c r="L4411" t="s">
        <v>37</v>
      </c>
      <c r="M4411" t="s">
        <v>99</v>
      </c>
      <c r="N4411" s="1">
        <v>41631</v>
      </c>
      <c r="O4411">
        <v>14801.82</v>
      </c>
      <c r="P4411">
        <v>3700.4</v>
      </c>
      <c r="Q4411" t="s">
        <v>28</v>
      </c>
      <c r="R4411" t="s">
        <v>71</v>
      </c>
      <c r="S4411" t="s">
        <v>770</v>
      </c>
      <c r="T4411" t="s">
        <v>771</v>
      </c>
    </row>
    <row r="4412" spans="1:20" x14ac:dyDescent="0.25">
      <c r="A4412" t="s">
        <v>10201</v>
      </c>
      <c r="B4412" t="str">
        <f>"2231"</f>
        <v>2231</v>
      </c>
      <c r="C4412" t="str">
        <f>"280762231"</f>
        <v>280762231</v>
      </c>
      <c r="D4412" t="s">
        <v>773</v>
      </c>
      <c r="E4412" t="s">
        <v>2159</v>
      </c>
      <c r="F4412" t="s">
        <v>44</v>
      </c>
      <c r="G4412" s="1">
        <v>23914</v>
      </c>
      <c r="H4412" s="1">
        <v>36388</v>
      </c>
      <c r="I4412" t="str">
        <f t="shared" si="103"/>
        <v>20</v>
      </c>
      <c r="J4412" t="s">
        <v>123</v>
      </c>
      <c r="K4412" t="s">
        <v>98</v>
      </c>
      <c r="L4412" t="s">
        <v>37</v>
      </c>
      <c r="M4412" t="s">
        <v>117</v>
      </c>
      <c r="N4412" s="1">
        <v>41631</v>
      </c>
      <c r="O4412">
        <v>4951.9799999999996</v>
      </c>
      <c r="P4412">
        <v>1237.94</v>
      </c>
      <c r="Q4412" t="s">
        <v>28</v>
      </c>
      <c r="R4412" t="s">
        <v>71</v>
      </c>
      <c r="S4412" t="s">
        <v>157</v>
      </c>
      <c r="T4412" t="s">
        <v>158</v>
      </c>
    </row>
    <row r="4413" spans="1:20" x14ac:dyDescent="0.25">
      <c r="A4413" t="s">
        <v>10202</v>
      </c>
      <c r="B4413" t="str">
        <f>"1056"</f>
        <v>1056</v>
      </c>
      <c r="C4413" t="str">
        <f>"269561056"</f>
        <v>269561056</v>
      </c>
      <c r="D4413" t="s">
        <v>1818</v>
      </c>
      <c r="E4413" t="s">
        <v>6253</v>
      </c>
      <c r="F4413" t="s">
        <v>2075</v>
      </c>
      <c r="G4413" s="1">
        <v>20300</v>
      </c>
      <c r="H4413" s="1">
        <v>36388</v>
      </c>
      <c r="I4413" t="str">
        <f t="shared" si="103"/>
        <v>20</v>
      </c>
      <c r="J4413" t="s">
        <v>123</v>
      </c>
      <c r="K4413" t="s">
        <v>175</v>
      </c>
      <c r="L4413" t="s">
        <v>37</v>
      </c>
      <c r="M4413" t="s">
        <v>257</v>
      </c>
      <c r="N4413" s="1">
        <v>41631</v>
      </c>
      <c r="O4413">
        <v>11847.88</v>
      </c>
      <c r="P4413">
        <v>2962.08</v>
      </c>
      <c r="Q4413" t="s">
        <v>37</v>
      </c>
      <c r="R4413" t="s">
        <v>29</v>
      </c>
      <c r="S4413" t="s">
        <v>1605</v>
      </c>
      <c r="T4413" t="s">
        <v>1606</v>
      </c>
    </row>
    <row r="4414" spans="1:20" x14ac:dyDescent="0.25">
      <c r="A4414" t="s">
        <v>10203</v>
      </c>
      <c r="B4414" t="str">
        <f>"9983"</f>
        <v>9983</v>
      </c>
      <c r="C4414" t="str">
        <f>"295449983"</f>
        <v>295449983</v>
      </c>
      <c r="D4414" t="s">
        <v>10204</v>
      </c>
      <c r="E4414" t="s">
        <v>675</v>
      </c>
      <c r="F4414" t="s">
        <v>219</v>
      </c>
      <c r="G4414" s="1">
        <v>17947</v>
      </c>
      <c r="H4414" s="1">
        <v>36388</v>
      </c>
      <c r="I4414" t="str">
        <f t="shared" si="103"/>
        <v>20</v>
      </c>
      <c r="J4414" t="s">
        <v>123</v>
      </c>
      <c r="K4414" t="s">
        <v>98</v>
      </c>
      <c r="L4414" t="s">
        <v>37</v>
      </c>
      <c r="M4414" t="s">
        <v>117</v>
      </c>
      <c r="N4414" s="1">
        <v>41631</v>
      </c>
      <c r="O4414">
        <v>4951.9799999999996</v>
      </c>
      <c r="P4414">
        <v>1237.94</v>
      </c>
      <c r="Q4414" t="s">
        <v>37</v>
      </c>
      <c r="R4414" t="s">
        <v>51</v>
      </c>
      <c r="S4414" s="2" t="s">
        <v>774</v>
      </c>
      <c r="T4414" t="s">
        <v>775</v>
      </c>
    </row>
    <row r="4415" spans="1:20" x14ac:dyDescent="0.25">
      <c r="A4415" t="s">
        <v>10205</v>
      </c>
      <c r="B4415" t="str">
        <f>"0313"</f>
        <v>0313</v>
      </c>
      <c r="C4415" t="str">
        <f>"269540313"</f>
        <v>269540313</v>
      </c>
      <c r="D4415" t="s">
        <v>3411</v>
      </c>
      <c r="E4415" t="s">
        <v>197</v>
      </c>
      <c r="F4415" t="s">
        <v>26</v>
      </c>
      <c r="G4415" s="1">
        <v>19092</v>
      </c>
      <c r="H4415" s="1">
        <v>36388</v>
      </c>
      <c r="I4415" t="str">
        <f t="shared" si="103"/>
        <v>20</v>
      </c>
      <c r="J4415" t="s">
        <v>123</v>
      </c>
      <c r="K4415" t="s">
        <v>510</v>
      </c>
      <c r="L4415" t="s">
        <v>37</v>
      </c>
      <c r="M4415" t="s">
        <v>117</v>
      </c>
      <c r="N4415" s="1">
        <v>41631</v>
      </c>
      <c r="O4415">
        <v>6477.24</v>
      </c>
      <c r="P4415">
        <v>1619.2</v>
      </c>
      <c r="Q4415" t="s">
        <v>28</v>
      </c>
      <c r="R4415" t="s">
        <v>51</v>
      </c>
      <c r="S4415" s="2" t="s">
        <v>4118</v>
      </c>
      <c r="T4415" t="s">
        <v>4119</v>
      </c>
    </row>
    <row r="4416" spans="1:20" x14ac:dyDescent="0.25">
      <c r="A4416" t="s">
        <v>10206</v>
      </c>
      <c r="B4416" t="str">
        <f>"9246"</f>
        <v>9246</v>
      </c>
      <c r="C4416" t="str">
        <f>"275569246"</f>
        <v>275569246</v>
      </c>
      <c r="D4416" t="s">
        <v>10207</v>
      </c>
      <c r="E4416" t="s">
        <v>2159</v>
      </c>
      <c r="F4416" t="s">
        <v>44</v>
      </c>
      <c r="G4416" s="1">
        <v>20749</v>
      </c>
      <c r="H4416" s="1">
        <v>36388</v>
      </c>
      <c r="I4416" t="str">
        <f t="shared" si="103"/>
        <v>20</v>
      </c>
      <c r="J4416" t="s">
        <v>123</v>
      </c>
      <c r="K4416" t="s">
        <v>98</v>
      </c>
      <c r="L4416" t="s">
        <v>37</v>
      </c>
      <c r="M4416" t="s">
        <v>117</v>
      </c>
      <c r="N4416" s="1">
        <v>41631</v>
      </c>
      <c r="O4416">
        <v>4951.9799999999996</v>
      </c>
      <c r="P4416">
        <v>1237.94</v>
      </c>
      <c r="Q4416" t="s">
        <v>37</v>
      </c>
      <c r="R4416" t="s">
        <v>29</v>
      </c>
      <c r="S4416" t="s">
        <v>1494</v>
      </c>
      <c r="T4416" t="s">
        <v>1495</v>
      </c>
    </row>
    <row r="4417" spans="1:20" x14ac:dyDescent="0.25">
      <c r="A4417" t="s">
        <v>10208</v>
      </c>
      <c r="B4417" t="str">
        <f>"4381"</f>
        <v>4381</v>
      </c>
      <c r="C4417" t="str">
        <f>"285464381"</f>
        <v>285464381</v>
      </c>
      <c r="D4417" t="s">
        <v>10209</v>
      </c>
      <c r="E4417" t="s">
        <v>598</v>
      </c>
      <c r="F4417" t="s">
        <v>438</v>
      </c>
      <c r="G4417" s="1">
        <v>19948</v>
      </c>
      <c r="H4417" s="1">
        <v>36388</v>
      </c>
      <c r="I4417" t="str">
        <f t="shared" si="103"/>
        <v>20</v>
      </c>
      <c r="J4417" t="s">
        <v>123</v>
      </c>
      <c r="K4417" t="s">
        <v>98</v>
      </c>
      <c r="L4417" t="s">
        <v>37</v>
      </c>
      <c r="M4417" t="s">
        <v>117</v>
      </c>
      <c r="N4417" s="1">
        <v>41631</v>
      </c>
      <c r="O4417">
        <v>4951.9799999999996</v>
      </c>
      <c r="P4417">
        <v>1237.94</v>
      </c>
      <c r="Q4417" t="s">
        <v>37</v>
      </c>
      <c r="R4417" t="s">
        <v>71</v>
      </c>
      <c r="S4417" t="s">
        <v>3750</v>
      </c>
      <c r="T4417" t="s">
        <v>3751</v>
      </c>
    </row>
    <row r="4418" spans="1:20" x14ac:dyDescent="0.25">
      <c r="A4418" t="s">
        <v>10210</v>
      </c>
      <c r="B4418" t="str">
        <f>"0688"</f>
        <v>0688</v>
      </c>
      <c r="C4418" t="str">
        <f>"302680688"</f>
        <v>302680688</v>
      </c>
      <c r="D4418" t="s">
        <v>10211</v>
      </c>
      <c r="E4418" t="s">
        <v>642</v>
      </c>
      <c r="F4418" t="s">
        <v>28</v>
      </c>
      <c r="G4418" s="1">
        <v>22787</v>
      </c>
      <c r="H4418" s="1">
        <v>36388</v>
      </c>
      <c r="I4418" t="str">
        <f t="shared" si="103"/>
        <v>20</v>
      </c>
      <c r="J4418" t="s">
        <v>123</v>
      </c>
      <c r="K4418" t="s">
        <v>98</v>
      </c>
      <c r="L4418" t="s">
        <v>37</v>
      </c>
      <c r="M4418" t="s">
        <v>257</v>
      </c>
      <c r="N4418" s="1">
        <v>41631</v>
      </c>
      <c r="O4418">
        <v>10753.16</v>
      </c>
      <c r="P4418">
        <v>2688.4</v>
      </c>
      <c r="Q4418" t="s">
        <v>28</v>
      </c>
      <c r="R4418" t="s">
        <v>51</v>
      </c>
      <c r="S4418" s="2" t="s">
        <v>1508</v>
      </c>
      <c r="T4418" t="s">
        <v>1509</v>
      </c>
    </row>
    <row r="4419" spans="1:20" x14ac:dyDescent="0.25">
      <c r="A4419" t="s">
        <v>10212</v>
      </c>
      <c r="B4419" t="str">
        <f>"6534"</f>
        <v>6534</v>
      </c>
      <c r="C4419" t="str">
        <f>"268706534"</f>
        <v>268706534</v>
      </c>
      <c r="D4419" t="s">
        <v>10130</v>
      </c>
      <c r="E4419" t="s">
        <v>933</v>
      </c>
      <c r="F4419" t="s">
        <v>69</v>
      </c>
      <c r="G4419" s="1">
        <v>24496</v>
      </c>
      <c r="H4419" s="1">
        <v>36388</v>
      </c>
      <c r="I4419" t="str">
        <f t="shared" si="103"/>
        <v>20</v>
      </c>
      <c r="J4419" t="s">
        <v>123</v>
      </c>
      <c r="K4419" t="s">
        <v>98</v>
      </c>
      <c r="L4419" t="s">
        <v>37</v>
      </c>
      <c r="M4419" t="s">
        <v>99</v>
      </c>
      <c r="N4419" s="1">
        <v>41631</v>
      </c>
      <c r="O4419">
        <v>14801.82</v>
      </c>
      <c r="P4419">
        <v>3700.4</v>
      </c>
      <c r="Q4419" t="s">
        <v>28</v>
      </c>
      <c r="R4419" t="s">
        <v>71</v>
      </c>
      <c r="S4419" t="s">
        <v>2458</v>
      </c>
      <c r="T4419" t="s">
        <v>2459</v>
      </c>
    </row>
    <row r="4420" spans="1:20" x14ac:dyDescent="0.25">
      <c r="A4420" t="s">
        <v>10213</v>
      </c>
      <c r="B4420" t="str">
        <f>"8778"</f>
        <v>8778</v>
      </c>
      <c r="C4420" t="str">
        <f>"295608778"</f>
        <v>295608778</v>
      </c>
      <c r="D4420" t="s">
        <v>10214</v>
      </c>
      <c r="E4420" t="s">
        <v>963</v>
      </c>
      <c r="G4420" s="1">
        <v>23743</v>
      </c>
      <c r="H4420" s="1">
        <v>36388</v>
      </c>
      <c r="I4420" t="str">
        <f t="shared" si="103"/>
        <v>20</v>
      </c>
      <c r="J4420" t="s">
        <v>123</v>
      </c>
      <c r="K4420" t="s">
        <v>98</v>
      </c>
      <c r="L4420" t="s">
        <v>37</v>
      </c>
      <c r="M4420" t="s">
        <v>257</v>
      </c>
      <c r="N4420" s="1">
        <v>41631</v>
      </c>
      <c r="O4420">
        <v>10753.16</v>
      </c>
      <c r="P4420">
        <v>2688.4</v>
      </c>
      <c r="Q4420" t="s">
        <v>37</v>
      </c>
      <c r="R4420" t="s">
        <v>51</v>
      </c>
      <c r="S4420" s="2" t="s">
        <v>2202</v>
      </c>
      <c r="T4420" t="s">
        <v>2203</v>
      </c>
    </row>
    <row r="4421" spans="1:20" x14ac:dyDescent="0.25">
      <c r="A4421" t="s">
        <v>10215</v>
      </c>
      <c r="B4421" t="str">
        <f>"4846"</f>
        <v>4846</v>
      </c>
      <c r="C4421" t="str">
        <f>"285724846"</f>
        <v>285724846</v>
      </c>
      <c r="D4421" t="s">
        <v>10216</v>
      </c>
      <c r="E4421" t="s">
        <v>7785</v>
      </c>
      <c r="F4421" t="s">
        <v>26</v>
      </c>
      <c r="G4421" s="1">
        <v>25651</v>
      </c>
      <c r="H4421" s="1">
        <v>36388</v>
      </c>
      <c r="I4421" t="str">
        <f t="shared" si="103"/>
        <v>20</v>
      </c>
      <c r="J4421" t="s">
        <v>123</v>
      </c>
      <c r="K4421" t="s">
        <v>98</v>
      </c>
      <c r="L4421" t="s">
        <v>37</v>
      </c>
      <c r="M4421" t="s">
        <v>117</v>
      </c>
      <c r="N4421" s="1">
        <v>41631</v>
      </c>
      <c r="O4421">
        <v>4951.9799999999996</v>
      </c>
      <c r="P4421">
        <v>1237.94</v>
      </c>
      <c r="Q4421" t="s">
        <v>37</v>
      </c>
      <c r="R4421" t="s">
        <v>5592</v>
      </c>
      <c r="S4421" t="s">
        <v>717</v>
      </c>
      <c r="T4421" t="s">
        <v>718</v>
      </c>
    </row>
    <row r="4422" spans="1:20" x14ac:dyDescent="0.25">
      <c r="A4422" t="s">
        <v>10217</v>
      </c>
      <c r="B4422" t="str">
        <f>"4000"</f>
        <v>4000</v>
      </c>
      <c r="C4422" t="str">
        <f>"277644000"</f>
        <v>277644000</v>
      </c>
      <c r="D4422" t="s">
        <v>10218</v>
      </c>
      <c r="E4422" t="s">
        <v>2177</v>
      </c>
      <c r="F4422" t="s">
        <v>93</v>
      </c>
      <c r="G4422" s="1">
        <v>26358</v>
      </c>
      <c r="H4422" s="1">
        <v>36388</v>
      </c>
      <c r="I4422" t="str">
        <f t="shared" si="103"/>
        <v>20</v>
      </c>
      <c r="J4422" t="s">
        <v>123</v>
      </c>
      <c r="K4422" t="s">
        <v>98</v>
      </c>
      <c r="L4422" t="s">
        <v>37</v>
      </c>
      <c r="M4422" t="s">
        <v>117</v>
      </c>
      <c r="N4422" s="1">
        <v>41631</v>
      </c>
      <c r="O4422">
        <v>4951.9799999999996</v>
      </c>
      <c r="P4422">
        <v>1237.94</v>
      </c>
      <c r="Q4422" t="s">
        <v>37</v>
      </c>
      <c r="R4422" t="s">
        <v>71</v>
      </c>
      <c r="S4422" t="s">
        <v>157</v>
      </c>
      <c r="T4422" t="s">
        <v>158</v>
      </c>
    </row>
    <row r="4423" spans="1:20" x14ac:dyDescent="0.25">
      <c r="A4423" t="s">
        <v>10219</v>
      </c>
      <c r="B4423" t="str">
        <f>"9795"</f>
        <v>9795</v>
      </c>
      <c r="C4423" t="str">
        <f>"142449795"</f>
        <v>142449795</v>
      </c>
      <c r="D4423" t="s">
        <v>10220</v>
      </c>
      <c r="E4423" t="s">
        <v>2786</v>
      </c>
      <c r="F4423" t="s">
        <v>44</v>
      </c>
      <c r="G4423" s="1">
        <v>18866</v>
      </c>
      <c r="H4423" s="1">
        <v>36367</v>
      </c>
      <c r="I4423" t="str">
        <f>"05"</f>
        <v>05</v>
      </c>
      <c r="J4423" t="s">
        <v>58</v>
      </c>
      <c r="K4423" t="s">
        <v>98</v>
      </c>
      <c r="L4423" t="s">
        <v>37</v>
      </c>
      <c r="M4423" t="s">
        <v>117</v>
      </c>
      <c r="N4423" s="1">
        <v>41617</v>
      </c>
      <c r="O4423">
        <v>4951.96</v>
      </c>
      <c r="P4423">
        <v>1237.8599999999999</v>
      </c>
      <c r="Q4423" t="s">
        <v>37</v>
      </c>
      <c r="R4423" t="s">
        <v>29</v>
      </c>
      <c r="S4423" t="s">
        <v>1099</v>
      </c>
      <c r="T4423" t="s">
        <v>1100</v>
      </c>
    </row>
    <row r="4424" spans="1:20" x14ac:dyDescent="0.25">
      <c r="A4424" t="s">
        <v>10221</v>
      </c>
      <c r="B4424" t="str">
        <f>"0669"</f>
        <v>0669</v>
      </c>
      <c r="C4424" t="str">
        <f>"269280669"</f>
        <v>269280669</v>
      </c>
      <c r="D4424" t="s">
        <v>10222</v>
      </c>
      <c r="E4424" t="s">
        <v>197</v>
      </c>
      <c r="F4424" t="s">
        <v>190</v>
      </c>
      <c r="G4424" s="1">
        <v>12511</v>
      </c>
      <c r="H4424" s="1">
        <v>36342</v>
      </c>
      <c r="I4424" t="str">
        <f>"50"</f>
        <v>50</v>
      </c>
      <c r="J4424" t="s">
        <v>208</v>
      </c>
      <c r="K4424" t="s">
        <v>25</v>
      </c>
      <c r="L4424" t="s">
        <v>26</v>
      </c>
      <c r="M4424" t="s">
        <v>27</v>
      </c>
      <c r="N4424" s="1">
        <v>18629</v>
      </c>
      <c r="O4424">
        <v>0</v>
      </c>
      <c r="P4424">
        <v>0</v>
      </c>
      <c r="Q4424" t="s">
        <v>28</v>
      </c>
      <c r="R4424" t="s">
        <v>71</v>
      </c>
      <c r="S4424" t="s">
        <v>209</v>
      </c>
      <c r="T4424" t="s">
        <v>210</v>
      </c>
    </row>
    <row r="4425" spans="1:20" x14ac:dyDescent="0.25">
      <c r="A4425" t="s">
        <v>10223</v>
      </c>
      <c r="B4425" t="str">
        <f>"9522"</f>
        <v>9522</v>
      </c>
      <c r="C4425" t="str">
        <f>"290689522"</f>
        <v>290689522</v>
      </c>
      <c r="D4425" t="s">
        <v>10224</v>
      </c>
      <c r="E4425" t="s">
        <v>544</v>
      </c>
      <c r="F4425" t="s">
        <v>629</v>
      </c>
      <c r="G4425" s="1">
        <v>22828</v>
      </c>
      <c r="H4425" s="1">
        <v>36342</v>
      </c>
      <c r="I4425" t="str">
        <f>"03"</f>
        <v>03</v>
      </c>
      <c r="J4425" t="s">
        <v>70</v>
      </c>
      <c r="K4425" t="s">
        <v>510</v>
      </c>
      <c r="L4425" t="s">
        <v>37</v>
      </c>
      <c r="M4425" t="s">
        <v>257</v>
      </c>
      <c r="N4425" s="1">
        <v>41617</v>
      </c>
      <c r="O4425">
        <v>14110.72</v>
      </c>
      <c r="P4425">
        <v>3527.68</v>
      </c>
      <c r="Q4425" t="s">
        <v>37</v>
      </c>
      <c r="R4425" t="s">
        <v>38</v>
      </c>
      <c r="S4425" t="s">
        <v>1264</v>
      </c>
      <c r="T4425" t="s">
        <v>1265</v>
      </c>
    </row>
    <row r="4426" spans="1:20" x14ac:dyDescent="0.25">
      <c r="A4426" t="s">
        <v>10225</v>
      </c>
      <c r="B4426" t="str">
        <f>"2098"</f>
        <v>2098</v>
      </c>
      <c r="C4426" t="str">
        <f>"245802098"</f>
        <v>245802098</v>
      </c>
      <c r="D4426" t="s">
        <v>10226</v>
      </c>
      <c r="E4426" t="s">
        <v>1074</v>
      </c>
      <c r="F4426" t="s">
        <v>219</v>
      </c>
      <c r="G4426" s="1">
        <v>17705</v>
      </c>
      <c r="H4426" s="1">
        <v>36342</v>
      </c>
      <c r="I4426" t="str">
        <f>"33"</f>
        <v>33</v>
      </c>
      <c r="J4426" t="s">
        <v>45</v>
      </c>
      <c r="K4426" t="s">
        <v>25</v>
      </c>
      <c r="L4426" t="s">
        <v>26</v>
      </c>
      <c r="M4426" t="s">
        <v>27</v>
      </c>
      <c r="N4426" s="1">
        <v>18629</v>
      </c>
      <c r="O4426">
        <v>0</v>
      </c>
      <c r="P4426">
        <v>0</v>
      </c>
      <c r="Q4426" t="s">
        <v>37</v>
      </c>
      <c r="R4426" t="s">
        <v>51</v>
      </c>
      <c r="S4426" t="s">
        <v>795</v>
      </c>
      <c r="T4426" t="s">
        <v>796</v>
      </c>
    </row>
    <row r="4427" spans="1:20" x14ac:dyDescent="0.25">
      <c r="A4427" t="s">
        <v>10227</v>
      </c>
      <c r="B4427" t="str">
        <f>"0130"</f>
        <v>0130</v>
      </c>
      <c r="C4427" t="str">
        <f>"289540130"</f>
        <v>289540130</v>
      </c>
      <c r="D4427" t="s">
        <v>7170</v>
      </c>
      <c r="E4427" t="s">
        <v>1023</v>
      </c>
      <c r="G4427" s="1">
        <v>20108</v>
      </c>
      <c r="H4427" s="1">
        <v>36342</v>
      </c>
      <c r="I4427" t="str">
        <f>"33"</f>
        <v>33</v>
      </c>
      <c r="J4427" t="s">
        <v>45</v>
      </c>
      <c r="K4427" t="s">
        <v>25</v>
      </c>
      <c r="L4427" t="s">
        <v>26</v>
      </c>
      <c r="M4427" t="s">
        <v>27</v>
      </c>
      <c r="N4427" s="1">
        <v>18629</v>
      </c>
      <c r="O4427">
        <v>0</v>
      </c>
      <c r="P4427">
        <v>0</v>
      </c>
      <c r="Q4427" t="s">
        <v>37</v>
      </c>
      <c r="R4427" t="s">
        <v>51</v>
      </c>
      <c r="S4427" t="s">
        <v>795</v>
      </c>
      <c r="T4427" t="s">
        <v>796</v>
      </c>
    </row>
    <row r="4428" spans="1:20" x14ac:dyDescent="0.25">
      <c r="A4428" t="s">
        <v>10228</v>
      </c>
      <c r="B4428" t="str">
        <f>"1505"</f>
        <v>1505</v>
      </c>
      <c r="C4428" t="str">
        <f>"295941505"</f>
        <v>295941505</v>
      </c>
      <c r="D4428" t="s">
        <v>4239</v>
      </c>
      <c r="E4428" t="s">
        <v>988</v>
      </c>
      <c r="G4428" s="1">
        <v>16720</v>
      </c>
      <c r="H4428" s="1">
        <v>36342</v>
      </c>
      <c r="I4428" t="str">
        <f>"30"</f>
        <v>30</v>
      </c>
      <c r="J4428" t="s">
        <v>50</v>
      </c>
      <c r="K4428" t="s">
        <v>25</v>
      </c>
      <c r="L4428" t="s">
        <v>26</v>
      </c>
      <c r="M4428" t="s">
        <v>27</v>
      </c>
      <c r="N4428" s="1">
        <v>18629</v>
      </c>
      <c r="O4428">
        <v>0</v>
      </c>
      <c r="P4428">
        <v>0</v>
      </c>
      <c r="Q4428" t="s">
        <v>28</v>
      </c>
      <c r="R4428" t="s">
        <v>51</v>
      </c>
      <c r="S4428" t="s">
        <v>2084</v>
      </c>
      <c r="T4428" t="s">
        <v>2085</v>
      </c>
    </row>
    <row r="4429" spans="1:20" x14ac:dyDescent="0.25">
      <c r="A4429" t="s">
        <v>10229</v>
      </c>
      <c r="B4429" t="str">
        <f>"4557"</f>
        <v>4557</v>
      </c>
      <c r="C4429" t="str">
        <f>"289684557"</f>
        <v>289684557</v>
      </c>
      <c r="D4429" t="s">
        <v>10230</v>
      </c>
      <c r="E4429" t="s">
        <v>2455</v>
      </c>
      <c r="G4429" s="1">
        <v>14624</v>
      </c>
      <c r="H4429" s="1">
        <v>36342</v>
      </c>
      <c r="I4429" t="str">
        <f>"33"</f>
        <v>33</v>
      </c>
      <c r="J4429" t="s">
        <v>45</v>
      </c>
      <c r="K4429" t="s">
        <v>25</v>
      </c>
      <c r="L4429" t="s">
        <v>26</v>
      </c>
      <c r="M4429" t="s">
        <v>27</v>
      </c>
      <c r="N4429" s="1">
        <v>18629</v>
      </c>
      <c r="O4429">
        <v>0</v>
      </c>
      <c r="P4429">
        <v>0</v>
      </c>
      <c r="Q4429" t="s">
        <v>37</v>
      </c>
      <c r="R4429" t="s">
        <v>51</v>
      </c>
      <c r="S4429" t="s">
        <v>795</v>
      </c>
      <c r="T4429" t="s">
        <v>796</v>
      </c>
    </row>
    <row r="4430" spans="1:20" x14ac:dyDescent="0.25">
      <c r="A4430" t="s">
        <v>10231</v>
      </c>
      <c r="B4430" t="str">
        <f>"5866"</f>
        <v>5866</v>
      </c>
      <c r="C4430" t="str">
        <f>"293665866"</f>
        <v>293665866</v>
      </c>
      <c r="D4430" t="s">
        <v>10232</v>
      </c>
      <c r="E4430" t="s">
        <v>944</v>
      </c>
      <c r="F4430" t="s">
        <v>93</v>
      </c>
      <c r="G4430" s="1">
        <v>22494</v>
      </c>
      <c r="H4430" s="1">
        <v>36341</v>
      </c>
      <c r="I4430" t="str">
        <f>"50"</f>
        <v>50</v>
      </c>
      <c r="J4430" t="s">
        <v>208</v>
      </c>
      <c r="K4430" t="s">
        <v>25</v>
      </c>
      <c r="L4430" t="s">
        <v>26</v>
      </c>
      <c r="M4430" t="s">
        <v>27</v>
      </c>
      <c r="N4430" s="1">
        <v>18629</v>
      </c>
      <c r="O4430">
        <v>0</v>
      </c>
      <c r="P4430">
        <v>0</v>
      </c>
      <c r="Q4430" t="s">
        <v>28</v>
      </c>
      <c r="R4430" t="s">
        <v>258</v>
      </c>
      <c r="S4430" t="s">
        <v>1315</v>
      </c>
      <c r="T4430" t="s">
        <v>1316</v>
      </c>
    </row>
    <row r="4431" spans="1:20" x14ac:dyDescent="0.25">
      <c r="A4431" t="s">
        <v>10233</v>
      </c>
      <c r="B4431" t="str">
        <f>"7848"</f>
        <v>7848</v>
      </c>
      <c r="C4431" t="str">
        <f>"279827848"</f>
        <v>279827848</v>
      </c>
      <c r="D4431" t="s">
        <v>10234</v>
      </c>
      <c r="E4431" t="s">
        <v>544</v>
      </c>
      <c r="F4431" t="s">
        <v>28</v>
      </c>
      <c r="G4431" s="1">
        <v>25132</v>
      </c>
      <c r="H4431" s="1">
        <v>36312</v>
      </c>
      <c r="I4431" t="str">
        <f>"51"</f>
        <v>51</v>
      </c>
      <c r="J4431" t="s">
        <v>471</v>
      </c>
      <c r="K4431" t="s">
        <v>25</v>
      </c>
      <c r="L4431" t="s">
        <v>26</v>
      </c>
      <c r="M4431" t="s">
        <v>27</v>
      </c>
      <c r="N4431" s="1">
        <v>18629</v>
      </c>
      <c r="O4431">
        <v>0</v>
      </c>
      <c r="P4431">
        <v>0</v>
      </c>
      <c r="Q4431" t="s">
        <v>37</v>
      </c>
      <c r="R4431" t="s">
        <v>71</v>
      </c>
      <c r="S4431" t="s">
        <v>770</v>
      </c>
      <c r="T4431" t="s">
        <v>771</v>
      </c>
    </row>
    <row r="4432" spans="1:20" x14ac:dyDescent="0.25">
      <c r="A4432" t="s">
        <v>10235</v>
      </c>
      <c r="B4432" t="str">
        <f>"8491"</f>
        <v>8491</v>
      </c>
      <c r="C4432" t="str">
        <f>"272588491"</f>
        <v>272588491</v>
      </c>
      <c r="D4432" t="s">
        <v>10236</v>
      </c>
      <c r="E4432" t="s">
        <v>33</v>
      </c>
      <c r="F4432" t="s">
        <v>28</v>
      </c>
      <c r="G4432" s="1">
        <v>19629</v>
      </c>
      <c r="H4432" s="1">
        <v>36311</v>
      </c>
      <c r="I4432" t="str">
        <f>"30"</f>
        <v>30</v>
      </c>
      <c r="J4432" t="s">
        <v>50</v>
      </c>
      <c r="K4432" t="s">
        <v>25</v>
      </c>
      <c r="L4432" t="s">
        <v>26</v>
      </c>
      <c r="M4432" t="s">
        <v>27</v>
      </c>
      <c r="N4432" s="1">
        <v>18629</v>
      </c>
      <c r="O4432">
        <v>0</v>
      </c>
      <c r="P4432">
        <v>0</v>
      </c>
      <c r="Q4432" t="s">
        <v>28</v>
      </c>
      <c r="R4432" t="s">
        <v>71</v>
      </c>
      <c r="S4432" t="s">
        <v>373</v>
      </c>
      <c r="T4432" t="s">
        <v>374</v>
      </c>
    </row>
    <row r="4433" spans="1:20" x14ac:dyDescent="0.25">
      <c r="A4433" t="s">
        <v>10237</v>
      </c>
      <c r="B4433" t="str">
        <f>"3171"</f>
        <v>3171</v>
      </c>
      <c r="C4433" t="str">
        <f>"274583171"</f>
        <v>274583171</v>
      </c>
      <c r="D4433" t="s">
        <v>563</v>
      </c>
      <c r="E4433" t="s">
        <v>35</v>
      </c>
      <c r="F4433" t="s">
        <v>263</v>
      </c>
      <c r="G4433" s="1">
        <v>20466</v>
      </c>
      <c r="H4433" s="1">
        <v>36311</v>
      </c>
      <c r="I4433" t="str">
        <f>"05"</f>
        <v>05</v>
      </c>
      <c r="J4433" t="s">
        <v>58</v>
      </c>
      <c r="K4433" t="s">
        <v>510</v>
      </c>
      <c r="L4433" t="s">
        <v>37</v>
      </c>
      <c r="M4433" t="s">
        <v>257</v>
      </c>
      <c r="N4433" s="1">
        <v>41617</v>
      </c>
      <c r="O4433">
        <v>14110.72</v>
      </c>
      <c r="P4433">
        <v>3527.68</v>
      </c>
      <c r="Q4433" t="s">
        <v>28</v>
      </c>
      <c r="R4433" t="s">
        <v>258</v>
      </c>
      <c r="S4433" t="s">
        <v>1095</v>
      </c>
      <c r="T4433" t="s">
        <v>1096</v>
      </c>
    </row>
    <row r="4434" spans="1:20" x14ac:dyDescent="0.25">
      <c r="A4434" t="s">
        <v>10238</v>
      </c>
      <c r="B4434" t="str">
        <f>"1602"</f>
        <v>1602</v>
      </c>
      <c r="C4434" t="str">
        <f>"287401602"</f>
        <v>287401602</v>
      </c>
      <c r="D4434" t="s">
        <v>10239</v>
      </c>
      <c r="E4434" t="s">
        <v>672</v>
      </c>
      <c r="F4434" t="s">
        <v>174</v>
      </c>
      <c r="G4434" s="1">
        <v>17117</v>
      </c>
      <c r="H4434" s="1">
        <v>36187</v>
      </c>
      <c r="I4434" t="str">
        <f>"05"</f>
        <v>05</v>
      </c>
      <c r="J4434" t="s">
        <v>58</v>
      </c>
      <c r="K4434" t="s">
        <v>98</v>
      </c>
      <c r="L4434" t="s">
        <v>37</v>
      </c>
      <c r="M4434" t="s">
        <v>257</v>
      </c>
      <c r="N4434" s="1">
        <v>41617</v>
      </c>
      <c r="O4434">
        <v>10753.08</v>
      </c>
      <c r="P4434">
        <v>2688.4</v>
      </c>
      <c r="Q4434" t="s">
        <v>28</v>
      </c>
      <c r="R4434" t="s">
        <v>29</v>
      </c>
      <c r="S4434" t="s">
        <v>594</v>
      </c>
      <c r="T4434" t="s">
        <v>595</v>
      </c>
    </row>
    <row r="4435" spans="1:20" x14ac:dyDescent="0.25">
      <c r="A4435" t="s">
        <v>10240</v>
      </c>
      <c r="B4435" t="str">
        <f>"4709"</f>
        <v>4709</v>
      </c>
      <c r="C4435" t="str">
        <f>"276744709"</f>
        <v>276744709</v>
      </c>
      <c r="D4435" t="s">
        <v>141</v>
      </c>
      <c r="E4435" t="s">
        <v>82</v>
      </c>
      <c r="F4435" t="s">
        <v>97</v>
      </c>
      <c r="G4435" s="1">
        <v>25318</v>
      </c>
      <c r="H4435" s="1">
        <v>36179</v>
      </c>
      <c r="I4435" t="str">
        <f>"51"</f>
        <v>51</v>
      </c>
      <c r="J4435" t="s">
        <v>471</v>
      </c>
      <c r="K4435" t="s">
        <v>25</v>
      </c>
      <c r="L4435" t="s">
        <v>26</v>
      </c>
      <c r="M4435" t="s">
        <v>27</v>
      </c>
      <c r="N4435" s="1">
        <v>18629</v>
      </c>
      <c r="O4435">
        <v>0</v>
      </c>
      <c r="P4435">
        <v>0</v>
      </c>
      <c r="Q4435" t="s">
        <v>37</v>
      </c>
      <c r="R4435" t="s">
        <v>29</v>
      </c>
      <c r="S4435" t="s">
        <v>151</v>
      </c>
      <c r="T4435" t="s">
        <v>152</v>
      </c>
    </row>
    <row r="4436" spans="1:20" x14ac:dyDescent="0.25">
      <c r="A4436" t="s">
        <v>10241</v>
      </c>
      <c r="B4436" t="str">
        <f>"6199"</f>
        <v>6199</v>
      </c>
      <c r="C4436" t="str">
        <f>"279486199"</f>
        <v>279486199</v>
      </c>
      <c r="D4436" t="s">
        <v>10242</v>
      </c>
      <c r="E4436" t="s">
        <v>35</v>
      </c>
      <c r="F4436" t="s">
        <v>219</v>
      </c>
      <c r="G4436" s="1">
        <v>18953</v>
      </c>
      <c r="H4436" s="1">
        <v>36179</v>
      </c>
      <c r="I4436" t="str">
        <f>"51"</f>
        <v>51</v>
      </c>
      <c r="J4436" t="s">
        <v>471</v>
      </c>
      <c r="K4436" t="s">
        <v>25</v>
      </c>
      <c r="L4436" t="s">
        <v>26</v>
      </c>
      <c r="M4436" t="s">
        <v>27</v>
      </c>
      <c r="N4436" s="1">
        <v>18629</v>
      </c>
      <c r="O4436">
        <v>0</v>
      </c>
      <c r="P4436">
        <v>0</v>
      </c>
      <c r="Q4436" t="s">
        <v>28</v>
      </c>
      <c r="R4436" t="s">
        <v>71</v>
      </c>
      <c r="S4436" t="s">
        <v>157</v>
      </c>
      <c r="T4436" t="s">
        <v>158</v>
      </c>
    </row>
    <row r="4437" spans="1:20" x14ac:dyDescent="0.25">
      <c r="A4437" t="s">
        <v>10243</v>
      </c>
      <c r="B4437" t="str">
        <f>"7015"</f>
        <v>7015</v>
      </c>
      <c r="C4437" t="str">
        <f>"037447015"</f>
        <v>037447015</v>
      </c>
      <c r="D4437" t="s">
        <v>10244</v>
      </c>
      <c r="E4437" t="s">
        <v>197</v>
      </c>
      <c r="F4437" t="s">
        <v>10245</v>
      </c>
      <c r="G4437" s="1">
        <v>20893</v>
      </c>
      <c r="H4437" s="1">
        <v>36179</v>
      </c>
      <c r="I4437" t="str">
        <f>"51"</f>
        <v>51</v>
      </c>
      <c r="J4437" t="s">
        <v>471</v>
      </c>
      <c r="K4437" t="s">
        <v>25</v>
      </c>
      <c r="L4437" t="s">
        <v>26</v>
      </c>
      <c r="M4437" t="s">
        <v>27</v>
      </c>
      <c r="N4437" s="1">
        <v>18629</v>
      </c>
      <c r="O4437">
        <v>0</v>
      </c>
      <c r="P4437">
        <v>0</v>
      </c>
      <c r="Q4437" t="s">
        <v>28</v>
      </c>
      <c r="R4437" t="s">
        <v>71</v>
      </c>
      <c r="S4437" t="s">
        <v>1474</v>
      </c>
      <c r="T4437" t="s">
        <v>1475</v>
      </c>
    </row>
    <row r="4438" spans="1:20" x14ac:dyDescent="0.25">
      <c r="A4438" t="s">
        <v>10246</v>
      </c>
      <c r="B4438" t="str">
        <f>"4494"</f>
        <v>4494</v>
      </c>
      <c r="C4438" t="str">
        <f>"286544494"</f>
        <v>286544494</v>
      </c>
      <c r="D4438" t="s">
        <v>10247</v>
      </c>
      <c r="E4438" t="s">
        <v>1247</v>
      </c>
      <c r="F4438" t="s">
        <v>329</v>
      </c>
      <c r="G4438" s="1">
        <v>19504</v>
      </c>
      <c r="H4438" s="1">
        <v>36179</v>
      </c>
      <c r="I4438" t="str">
        <f>"51"</f>
        <v>51</v>
      </c>
      <c r="J4438" t="s">
        <v>471</v>
      </c>
      <c r="K4438" t="s">
        <v>25</v>
      </c>
      <c r="L4438" t="s">
        <v>26</v>
      </c>
      <c r="M4438" t="s">
        <v>27</v>
      </c>
      <c r="N4438" s="1">
        <v>18629</v>
      </c>
      <c r="O4438">
        <v>0</v>
      </c>
      <c r="P4438">
        <v>0</v>
      </c>
      <c r="Q4438" t="s">
        <v>28</v>
      </c>
      <c r="R4438" t="s">
        <v>71</v>
      </c>
      <c r="S4438" t="s">
        <v>770</v>
      </c>
      <c r="T4438" t="s">
        <v>771</v>
      </c>
    </row>
    <row r="4439" spans="1:20" x14ac:dyDescent="0.25">
      <c r="A4439" t="s">
        <v>10248</v>
      </c>
      <c r="B4439" t="str">
        <f>"9850"</f>
        <v>9850</v>
      </c>
      <c r="C4439" t="str">
        <f>"282969850"</f>
        <v>282969850</v>
      </c>
      <c r="D4439" t="s">
        <v>10249</v>
      </c>
      <c r="E4439" t="s">
        <v>1976</v>
      </c>
      <c r="F4439" t="s">
        <v>174</v>
      </c>
      <c r="G4439" s="1">
        <v>27748</v>
      </c>
      <c r="H4439" s="1">
        <v>36179</v>
      </c>
      <c r="I4439" t="str">
        <f>"33"</f>
        <v>33</v>
      </c>
      <c r="J4439" t="s">
        <v>45</v>
      </c>
      <c r="K4439" t="s">
        <v>25</v>
      </c>
      <c r="L4439" t="s">
        <v>26</v>
      </c>
      <c r="M4439" t="s">
        <v>27</v>
      </c>
      <c r="N4439" s="1">
        <v>18629</v>
      </c>
      <c r="O4439">
        <v>0</v>
      </c>
      <c r="P4439">
        <v>0</v>
      </c>
      <c r="Q4439" t="s">
        <v>37</v>
      </c>
      <c r="R4439" t="s">
        <v>29</v>
      </c>
      <c r="S4439" t="s">
        <v>594</v>
      </c>
      <c r="T4439" t="s">
        <v>595</v>
      </c>
    </row>
    <row r="4440" spans="1:20" x14ac:dyDescent="0.25">
      <c r="A4440" t="s">
        <v>10250</v>
      </c>
      <c r="B4440" t="str">
        <f>"1592"</f>
        <v>1592</v>
      </c>
      <c r="C4440" t="str">
        <f>"297681592"</f>
        <v>297681592</v>
      </c>
      <c r="D4440" t="s">
        <v>1310</v>
      </c>
      <c r="E4440" t="s">
        <v>812</v>
      </c>
      <c r="G4440" s="1">
        <v>21125</v>
      </c>
      <c r="H4440" s="1">
        <v>36143</v>
      </c>
      <c r="I4440" t="str">
        <f>"51"</f>
        <v>51</v>
      </c>
      <c r="J4440" t="s">
        <v>471</v>
      </c>
      <c r="K4440" t="s">
        <v>25</v>
      </c>
      <c r="L4440" t="s">
        <v>26</v>
      </c>
      <c r="M4440" t="s">
        <v>27</v>
      </c>
      <c r="N4440" s="1">
        <v>18629</v>
      </c>
      <c r="O4440">
        <v>0</v>
      </c>
      <c r="P4440">
        <v>0</v>
      </c>
      <c r="Q4440" t="s">
        <v>37</v>
      </c>
      <c r="R4440" t="s">
        <v>71</v>
      </c>
      <c r="S4440" t="s">
        <v>871</v>
      </c>
      <c r="T4440" t="s">
        <v>872</v>
      </c>
    </row>
    <row r="4441" spans="1:20" x14ac:dyDescent="0.25">
      <c r="A4441" t="s">
        <v>10251</v>
      </c>
      <c r="B4441" t="str">
        <f>"4472"</f>
        <v>4472</v>
      </c>
      <c r="C4441" t="str">
        <f>"385484472"</f>
        <v>385484472</v>
      </c>
      <c r="D4441" t="s">
        <v>9433</v>
      </c>
      <c r="E4441" t="s">
        <v>122</v>
      </c>
      <c r="F4441" t="s">
        <v>165</v>
      </c>
      <c r="G4441" s="1">
        <v>16637</v>
      </c>
      <c r="H4441" s="1">
        <v>36054</v>
      </c>
      <c r="I4441" t="str">
        <f>"41"</f>
        <v>41</v>
      </c>
      <c r="J4441" t="s">
        <v>24</v>
      </c>
      <c r="K4441" t="s">
        <v>25</v>
      </c>
      <c r="L4441" t="s">
        <v>26</v>
      </c>
      <c r="M4441" t="s">
        <v>27</v>
      </c>
      <c r="N4441" s="1">
        <v>18629</v>
      </c>
      <c r="O4441">
        <v>0</v>
      </c>
      <c r="P4441">
        <v>0</v>
      </c>
      <c r="Q4441" t="s">
        <v>28</v>
      </c>
      <c r="R4441" t="s">
        <v>29</v>
      </c>
      <c r="S4441" t="s">
        <v>1422</v>
      </c>
      <c r="T4441" t="s">
        <v>1423</v>
      </c>
    </row>
    <row r="4442" spans="1:20" x14ac:dyDescent="0.25">
      <c r="A4442" t="s">
        <v>10252</v>
      </c>
      <c r="B4442" t="str">
        <f>"2360"</f>
        <v>2360</v>
      </c>
      <c r="C4442" t="str">
        <f>"287842360"</f>
        <v>287842360</v>
      </c>
      <c r="D4442" t="s">
        <v>10253</v>
      </c>
      <c r="E4442" t="s">
        <v>48</v>
      </c>
      <c r="F4442" t="s">
        <v>28</v>
      </c>
      <c r="G4442" s="1">
        <v>25381</v>
      </c>
      <c r="H4442" s="1">
        <v>36045</v>
      </c>
      <c r="I4442" t="str">
        <f>"51"</f>
        <v>51</v>
      </c>
      <c r="J4442" t="s">
        <v>471</v>
      </c>
      <c r="K4442" t="s">
        <v>25</v>
      </c>
      <c r="L4442" t="s">
        <v>26</v>
      </c>
      <c r="M4442" t="s">
        <v>27</v>
      </c>
      <c r="N4442" s="1">
        <v>18629</v>
      </c>
      <c r="O4442">
        <v>0</v>
      </c>
      <c r="P4442">
        <v>0</v>
      </c>
      <c r="Q4442" t="s">
        <v>37</v>
      </c>
      <c r="R4442" t="s">
        <v>71</v>
      </c>
      <c r="S4442" t="s">
        <v>2458</v>
      </c>
      <c r="T4442" t="s">
        <v>2459</v>
      </c>
    </row>
    <row r="4443" spans="1:20" x14ac:dyDescent="0.25">
      <c r="A4443" t="s">
        <v>10254</v>
      </c>
      <c r="B4443" t="str">
        <f>"6563"</f>
        <v>6563</v>
      </c>
      <c r="C4443" t="str">
        <f>"270586563"</f>
        <v>270586563</v>
      </c>
      <c r="D4443" t="s">
        <v>10255</v>
      </c>
      <c r="E4443" t="s">
        <v>33</v>
      </c>
      <c r="F4443" t="s">
        <v>28</v>
      </c>
      <c r="G4443" s="1">
        <v>21559</v>
      </c>
      <c r="H4443" s="1">
        <v>36042</v>
      </c>
      <c r="I4443" t="str">
        <f>"20"</f>
        <v>20</v>
      </c>
      <c r="J4443" t="s">
        <v>123</v>
      </c>
      <c r="K4443" t="s">
        <v>98</v>
      </c>
      <c r="L4443" t="s">
        <v>37</v>
      </c>
      <c r="M4443" t="s">
        <v>99</v>
      </c>
      <c r="N4443" s="1">
        <v>41631</v>
      </c>
      <c r="O4443">
        <v>14801.82</v>
      </c>
      <c r="P4443">
        <v>3700.4</v>
      </c>
      <c r="Q4443" t="s">
        <v>28</v>
      </c>
      <c r="R4443" t="s">
        <v>51</v>
      </c>
      <c r="S4443" s="2" t="s">
        <v>2626</v>
      </c>
      <c r="T4443" t="s">
        <v>2627</v>
      </c>
    </row>
    <row r="4444" spans="1:20" x14ac:dyDescent="0.25">
      <c r="A4444" t="s">
        <v>10256</v>
      </c>
      <c r="B4444" t="str">
        <f>"6533"</f>
        <v>6533</v>
      </c>
      <c r="C4444" t="str">
        <f>"058566533"</f>
        <v>058566533</v>
      </c>
      <c r="D4444" t="s">
        <v>4306</v>
      </c>
      <c r="E4444" t="s">
        <v>944</v>
      </c>
      <c r="F4444" t="s">
        <v>26</v>
      </c>
      <c r="G4444" s="1">
        <v>21417</v>
      </c>
      <c r="H4444" s="1">
        <v>36042</v>
      </c>
      <c r="I4444" t="str">
        <f>"20"</f>
        <v>20</v>
      </c>
      <c r="J4444" t="s">
        <v>123</v>
      </c>
      <c r="K4444" t="s">
        <v>98</v>
      </c>
      <c r="L4444" t="s">
        <v>37</v>
      </c>
      <c r="M4444" t="s">
        <v>99</v>
      </c>
      <c r="N4444" s="1">
        <v>41631</v>
      </c>
      <c r="O4444">
        <v>14801.82</v>
      </c>
      <c r="P4444">
        <v>3700.4</v>
      </c>
      <c r="Q4444" t="s">
        <v>28</v>
      </c>
      <c r="R4444" t="s">
        <v>29</v>
      </c>
      <c r="S4444" t="s">
        <v>2736</v>
      </c>
      <c r="T4444" t="s">
        <v>2737</v>
      </c>
    </row>
    <row r="4445" spans="1:20" x14ac:dyDescent="0.25">
      <c r="A4445" t="s">
        <v>10257</v>
      </c>
      <c r="B4445" t="str">
        <f>"4935"</f>
        <v>4935</v>
      </c>
      <c r="C4445" t="str">
        <f>"363504935"</f>
        <v>363504935</v>
      </c>
      <c r="D4445" t="s">
        <v>10258</v>
      </c>
      <c r="E4445" t="s">
        <v>2917</v>
      </c>
      <c r="F4445" t="s">
        <v>28</v>
      </c>
      <c r="G4445" s="1">
        <v>17394</v>
      </c>
      <c r="H4445" s="1">
        <v>36033</v>
      </c>
      <c r="I4445" t="str">
        <f t="shared" ref="I4445:I4451" si="104">"51"</f>
        <v>51</v>
      </c>
      <c r="J4445" t="s">
        <v>471</v>
      </c>
      <c r="K4445" t="s">
        <v>25</v>
      </c>
      <c r="L4445" t="s">
        <v>26</v>
      </c>
      <c r="M4445" t="s">
        <v>27</v>
      </c>
      <c r="N4445" s="1">
        <v>18629</v>
      </c>
      <c r="O4445">
        <v>0</v>
      </c>
      <c r="P4445">
        <v>0</v>
      </c>
      <c r="Q4445" t="s">
        <v>37</v>
      </c>
      <c r="R4445" t="s">
        <v>29</v>
      </c>
      <c r="S4445" t="s">
        <v>1572</v>
      </c>
      <c r="T4445" t="s">
        <v>1573</v>
      </c>
    </row>
    <row r="4446" spans="1:20" x14ac:dyDescent="0.25">
      <c r="A4446" t="s">
        <v>10259</v>
      </c>
      <c r="B4446" t="str">
        <f>"6901"</f>
        <v>6901</v>
      </c>
      <c r="C4446" t="str">
        <f>"298486901"</f>
        <v>298486901</v>
      </c>
      <c r="D4446" t="s">
        <v>10260</v>
      </c>
      <c r="E4446" t="s">
        <v>35</v>
      </c>
      <c r="F4446" t="s">
        <v>93</v>
      </c>
      <c r="G4446" s="1">
        <v>20582</v>
      </c>
      <c r="H4446" s="1">
        <v>36033</v>
      </c>
      <c r="I4446" t="str">
        <f t="shared" si="104"/>
        <v>51</v>
      </c>
      <c r="J4446" t="s">
        <v>471</v>
      </c>
      <c r="K4446" t="s">
        <v>25</v>
      </c>
      <c r="L4446" t="s">
        <v>26</v>
      </c>
      <c r="M4446" t="s">
        <v>27</v>
      </c>
      <c r="N4446" s="1">
        <v>18629</v>
      </c>
      <c r="O4446">
        <v>0</v>
      </c>
      <c r="P4446">
        <v>0</v>
      </c>
      <c r="Q4446" t="s">
        <v>28</v>
      </c>
      <c r="R4446" t="s">
        <v>29</v>
      </c>
      <c r="S4446" t="s">
        <v>1572</v>
      </c>
      <c r="T4446" t="s">
        <v>1573</v>
      </c>
    </row>
    <row r="4447" spans="1:20" x14ac:dyDescent="0.25">
      <c r="A4447" t="s">
        <v>10261</v>
      </c>
      <c r="B4447" t="str">
        <f>"5057"</f>
        <v>5057</v>
      </c>
      <c r="C4447" t="str">
        <f>"278405057"</f>
        <v>278405057</v>
      </c>
      <c r="D4447" t="s">
        <v>10262</v>
      </c>
      <c r="E4447" t="s">
        <v>1666</v>
      </c>
      <c r="F4447" t="s">
        <v>7606</v>
      </c>
      <c r="G4447" s="1">
        <v>17097</v>
      </c>
      <c r="H4447" s="1">
        <v>36033</v>
      </c>
      <c r="I4447" t="str">
        <f t="shared" si="104"/>
        <v>51</v>
      </c>
      <c r="J4447" t="s">
        <v>471</v>
      </c>
      <c r="K4447" t="s">
        <v>25</v>
      </c>
      <c r="L4447" t="s">
        <v>26</v>
      </c>
      <c r="M4447" t="s">
        <v>27</v>
      </c>
      <c r="N4447" s="1">
        <v>18629</v>
      </c>
      <c r="O4447">
        <v>0</v>
      </c>
      <c r="P4447">
        <v>0</v>
      </c>
      <c r="Q4447" t="s">
        <v>37</v>
      </c>
      <c r="R4447" t="s">
        <v>29</v>
      </c>
      <c r="S4447" t="s">
        <v>1555</v>
      </c>
      <c r="T4447" t="s">
        <v>1556</v>
      </c>
    </row>
    <row r="4448" spans="1:20" x14ac:dyDescent="0.25">
      <c r="A4448" t="s">
        <v>10263</v>
      </c>
      <c r="B4448" t="str">
        <f>"5497"</f>
        <v>5497</v>
      </c>
      <c r="C4448" t="str">
        <f>"276685497"</f>
        <v>276685497</v>
      </c>
      <c r="D4448" t="s">
        <v>3790</v>
      </c>
      <c r="E4448" t="s">
        <v>197</v>
      </c>
      <c r="F4448" t="s">
        <v>37</v>
      </c>
      <c r="G4448" s="1">
        <v>21667</v>
      </c>
      <c r="H4448" s="1">
        <v>36033</v>
      </c>
      <c r="I4448" t="str">
        <f t="shared" si="104"/>
        <v>51</v>
      </c>
      <c r="J4448" t="s">
        <v>471</v>
      </c>
      <c r="K4448" t="s">
        <v>25</v>
      </c>
      <c r="L4448" t="s">
        <v>26</v>
      </c>
      <c r="M4448" t="s">
        <v>27</v>
      </c>
      <c r="N4448" s="1">
        <v>18629</v>
      </c>
      <c r="O4448">
        <v>0</v>
      </c>
      <c r="P4448">
        <v>0</v>
      </c>
      <c r="Q4448" t="s">
        <v>28</v>
      </c>
      <c r="R4448" t="s">
        <v>29</v>
      </c>
      <c r="S4448" t="s">
        <v>765</v>
      </c>
      <c r="T4448" t="s">
        <v>766</v>
      </c>
    </row>
    <row r="4449" spans="1:20" x14ac:dyDescent="0.25">
      <c r="A4449" t="s">
        <v>10264</v>
      </c>
      <c r="B4449" t="str">
        <f>"0790"</f>
        <v>0790</v>
      </c>
      <c r="C4449" t="str">
        <f>"270600790"</f>
        <v>270600790</v>
      </c>
      <c r="D4449" t="s">
        <v>10265</v>
      </c>
      <c r="E4449" t="s">
        <v>905</v>
      </c>
      <c r="G4449" s="1">
        <v>20991</v>
      </c>
      <c r="H4449" s="1">
        <v>36033</v>
      </c>
      <c r="I4449" t="str">
        <f t="shared" si="104"/>
        <v>51</v>
      </c>
      <c r="J4449" t="s">
        <v>471</v>
      </c>
      <c r="K4449" t="s">
        <v>25</v>
      </c>
      <c r="L4449" t="s">
        <v>26</v>
      </c>
      <c r="M4449" t="s">
        <v>27</v>
      </c>
      <c r="N4449" s="1">
        <v>18629</v>
      </c>
      <c r="O4449">
        <v>0</v>
      </c>
      <c r="P4449">
        <v>0</v>
      </c>
      <c r="Q4449" t="s">
        <v>37</v>
      </c>
      <c r="R4449" t="s">
        <v>71</v>
      </c>
      <c r="S4449" t="s">
        <v>1547</v>
      </c>
      <c r="T4449" t="s">
        <v>1548</v>
      </c>
    </row>
    <row r="4450" spans="1:20" x14ac:dyDescent="0.25">
      <c r="A4450" t="s">
        <v>10266</v>
      </c>
      <c r="B4450" t="str">
        <f>"6206"</f>
        <v>6206</v>
      </c>
      <c r="C4450" t="str">
        <f>"046546206"</f>
        <v>046546206</v>
      </c>
      <c r="D4450" t="s">
        <v>1331</v>
      </c>
      <c r="E4450" t="s">
        <v>137</v>
      </c>
      <c r="F4450" t="s">
        <v>438</v>
      </c>
      <c r="G4450" s="1">
        <v>20907</v>
      </c>
      <c r="H4450" s="1">
        <v>36033</v>
      </c>
      <c r="I4450" t="str">
        <f t="shared" si="104"/>
        <v>51</v>
      </c>
      <c r="J4450" t="s">
        <v>471</v>
      </c>
      <c r="K4450" t="s">
        <v>25</v>
      </c>
      <c r="L4450" t="s">
        <v>26</v>
      </c>
      <c r="M4450" t="s">
        <v>27</v>
      </c>
      <c r="N4450" s="1">
        <v>18629</v>
      </c>
      <c r="O4450">
        <v>0</v>
      </c>
      <c r="P4450">
        <v>0</v>
      </c>
      <c r="Q4450" t="s">
        <v>37</v>
      </c>
      <c r="R4450" t="s">
        <v>29</v>
      </c>
      <c r="S4450" t="s">
        <v>2736</v>
      </c>
      <c r="T4450" t="s">
        <v>2737</v>
      </c>
    </row>
    <row r="4451" spans="1:20" x14ac:dyDescent="0.25">
      <c r="A4451" t="s">
        <v>10267</v>
      </c>
      <c r="B4451" t="str">
        <f>"6693"</f>
        <v>6693</v>
      </c>
      <c r="C4451" t="str">
        <f>"296726693"</f>
        <v>296726693</v>
      </c>
      <c r="D4451" t="s">
        <v>10268</v>
      </c>
      <c r="E4451" t="s">
        <v>1353</v>
      </c>
      <c r="F4451" t="s">
        <v>28</v>
      </c>
      <c r="G4451" s="1">
        <v>12383</v>
      </c>
      <c r="H4451" s="1">
        <v>36033</v>
      </c>
      <c r="I4451" t="str">
        <f t="shared" si="104"/>
        <v>51</v>
      </c>
      <c r="J4451" t="s">
        <v>471</v>
      </c>
      <c r="K4451" t="s">
        <v>25</v>
      </c>
      <c r="L4451" t="s">
        <v>26</v>
      </c>
      <c r="M4451" t="s">
        <v>27</v>
      </c>
      <c r="N4451" s="1">
        <v>18629</v>
      </c>
      <c r="O4451">
        <v>0</v>
      </c>
      <c r="P4451">
        <v>0</v>
      </c>
      <c r="Q4451" t="s">
        <v>37</v>
      </c>
      <c r="R4451" t="s">
        <v>29</v>
      </c>
      <c r="S4451" t="s">
        <v>1572</v>
      </c>
      <c r="T4451" t="s">
        <v>1573</v>
      </c>
    </row>
    <row r="4452" spans="1:20" x14ac:dyDescent="0.25">
      <c r="A4452" t="s">
        <v>10269</v>
      </c>
      <c r="B4452" t="str">
        <f>"3515"</f>
        <v>3515</v>
      </c>
      <c r="C4452" t="str">
        <f>"532723515"</f>
        <v>532723515</v>
      </c>
      <c r="D4452" t="s">
        <v>10270</v>
      </c>
      <c r="E4452" t="s">
        <v>10271</v>
      </c>
      <c r="F4452" t="s">
        <v>276</v>
      </c>
      <c r="G4452" s="1">
        <v>19419</v>
      </c>
      <c r="H4452" s="1">
        <v>36031</v>
      </c>
      <c r="I4452" t="str">
        <f>"33"</f>
        <v>33</v>
      </c>
      <c r="J4452" t="s">
        <v>45</v>
      </c>
      <c r="K4452" t="s">
        <v>25</v>
      </c>
      <c r="L4452" t="s">
        <v>26</v>
      </c>
      <c r="M4452" t="s">
        <v>27</v>
      </c>
      <c r="N4452" s="1">
        <v>18629</v>
      </c>
      <c r="O4452">
        <v>0</v>
      </c>
      <c r="P4452">
        <v>0</v>
      </c>
      <c r="Q4452" t="s">
        <v>28</v>
      </c>
      <c r="R4452" t="s">
        <v>29</v>
      </c>
      <c r="S4452" t="s">
        <v>594</v>
      </c>
      <c r="T4452" t="s">
        <v>595</v>
      </c>
    </row>
    <row r="4453" spans="1:20" x14ac:dyDescent="0.25">
      <c r="A4453" t="s">
        <v>10272</v>
      </c>
      <c r="B4453" t="str">
        <f>"0587"</f>
        <v>0587</v>
      </c>
      <c r="C4453" t="str">
        <f>"153400587"</f>
        <v>153400587</v>
      </c>
      <c r="D4453" t="s">
        <v>10273</v>
      </c>
      <c r="E4453" t="s">
        <v>518</v>
      </c>
      <c r="G4453" s="1">
        <v>20244</v>
      </c>
      <c r="H4453" s="1">
        <v>36031</v>
      </c>
      <c r="I4453" t="str">
        <f t="shared" ref="I4453:I4459" si="105">"20"</f>
        <v>20</v>
      </c>
      <c r="J4453" t="s">
        <v>123</v>
      </c>
      <c r="K4453" t="s">
        <v>510</v>
      </c>
      <c r="L4453" t="s">
        <v>37</v>
      </c>
      <c r="M4453" t="s">
        <v>117</v>
      </c>
      <c r="N4453" s="1">
        <v>41631</v>
      </c>
      <c r="O4453">
        <v>6477.24</v>
      </c>
      <c r="P4453">
        <v>1619.2</v>
      </c>
      <c r="Q4453" t="s">
        <v>37</v>
      </c>
      <c r="R4453" t="s">
        <v>71</v>
      </c>
      <c r="S4453" t="s">
        <v>1474</v>
      </c>
      <c r="T4453" t="s">
        <v>1475</v>
      </c>
    </row>
    <row r="4454" spans="1:20" x14ac:dyDescent="0.25">
      <c r="A4454" t="s">
        <v>10274</v>
      </c>
      <c r="B4454" t="str">
        <f>"1321"</f>
        <v>1321</v>
      </c>
      <c r="C4454" t="str">
        <f>"293401321"</f>
        <v>293401321</v>
      </c>
      <c r="D4454" t="s">
        <v>10275</v>
      </c>
      <c r="E4454" t="s">
        <v>10276</v>
      </c>
      <c r="G4454" s="1">
        <v>16674</v>
      </c>
      <c r="H4454" s="1">
        <v>36031</v>
      </c>
      <c r="I4454" t="str">
        <f t="shared" si="105"/>
        <v>20</v>
      </c>
      <c r="J4454" t="s">
        <v>123</v>
      </c>
      <c r="K4454" t="s">
        <v>175</v>
      </c>
      <c r="L4454" t="s">
        <v>37</v>
      </c>
      <c r="M4454" t="s">
        <v>257</v>
      </c>
      <c r="N4454" s="1">
        <v>41631</v>
      </c>
      <c r="O4454">
        <v>11847.88</v>
      </c>
      <c r="P4454">
        <v>2962.08</v>
      </c>
      <c r="Q4454" t="s">
        <v>37</v>
      </c>
      <c r="R4454" t="s">
        <v>71</v>
      </c>
      <c r="S4454" t="s">
        <v>305</v>
      </c>
      <c r="T4454" t="s">
        <v>306</v>
      </c>
    </row>
    <row r="4455" spans="1:20" x14ac:dyDescent="0.25">
      <c r="A4455" t="s">
        <v>10277</v>
      </c>
      <c r="B4455" t="str">
        <f>"9637"</f>
        <v>9637</v>
      </c>
      <c r="C4455" t="str">
        <f>"297689637"</f>
        <v>297689637</v>
      </c>
      <c r="D4455" t="s">
        <v>867</v>
      </c>
      <c r="E4455" t="s">
        <v>109</v>
      </c>
      <c r="G4455" s="1">
        <v>24335</v>
      </c>
      <c r="H4455" s="1">
        <v>36031</v>
      </c>
      <c r="I4455" t="str">
        <f t="shared" si="105"/>
        <v>20</v>
      </c>
      <c r="J4455" t="s">
        <v>123</v>
      </c>
      <c r="K4455" t="s">
        <v>98</v>
      </c>
      <c r="L4455" t="s">
        <v>37</v>
      </c>
      <c r="M4455" t="s">
        <v>257</v>
      </c>
      <c r="N4455" s="1">
        <v>41631</v>
      </c>
      <c r="O4455">
        <v>10753.16</v>
      </c>
      <c r="P4455">
        <v>2688.4</v>
      </c>
      <c r="Q4455" t="s">
        <v>37</v>
      </c>
      <c r="R4455" t="s">
        <v>51</v>
      </c>
      <c r="S4455" s="2" t="s">
        <v>839</v>
      </c>
      <c r="T4455" t="s">
        <v>840</v>
      </c>
    </row>
    <row r="4456" spans="1:20" x14ac:dyDescent="0.25">
      <c r="A4456" t="s">
        <v>10278</v>
      </c>
      <c r="B4456" t="str">
        <f>"3864"</f>
        <v>3864</v>
      </c>
      <c r="C4456" t="str">
        <f>"274423864"</f>
        <v>274423864</v>
      </c>
      <c r="D4456" t="s">
        <v>10279</v>
      </c>
      <c r="E4456" t="s">
        <v>609</v>
      </c>
      <c r="F4456" t="s">
        <v>10280</v>
      </c>
      <c r="G4456" s="1">
        <v>17538</v>
      </c>
      <c r="H4456" s="1">
        <v>36031</v>
      </c>
      <c r="I4456" t="str">
        <f t="shared" si="105"/>
        <v>20</v>
      </c>
      <c r="J4456" t="s">
        <v>123</v>
      </c>
      <c r="K4456" t="s">
        <v>98</v>
      </c>
      <c r="L4456" t="s">
        <v>37</v>
      </c>
      <c r="M4456" t="s">
        <v>257</v>
      </c>
      <c r="N4456" s="1">
        <v>41631</v>
      </c>
      <c r="O4456">
        <v>10753.16</v>
      </c>
      <c r="P4456">
        <v>2688.4</v>
      </c>
      <c r="Q4456" t="s">
        <v>28</v>
      </c>
      <c r="R4456" t="s">
        <v>29</v>
      </c>
      <c r="S4456" t="s">
        <v>1677</v>
      </c>
      <c r="T4456" t="s">
        <v>1678</v>
      </c>
    </row>
    <row r="4457" spans="1:20" x14ac:dyDescent="0.25">
      <c r="A4457" t="s">
        <v>10281</v>
      </c>
      <c r="B4457" t="str">
        <f>"0199"</f>
        <v>0199</v>
      </c>
      <c r="C4457" t="str">
        <f>"270520199"</f>
        <v>270520199</v>
      </c>
      <c r="D4457" t="s">
        <v>10282</v>
      </c>
      <c r="E4457" t="s">
        <v>1074</v>
      </c>
      <c r="F4457" t="s">
        <v>190</v>
      </c>
      <c r="G4457" s="1">
        <v>19649</v>
      </c>
      <c r="H4457" s="1">
        <v>36031</v>
      </c>
      <c r="I4457" t="str">
        <f t="shared" si="105"/>
        <v>20</v>
      </c>
      <c r="J4457" t="s">
        <v>123</v>
      </c>
      <c r="K4457" t="s">
        <v>98</v>
      </c>
      <c r="L4457" t="s">
        <v>37</v>
      </c>
      <c r="M4457" t="s">
        <v>257</v>
      </c>
      <c r="N4457" s="1">
        <v>41631</v>
      </c>
      <c r="O4457">
        <v>10753.16</v>
      </c>
      <c r="P4457">
        <v>2688.4</v>
      </c>
      <c r="Q4457" t="s">
        <v>37</v>
      </c>
      <c r="R4457" t="s">
        <v>71</v>
      </c>
      <c r="S4457" t="s">
        <v>2190</v>
      </c>
      <c r="T4457" t="s">
        <v>2191</v>
      </c>
    </row>
    <row r="4458" spans="1:20" x14ac:dyDescent="0.25">
      <c r="A4458" t="s">
        <v>10283</v>
      </c>
      <c r="B4458" t="str">
        <f>"4995"</f>
        <v>4995</v>
      </c>
      <c r="C4458" t="str">
        <f>"272424995"</f>
        <v>272424995</v>
      </c>
      <c r="D4458" t="s">
        <v>10284</v>
      </c>
      <c r="E4458" t="s">
        <v>10285</v>
      </c>
      <c r="G4458" s="1">
        <v>17606</v>
      </c>
      <c r="H4458" s="1">
        <v>36031</v>
      </c>
      <c r="I4458" t="str">
        <f t="shared" si="105"/>
        <v>20</v>
      </c>
      <c r="J4458" t="s">
        <v>123</v>
      </c>
      <c r="K4458" t="s">
        <v>98</v>
      </c>
      <c r="L4458" t="s">
        <v>37</v>
      </c>
      <c r="M4458" t="s">
        <v>117</v>
      </c>
      <c r="N4458" s="1">
        <v>41631</v>
      </c>
      <c r="O4458">
        <v>4951.9799999999996</v>
      </c>
      <c r="P4458">
        <v>1237.94</v>
      </c>
      <c r="Q4458" t="s">
        <v>37</v>
      </c>
      <c r="R4458" t="s">
        <v>71</v>
      </c>
      <c r="S4458" t="s">
        <v>1547</v>
      </c>
      <c r="T4458" t="s">
        <v>1548</v>
      </c>
    </row>
    <row r="4459" spans="1:20" x14ac:dyDescent="0.25">
      <c r="A4459" t="s">
        <v>10286</v>
      </c>
      <c r="B4459" t="str">
        <f>"4048"</f>
        <v>4048</v>
      </c>
      <c r="C4459" t="str">
        <f>"550334048"</f>
        <v>550334048</v>
      </c>
      <c r="D4459" t="s">
        <v>10287</v>
      </c>
      <c r="E4459" t="s">
        <v>2177</v>
      </c>
      <c r="F4459" t="s">
        <v>28</v>
      </c>
      <c r="G4459" s="1">
        <v>23869</v>
      </c>
      <c r="H4459" s="1">
        <v>36031</v>
      </c>
      <c r="I4459" t="str">
        <f t="shared" si="105"/>
        <v>20</v>
      </c>
      <c r="J4459" t="s">
        <v>123</v>
      </c>
      <c r="L4459" t="s">
        <v>37</v>
      </c>
      <c r="M4459" t="s">
        <v>143</v>
      </c>
      <c r="N4459" s="1">
        <v>41631</v>
      </c>
      <c r="O4459">
        <v>185.9</v>
      </c>
      <c r="P4459">
        <v>-185.9</v>
      </c>
      <c r="Q4459" t="s">
        <v>37</v>
      </c>
      <c r="R4459" t="s">
        <v>71</v>
      </c>
      <c r="S4459" t="s">
        <v>2190</v>
      </c>
      <c r="T4459" t="s">
        <v>2191</v>
      </c>
    </row>
    <row r="4460" spans="1:20" x14ac:dyDescent="0.25">
      <c r="A4460" t="s">
        <v>10288</v>
      </c>
      <c r="B4460" t="str">
        <f>"0818"</f>
        <v>0818</v>
      </c>
      <c r="C4460" t="str">
        <f>"159300818"</f>
        <v>159300818</v>
      </c>
      <c r="D4460" t="s">
        <v>1798</v>
      </c>
      <c r="E4460" t="s">
        <v>10289</v>
      </c>
      <c r="F4460" t="s">
        <v>165</v>
      </c>
      <c r="G4460" s="1">
        <v>14175</v>
      </c>
      <c r="H4460" s="1">
        <v>36017</v>
      </c>
      <c r="I4460" t="str">
        <f>"50"</f>
        <v>50</v>
      </c>
      <c r="J4460" t="s">
        <v>208</v>
      </c>
      <c r="K4460" t="s">
        <v>25</v>
      </c>
      <c r="L4460" t="s">
        <v>26</v>
      </c>
      <c r="M4460" t="s">
        <v>27</v>
      </c>
      <c r="N4460" s="1">
        <v>18629</v>
      </c>
      <c r="O4460">
        <v>0</v>
      </c>
      <c r="P4460">
        <v>0</v>
      </c>
      <c r="Q4460" t="s">
        <v>28</v>
      </c>
      <c r="R4460" t="s">
        <v>29</v>
      </c>
      <c r="S4460" t="s">
        <v>185</v>
      </c>
      <c r="T4460" t="s">
        <v>186</v>
      </c>
    </row>
    <row r="4461" spans="1:20" x14ac:dyDescent="0.25">
      <c r="A4461" t="s">
        <v>10290</v>
      </c>
      <c r="B4461" t="str">
        <f>"8889"</f>
        <v>8889</v>
      </c>
      <c r="C4461" t="str">
        <f>"290708889"</f>
        <v>290708889</v>
      </c>
      <c r="D4461" t="s">
        <v>10291</v>
      </c>
      <c r="E4461" t="s">
        <v>3537</v>
      </c>
      <c r="G4461" s="1">
        <v>23496</v>
      </c>
      <c r="H4461" s="1">
        <v>35994</v>
      </c>
      <c r="I4461" t="str">
        <f>"42"</f>
        <v>42</v>
      </c>
      <c r="J4461" t="s">
        <v>367</v>
      </c>
      <c r="K4461" t="s">
        <v>25</v>
      </c>
      <c r="L4461" t="s">
        <v>26</v>
      </c>
      <c r="M4461" t="s">
        <v>27</v>
      </c>
      <c r="N4461" s="1">
        <v>18629</v>
      </c>
      <c r="O4461">
        <v>0</v>
      </c>
      <c r="P4461">
        <v>0</v>
      </c>
      <c r="Q4461" t="s">
        <v>28</v>
      </c>
      <c r="R4461" t="s">
        <v>51</v>
      </c>
      <c r="S4461" t="s">
        <v>1222</v>
      </c>
      <c r="T4461" t="s">
        <v>1223</v>
      </c>
    </row>
    <row r="4462" spans="1:20" x14ac:dyDescent="0.25">
      <c r="A4462" t="s">
        <v>10292</v>
      </c>
      <c r="B4462" t="str">
        <f>"7651"</f>
        <v>7651</v>
      </c>
      <c r="C4462" t="str">
        <f>"376587651"</f>
        <v>376587651</v>
      </c>
      <c r="D4462" t="s">
        <v>10293</v>
      </c>
      <c r="E4462" t="s">
        <v>26</v>
      </c>
      <c r="F4462" t="s">
        <v>2911</v>
      </c>
      <c r="G4462" s="1">
        <v>19683</v>
      </c>
      <c r="H4462" s="1">
        <v>35982</v>
      </c>
      <c r="I4462" t="str">
        <f>"30"</f>
        <v>30</v>
      </c>
      <c r="J4462" t="s">
        <v>50</v>
      </c>
      <c r="K4462" t="s">
        <v>25</v>
      </c>
      <c r="L4462" t="s">
        <v>26</v>
      </c>
      <c r="M4462" t="s">
        <v>27</v>
      </c>
      <c r="N4462" s="1">
        <v>18629</v>
      </c>
      <c r="O4462">
        <v>0</v>
      </c>
      <c r="P4462">
        <v>0</v>
      </c>
      <c r="Q4462" t="s">
        <v>37</v>
      </c>
      <c r="R4462" t="s">
        <v>29</v>
      </c>
      <c r="S4462" t="s">
        <v>3444</v>
      </c>
      <c r="T4462" t="s">
        <v>3445</v>
      </c>
    </row>
    <row r="4463" spans="1:20" x14ac:dyDescent="0.25">
      <c r="A4463" t="s">
        <v>10294</v>
      </c>
      <c r="B4463" t="str">
        <f>"5912"</f>
        <v>5912</v>
      </c>
      <c r="C4463" t="str">
        <f>"283605912"</f>
        <v>283605912</v>
      </c>
      <c r="D4463" t="s">
        <v>10295</v>
      </c>
      <c r="E4463" t="s">
        <v>2917</v>
      </c>
      <c r="F4463" t="s">
        <v>28</v>
      </c>
      <c r="G4463" s="1">
        <v>21473</v>
      </c>
      <c r="H4463" s="1">
        <v>35977</v>
      </c>
      <c r="I4463" t="str">
        <f>"51"</f>
        <v>51</v>
      </c>
      <c r="J4463" t="s">
        <v>471</v>
      </c>
      <c r="K4463" t="s">
        <v>25</v>
      </c>
      <c r="L4463" t="s">
        <v>26</v>
      </c>
      <c r="M4463" t="s">
        <v>27</v>
      </c>
      <c r="N4463" s="1">
        <v>18629</v>
      </c>
      <c r="O4463">
        <v>0</v>
      </c>
      <c r="P4463">
        <v>0</v>
      </c>
      <c r="Q4463" t="s">
        <v>37</v>
      </c>
      <c r="R4463" t="s">
        <v>71</v>
      </c>
      <c r="S4463" t="s">
        <v>2190</v>
      </c>
      <c r="T4463" t="s">
        <v>2191</v>
      </c>
    </row>
    <row r="4464" spans="1:20" x14ac:dyDescent="0.25">
      <c r="A4464" t="s">
        <v>10296</v>
      </c>
      <c r="B4464" t="str">
        <f>"8797"</f>
        <v>8797</v>
      </c>
      <c r="C4464" t="str">
        <f>"299548797"</f>
        <v>299548797</v>
      </c>
      <c r="D4464" t="s">
        <v>4803</v>
      </c>
      <c r="E4464" t="s">
        <v>35</v>
      </c>
      <c r="F4464" t="s">
        <v>329</v>
      </c>
      <c r="G4464" s="1">
        <v>20092</v>
      </c>
      <c r="H4464" s="1">
        <v>35947</v>
      </c>
      <c r="I4464" t="str">
        <f>"05"</f>
        <v>05</v>
      </c>
      <c r="J4464" t="s">
        <v>58</v>
      </c>
      <c r="K4464" t="s">
        <v>98</v>
      </c>
      <c r="L4464" t="s">
        <v>37</v>
      </c>
      <c r="M4464" t="s">
        <v>257</v>
      </c>
      <c r="N4464" s="1">
        <v>41617</v>
      </c>
      <c r="O4464">
        <v>10753.08</v>
      </c>
      <c r="P4464">
        <v>2688.4</v>
      </c>
      <c r="Q4464" t="s">
        <v>28</v>
      </c>
      <c r="R4464" t="s">
        <v>71</v>
      </c>
      <c r="S4464" t="s">
        <v>373</v>
      </c>
      <c r="T4464" t="s">
        <v>374</v>
      </c>
    </row>
    <row r="4465" spans="1:20" x14ac:dyDescent="0.25">
      <c r="A4465" t="s">
        <v>10297</v>
      </c>
      <c r="B4465" t="str">
        <f>"5934"</f>
        <v>5934</v>
      </c>
      <c r="C4465" t="str">
        <f>"272465934"</f>
        <v>272465934</v>
      </c>
      <c r="D4465" t="s">
        <v>7862</v>
      </c>
      <c r="E4465" t="s">
        <v>2794</v>
      </c>
      <c r="F4465" t="s">
        <v>26</v>
      </c>
      <c r="G4465" s="1">
        <v>19341</v>
      </c>
      <c r="H4465" s="1">
        <v>35947</v>
      </c>
      <c r="I4465" t="str">
        <f>"05"</f>
        <v>05</v>
      </c>
      <c r="J4465" t="s">
        <v>58</v>
      </c>
      <c r="K4465" t="s">
        <v>98</v>
      </c>
      <c r="L4465" t="s">
        <v>37</v>
      </c>
      <c r="M4465" t="s">
        <v>257</v>
      </c>
      <c r="N4465" s="1">
        <v>41617</v>
      </c>
      <c r="O4465">
        <v>10753.08</v>
      </c>
      <c r="P4465">
        <v>2688.4</v>
      </c>
      <c r="Q4465" t="s">
        <v>28</v>
      </c>
      <c r="R4465" t="s">
        <v>29</v>
      </c>
      <c r="S4465" t="s">
        <v>240</v>
      </c>
      <c r="T4465" t="s">
        <v>241</v>
      </c>
    </row>
    <row r="4466" spans="1:20" x14ac:dyDescent="0.25">
      <c r="A4466" t="s">
        <v>10298</v>
      </c>
      <c r="B4466" t="str">
        <f>"2597"</f>
        <v>2597</v>
      </c>
      <c r="C4466" t="str">
        <f>"285562597"</f>
        <v>285562597</v>
      </c>
      <c r="D4466" t="s">
        <v>10299</v>
      </c>
      <c r="E4466" t="s">
        <v>5096</v>
      </c>
      <c r="F4466" t="s">
        <v>37</v>
      </c>
      <c r="G4466" s="1">
        <v>19935</v>
      </c>
      <c r="H4466" s="1">
        <v>35947</v>
      </c>
      <c r="I4466" t="str">
        <f>"05"</f>
        <v>05</v>
      </c>
      <c r="J4466" t="s">
        <v>58</v>
      </c>
      <c r="L4466" t="s">
        <v>37</v>
      </c>
      <c r="M4466" t="s">
        <v>143</v>
      </c>
      <c r="N4466" s="1">
        <v>41617</v>
      </c>
      <c r="O4466">
        <v>185.9</v>
      </c>
      <c r="P4466">
        <v>-185.9</v>
      </c>
      <c r="Q4466" t="s">
        <v>37</v>
      </c>
      <c r="R4466" t="s">
        <v>71</v>
      </c>
      <c r="S4466" t="s">
        <v>9080</v>
      </c>
      <c r="T4466" t="s">
        <v>9081</v>
      </c>
    </row>
    <row r="4467" spans="1:20" x14ac:dyDescent="0.25">
      <c r="A4467" t="s">
        <v>10300</v>
      </c>
      <c r="B4467" t="str">
        <f>"2498"</f>
        <v>2498</v>
      </c>
      <c r="C4467" t="str">
        <f>"277662498"</f>
        <v>277662498</v>
      </c>
      <c r="D4467" t="s">
        <v>10301</v>
      </c>
      <c r="E4467" t="s">
        <v>1074</v>
      </c>
      <c r="F4467" t="s">
        <v>256</v>
      </c>
      <c r="G4467" s="1">
        <v>25284</v>
      </c>
      <c r="H4467" s="1">
        <v>35940</v>
      </c>
      <c r="I4467" t="str">
        <f>"05"</f>
        <v>05</v>
      </c>
      <c r="J4467" t="s">
        <v>58</v>
      </c>
      <c r="K4467" t="s">
        <v>98</v>
      </c>
      <c r="L4467" t="s">
        <v>37</v>
      </c>
      <c r="M4467" t="s">
        <v>99</v>
      </c>
      <c r="N4467" s="1">
        <v>41617</v>
      </c>
      <c r="O4467">
        <v>14801.8</v>
      </c>
      <c r="P4467">
        <v>3700.32</v>
      </c>
      <c r="Q4467" t="s">
        <v>37</v>
      </c>
      <c r="R4467" t="s">
        <v>29</v>
      </c>
      <c r="S4467" t="s">
        <v>8399</v>
      </c>
      <c r="T4467" t="s">
        <v>8400</v>
      </c>
    </row>
    <row r="4468" spans="1:20" x14ac:dyDescent="0.25">
      <c r="A4468" t="s">
        <v>10302</v>
      </c>
      <c r="B4468" t="str">
        <f>"4600"</f>
        <v>4600</v>
      </c>
      <c r="C4468" t="str">
        <f>"270604600"</f>
        <v>270604600</v>
      </c>
      <c r="D4468" t="s">
        <v>10303</v>
      </c>
      <c r="E4468" t="s">
        <v>6623</v>
      </c>
      <c r="G4468" s="1">
        <v>21121</v>
      </c>
      <c r="H4468" s="1">
        <v>35919</v>
      </c>
      <c r="I4468" t="str">
        <f>"15"</f>
        <v>15</v>
      </c>
      <c r="J4468" t="s">
        <v>36</v>
      </c>
      <c r="K4468" t="s">
        <v>175</v>
      </c>
      <c r="L4468" t="s">
        <v>37</v>
      </c>
      <c r="M4468" t="s">
        <v>117</v>
      </c>
      <c r="N4468" s="1">
        <v>41617</v>
      </c>
      <c r="O4468">
        <v>5288.66</v>
      </c>
      <c r="P4468">
        <v>1322.1</v>
      </c>
      <c r="Q4468" t="s">
        <v>37</v>
      </c>
      <c r="R4468" t="s">
        <v>29</v>
      </c>
      <c r="S4468" t="s">
        <v>477</v>
      </c>
      <c r="T4468" t="s">
        <v>478</v>
      </c>
    </row>
    <row r="4469" spans="1:20" x14ac:dyDescent="0.25">
      <c r="A4469" t="s">
        <v>10304</v>
      </c>
      <c r="B4469" t="str">
        <f>"9176"</f>
        <v>9176</v>
      </c>
      <c r="C4469" t="str">
        <f>"281689176"</f>
        <v>281689176</v>
      </c>
      <c r="D4469" t="s">
        <v>10305</v>
      </c>
      <c r="E4469" t="s">
        <v>1546</v>
      </c>
      <c r="F4469" t="s">
        <v>93</v>
      </c>
      <c r="G4469" s="1">
        <v>22535</v>
      </c>
      <c r="H4469" s="1">
        <v>35919</v>
      </c>
      <c r="I4469" t="str">
        <f>"15"</f>
        <v>15</v>
      </c>
      <c r="J4469" t="s">
        <v>36</v>
      </c>
      <c r="K4469" t="s">
        <v>98</v>
      </c>
      <c r="L4469" t="s">
        <v>37</v>
      </c>
      <c r="M4469" t="s">
        <v>257</v>
      </c>
      <c r="N4469" s="1">
        <v>41617</v>
      </c>
      <c r="O4469">
        <v>10753.08</v>
      </c>
      <c r="P4469">
        <v>2688.4</v>
      </c>
      <c r="Q4469" t="s">
        <v>37</v>
      </c>
      <c r="R4469" t="s">
        <v>71</v>
      </c>
      <c r="S4469" t="s">
        <v>477</v>
      </c>
      <c r="T4469" t="s">
        <v>478</v>
      </c>
    </row>
    <row r="4470" spans="1:20" x14ac:dyDescent="0.25">
      <c r="A4470" t="s">
        <v>10306</v>
      </c>
      <c r="B4470" t="str">
        <f>"1884"</f>
        <v>1884</v>
      </c>
      <c r="C4470" t="str">
        <f>"294541884"</f>
        <v>294541884</v>
      </c>
      <c r="D4470" t="s">
        <v>10307</v>
      </c>
      <c r="E4470" t="s">
        <v>184</v>
      </c>
      <c r="F4470" t="s">
        <v>28</v>
      </c>
      <c r="G4470" s="1">
        <v>20453</v>
      </c>
      <c r="H4470" s="1">
        <v>35899</v>
      </c>
      <c r="I4470" t="str">
        <f>"51"</f>
        <v>51</v>
      </c>
      <c r="J4470" t="s">
        <v>471</v>
      </c>
      <c r="K4470" t="s">
        <v>25</v>
      </c>
      <c r="L4470" t="s">
        <v>26</v>
      </c>
      <c r="M4470" t="s">
        <v>27</v>
      </c>
      <c r="N4470" s="1">
        <v>18629</v>
      </c>
      <c r="O4470">
        <v>0</v>
      </c>
      <c r="P4470">
        <v>0</v>
      </c>
      <c r="Q4470" t="s">
        <v>37</v>
      </c>
      <c r="R4470" t="s">
        <v>51</v>
      </c>
      <c r="S4470" t="s">
        <v>1474</v>
      </c>
      <c r="T4470" t="s">
        <v>1475</v>
      </c>
    </row>
    <row r="4471" spans="1:20" x14ac:dyDescent="0.25">
      <c r="A4471" t="s">
        <v>10308</v>
      </c>
      <c r="B4471" t="str">
        <f>"0187"</f>
        <v>0187</v>
      </c>
      <c r="C4471" t="str">
        <f>"286640187"</f>
        <v>286640187</v>
      </c>
      <c r="D4471" t="s">
        <v>10309</v>
      </c>
      <c r="E4471" t="s">
        <v>544</v>
      </c>
      <c r="F4471" t="s">
        <v>28</v>
      </c>
      <c r="G4471" s="1">
        <v>21253</v>
      </c>
      <c r="H4471" s="1">
        <v>35898</v>
      </c>
      <c r="I4471" t="str">
        <f>"20"</f>
        <v>20</v>
      </c>
      <c r="J4471" t="s">
        <v>123</v>
      </c>
      <c r="K4471" t="s">
        <v>98</v>
      </c>
      <c r="L4471" t="s">
        <v>37</v>
      </c>
      <c r="M4471" t="s">
        <v>99</v>
      </c>
      <c r="N4471" s="1">
        <v>41645</v>
      </c>
      <c r="O4471">
        <v>14801.82</v>
      </c>
      <c r="P4471">
        <v>3700.4</v>
      </c>
      <c r="Q4471" t="s">
        <v>37</v>
      </c>
      <c r="R4471" t="s">
        <v>29</v>
      </c>
      <c r="S4471" t="s">
        <v>1422</v>
      </c>
      <c r="T4471" t="s">
        <v>1423</v>
      </c>
    </row>
    <row r="4472" spans="1:20" x14ac:dyDescent="0.25">
      <c r="A4472" t="s">
        <v>10310</v>
      </c>
      <c r="B4472" t="str">
        <f>"8308"</f>
        <v>8308</v>
      </c>
      <c r="C4472" t="str">
        <f>"277428308"</f>
        <v>277428308</v>
      </c>
      <c r="D4472" t="s">
        <v>10311</v>
      </c>
      <c r="E4472" t="s">
        <v>794</v>
      </c>
      <c r="F4472" t="s">
        <v>97</v>
      </c>
      <c r="G4472" s="1">
        <v>17884</v>
      </c>
      <c r="H4472" s="1">
        <v>35891</v>
      </c>
      <c r="I4472" t="str">
        <f>"30"</f>
        <v>30</v>
      </c>
      <c r="J4472" t="s">
        <v>50</v>
      </c>
      <c r="K4472" t="s">
        <v>25</v>
      </c>
      <c r="L4472" t="s">
        <v>26</v>
      </c>
      <c r="M4472" t="s">
        <v>27</v>
      </c>
      <c r="N4472" s="1">
        <v>18629</v>
      </c>
      <c r="O4472">
        <v>0</v>
      </c>
      <c r="P4472">
        <v>0</v>
      </c>
      <c r="Q4472" t="s">
        <v>28</v>
      </c>
      <c r="R4472" t="s">
        <v>29</v>
      </c>
      <c r="S4472" t="s">
        <v>1177</v>
      </c>
      <c r="T4472" t="s">
        <v>1178</v>
      </c>
    </row>
    <row r="4473" spans="1:20" x14ac:dyDescent="0.25">
      <c r="A4473" t="s">
        <v>10312</v>
      </c>
      <c r="B4473" t="str">
        <f>"2723"</f>
        <v>2723</v>
      </c>
      <c r="C4473" t="str">
        <f>"284482723"</f>
        <v>284482723</v>
      </c>
      <c r="D4473" t="s">
        <v>10313</v>
      </c>
      <c r="E4473" t="s">
        <v>509</v>
      </c>
      <c r="F4473" t="s">
        <v>7606</v>
      </c>
      <c r="G4473" s="1">
        <v>18299</v>
      </c>
      <c r="H4473" s="1">
        <v>35884</v>
      </c>
      <c r="I4473" t="str">
        <f>"51"</f>
        <v>51</v>
      </c>
      <c r="J4473" t="s">
        <v>471</v>
      </c>
      <c r="K4473" t="s">
        <v>25</v>
      </c>
      <c r="L4473" t="s">
        <v>26</v>
      </c>
      <c r="M4473" t="s">
        <v>27</v>
      </c>
      <c r="N4473" s="1">
        <v>18629</v>
      </c>
      <c r="O4473">
        <v>0</v>
      </c>
      <c r="P4473">
        <v>0</v>
      </c>
      <c r="Q4473" t="s">
        <v>37</v>
      </c>
      <c r="R4473" t="s">
        <v>51</v>
      </c>
      <c r="S4473" t="s">
        <v>10314</v>
      </c>
      <c r="T4473" t="s">
        <v>10315</v>
      </c>
    </row>
    <row r="4474" spans="1:20" x14ac:dyDescent="0.25">
      <c r="A4474" t="s">
        <v>10316</v>
      </c>
      <c r="B4474" t="str">
        <f>"9948"</f>
        <v>9948</v>
      </c>
      <c r="C4474" t="str">
        <f>"287749948"</f>
        <v>287749948</v>
      </c>
      <c r="D4474" t="s">
        <v>10317</v>
      </c>
      <c r="E4474" t="s">
        <v>518</v>
      </c>
      <c r="F4474" t="s">
        <v>28</v>
      </c>
      <c r="G4474" s="1">
        <v>23166</v>
      </c>
      <c r="H4474" s="1">
        <v>35877</v>
      </c>
      <c r="I4474" t="str">
        <f>"15"</f>
        <v>15</v>
      </c>
      <c r="J4474" t="s">
        <v>36</v>
      </c>
      <c r="K4474" t="s">
        <v>175</v>
      </c>
      <c r="L4474" t="s">
        <v>37</v>
      </c>
      <c r="M4474" t="s">
        <v>257</v>
      </c>
      <c r="N4474" s="1">
        <v>41617</v>
      </c>
      <c r="O4474">
        <v>11847.94</v>
      </c>
      <c r="P4474">
        <v>2961.92</v>
      </c>
      <c r="Q4474" t="s">
        <v>37</v>
      </c>
      <c r="R4474" t="s">
        <v>29</v>
      </c>
      <c r="S4474" t="s">
        <v>3444</v>
      </c>
      <c r="T4474" t="s">
        <v>3445</v>
      </c>
    </row>
    <row r="4475" spans="1:20" x14ac:dyDescent="0.25">
      <c r="A4475" t="s">
        <v>10318</v>
      </c>
      <c r="B4475" t="str">
        <f>"1738"</f>
        <v>1738</v>
      </c>
      <c r="C4475" t="str">
        <f>"294901738"</f>
        <v>294901738</v>
      </c>
      <c r="D4475" t="s">
        <v>10319</v>
      </c>
      <c r="E4475" t="s">
        <v>7176</v>
      </c>
      <c r="G4475" s="1">
        <v>22765</v>
      </c>
      <c r="H4475" s="1">
        <v>35849</v>
      </c>
      <c r="I4475" t="str">
        <f>"30"</f>
        <v>30</v>
      </c>
      <c r="J4475" t="s">
        <v>50</v>
      </c>
      <c r="K4475" t="s">
        <v>25</v>
      </c>
      <c r="L4475" t="s">
        <v>26</v>
      </c>
      <c r="M4475" t="s">
        <v>27</v>
      </c>
      <c r="N4475" s="1">
        <v>18629</v>
      </c>
      <c r="O4475">
        <v>0</v>
      </c>
      <c r="P4475">
        <v>0</v>
      </c>
      <c r="Q4475" t="s">
        <v>37</v>
      </c>
      <c r="R4475" t="s">
        <v>29</v>
      </c>
      <c r="S4475" t="s">
        <v>8777</v>
      </c>
      <c r="T4475" t="s">
        <v>8778</v>
      </c>
    </row>
    <row r="4476" spans="1:20" x14ac:dyDescent="0.25">
      <c r="A4476" t="s">
        <v>10320</v>
      </c>
      <c r="B4476" t="str">
        <f>"2926"</f>
        <v>2926</v>
      </c>
      <c r="C4476" t="str">
        <f>"285582926"</f>
        <v>285582926</v>
      </c>
      <c r="D4476" t="s">
        <v>10321</v>
      </c>
      <c r="E4476" t="s">
        <v>1981</v>
      </c>
      <c r="F4476" t="s">
        <v>5656</v>
      </c>
      <c r="G4476" s="1">
        <v>21090</v>
      </c>
      <c r="H4476" s="1">
        <v>35835</v>
      </c>
      <c r="I4476" t="str">
        <f>"41"</f>
        <v>41</v>
      </c>
      <c r="J4476" t="s">
        <v>24</v>
      </c>
      <c r="K4476" t="s">
        <v>25</v>
      </c>
      <c r="L4476" t="s">
        <v>26</v>
      </c>
      <c r="M4476" t="s">
        <v>27</v>
      </c>
      <c r="N4476" s="1">
        <v>18629</v>
      </c>
      <c r="O4476">
        <v>0</v>
      </c>
      <c r="P4476">
        <v>0</v>
      </c>
      <c r="Q4476" t="s">
        <v>37</v>
      </c>
      <c r="R4476" t="s">
        <v>51</v>
      </c>
      <c r="S4476" t="s">
        <v>4743</v>
      </c>
      <c r="T4476" t="s">
        <v>4744</v>
      </c>
    </row>
    <row r="4477" spans="1:20" x14ac:dyDescent="0.25">
      <c r="A4477" t="s">
        <v>10322</v>
      </c>
      <c r="B4477" t="str">
        <f>"1509"</f>
        <v>1509</v>
      </c>
      <c r="C4477" t="str">
        <f>"273761509"</f>
        <v>273761509</v>
      </c>
      <c r="D4477" t="s">
        <v>10323</v>
      </c>
      <c r="E4477" t="s">
        <v>2725</v>
      </c>
      <c r="F4477" t="s">
        <v>4343</v>
      </c>
      <c r="G4477" s="1">
        <v>25884</v>
      </c>
      <c r="H4477" s="1">
        <v>35820</v>
      </c>
      <c r="I4477" t="str">
        <f>"33"</f>
        <v>33</v>
      </c>
      <c r="J4477" t="s">
        <v>45</v>
      </c>
      <c r="K4477" t="s">
        <v>25</v>
      </c>
      <c r="L4477" t="s">
        <v>26</v>
      </c>
      <c r="M4477" t="s">
        <v>27</v>
      </c>
      <c r="N4477" s="1">
        <v>18629</v>
      </c>
      <c r="O4477">
        <v>0</v>
      </c>
      <c r="P4477">
        <v>0</v>
      </c>
      <c r="Q4477" t="s">
        <v>37</v>
      </c>
      <c r="R4477" t="s">
        <v>71</v>
      </c>
      <c r="S4477" t="s">
        <v>955</v>
      </c>
      <c r="T4477" t="s">
        <v>956</v>
      </c>
    </row>
    <row r="4478" spans="1:20" x14ac:dyDescent="0.25">
      <c r="A4478" t="s">
        <v>10324</v>
      </c>
      <c r="B4478" t="str">
        <f>"1665"</f>
        <v>1665</v>
      </c>
      <c r="C4478" t="str">
        <f>"269761665"</f>
        <v>269761665</v>
      </c>
      <c r="D4478" t="s">
        <v>10325</v>
      </c>
      <c r="E4478" t="s">
        <v>2159</v>
      </c>
      <c r="F4478" t="s">
        <v>44</v>
      </c>
      <c r="G4478" s="1">
        <v>26073</v>
      </c>
      <c r="H4478" s="1">
        <v>35800</v>
      </c>
      <c r="I4478" t="str">
        <f>"51"</f>
        <v>51</v>
      </c>
      <c r="J4478" t="s">
        <v>471</v>
      </c>
      <c r="K4478" t="s">
        <v>25</v>
      </c>
      <c r="L4478" t="s">
        <v>26</v>
      </c>
      <c r="M4478" t="s">
        <v>27</v>
      </c>
      <c r="N4478" s="1">
        <v>18629</v>
      </c>
      <c r="O4478">
        <v>0</v>
      </c>
      <c r="P4478">
        <v>0</v>
      </c>
      <c r="Q4478" t="s">
        <v>37</v>
      </c>
      <c r="R4478" t="s">
        <v>71</v>
      </c>
      <c r="S4478" t="s">
        <v>808</v>
      </c>
      <c r="T4478" t="s">
        <v>809</v>
      </c>
    </row>
    <row r="4479" spans="1:20" x14ac:dyDescent="0.25">
      <c r="A4479" t="s">
        <v>10326</v>
      </c>
      <c r="B4479" t="str">
        <f>"6142"</f>
        <v>6142</v>
      </c>
      <c r="C4479" t="str">
        <f>"299406142"</f>
        <v>299406142</v>
      </c>
      <c r="D4479" t="s">
        <v>10327</v>
      </c>
      <c r="E4479" t="s">
        <v>178</v>
      </c>
      <c r="F4479" t="s">
        <v>69</v>
      </c>
      <c r="G4479" s="1">
        <v>17269</v>
      </c>
      <c r="H4479" s="1">
        <v>35800</v>
      </c>
      <c r="I4479" t="str">
        <f>"51"</f>
        <v>51</v>
      </c>
      <c r="J4479" t="s">
        <v>471</v>
      </c>
      <c r="K4479" t="s">
        <v>25</v>
      </c>
      <c r="L4479" t="s">
        <v>26</v>
      </c>
      <c r="M4479" t="s">
        <v>27</v>
      </c>
      <c r="N4479" s="1">
        <v>18629</v>
      </c>
      <c r="O4479">
        <v>0</v>
      </c>
      <c r="P4479">
        <v>0</v>
      </c>
      <c r="Q4479" t="s">
        <v>28</v>
      </c>
      <c r="R4479" t="s">
        <v>51</v>
      </c>
      <c r="S4479" t="s">
        <v>1194</v>
      </c>
      <c r="T4479" t="s">
        <v>1195</v>
      </c>
    </row>
    <row r="4480" spans="1:20" x14ac:dyDescent="0.25">
      <c r="A4480" t="s">
        <v>10328</v>
      </c>
      <c r="B4480" t="str">
        <f>"7384"</f>
        <v>7384</v>
      </c>
      <c r="C4480" t="str">
        <f>"281607384"</f>
        <v>281607384</v>
      </c>
      <c r="D4480" t="s">
        <v>10329</v>
      </c>
      <c r="E4480" t="s">
        <v>197</v>
      </c>
      <c r="F4480" t="s">
        <v>438</v>
      </c>
      <c r="G4480" s="1">
        <v>25762</v>
      </c>
      <c r="H4480" s="1">
        <v>35793</v>
      </c>
      <c r="I4480" t="str">
        <f>"08"</f>
        <v>08</v>
      </c>
      <c r="J4480" t="s">
        <v>265</v>
      </c>
      <c r="K4480" t="s">
        <v>175</v>
      </c>
      <c r="L4480" t="s">
        <v>37</v>
      </c>
      <c r="M4480" t="s">
        <v>117</v>
      </c>
      <c r="N4480" s="1">
        <v>41617</v>
      </c>
      <c r="O4480">
        <v>5288.66</v>
      </c>
      <c r="P4480">
        <v>1322.1</v>
      </c>
      <c r="Q4480" t="s">
        <v>28</v>
      </c>
      <c r="R4480" t="s">
        <v>29</v>
      </c>
      <c r="S4480" t="s">
        <v>6322</v>
      </c>
      <c r="T4480" t="s">
        <v>6323</v>
      </c>
    </row>
    <row r="4481" spans="1:20" x14ac:dyDescent="0.25">
      <c r="A4481" t="s">
        <v>10330</v>
      </c>
      <c r="B4481" t="str">
        <f>"3144"</f>
        <v>3144</v>
      </c>
      <c r="C4481" t="str">
        <f>"289663144"</f>
        <v>289663144</v>
      </c>
      <c r="D4481" t="s">
        <v>10331</v>
      </c>
      <c r="E4481" t="s">
        <v>10332</v>
      </c>
      <c r="F4481" t="s">
        <v>28</v>
      </c>
      <c r="G4481" s="1">
        <v>22259</v>
      </c>
      <c r="H4481" s="1">
        <v>35772</v>
      </c>
      <c r="I4481" t="str">
        <f>"42"</f>
        <v>42</v>
      </c>
      <c r="J4481" t="s">
        <v>367</v>
      </c>
      <c r="K4481" t="s">
        <v>25</v>
      </c>
      <c r="L4481" t="s">
        <v>26</v>
      </c>
      <c r="M4481" t="s">
        <v>27</v>
      </c>
      <c r="N4481" s="1">
        <v>18629</v>
      </c>
      <c r="O4481">
        <v>0</v>
      </c>
      <c r="P4481">
        <v>0</v>
      </c>
      <c r="Q4481" t="s">
        <v>28</v>
      </c>
      <c r="R4481" t="s">
        <v>29</v>
      </c>
      <c r="S4481" t="s">
        <v>982</v>
      </c>
      <c r="T4481" t="s">
        <v>983</v>
      </c>
    </row>
    <row r="4482" spans="1:20" x14ac:dyDescent="0.25">
      <c r="A4482" t="s">
        <v>10333</v>
      </c>
      <c r="B4482" t="str">
        <f>"4463"</f>
        <v>4463</v>
      </c>
      <c r="C4482" t="str">
        <f>"276444463"</f>
        <v>276444463</v>
      </c>
      <c r="D4482" t="s">
        <v>10334</v>
      </c>
      <c r="E4482" t="s">
        <v>10335</v>
      </c>
      <c r="F4482" t="s">
        <v>219</v>
      </c>
      <c r="G4482" s="1">
        <v>18716</v>
      </c>
      <c r="H4482" s="1">
        <v>35765</v>
      </c>
      <c r="I4482" t="str">
        <f>"12"</f>
        <v>12</v>
      </c>
      <c r="J4482" t="s">
        <v>245</v>
      </c>
      <c r="K4482" t="s">
        <v>98</v>
      </c>
      <c r="L4482" t="s">
        <v>37</v>
      </c>
      <c r="M4482" t="s">
        <v>117</v>
      </c>
      <c r="N4482" s="1">
        <v>41617</v>
      </c>
      <c r="O4482">
        <v>4951.96</v>
      </c>
      <c r="P4482">
        <v>1237.8599999999999</v>
      </c>
      <c r="Q4482" t="s">
        <v>37</v>
      </c>
      <c r="R4482" t="s">
        <v>71</v>
      </c>
      <c r="S4482" t="s">
        <v>3003</v>
      </c>
      <c r="T4482" t="s">
        <v>3004</v>
      </c>
    </row>
    <row r="4483" spans="1:20" x14ac:dyDescent="0.25">
      <c r="A4483" t="s">
        <v>10336</v>
      </c>
      <c r="B4483" t="str">
        <f>"9564"</f>
        <v>9564</v>
      </c>
      <c r="C4483" t="str">
        <f>"293569564"</f>
        <v>293569564</v>
      </c>
      <c r="D4483" t="s">
        <v>10337</v>
      </c>
      <c r="E4483" t="s">
        <v>3605</v>
      </c>
      <c r="G4483" s="1">
        <v>20659</v>
      </c>
      <c r="H4483" s="1">
        <v>35765</v>
      </c>
      <c r="I4483" t="str">
        <f>"05"</f>
        <v>05</v>
      </c>
      <c r="J4483" t="s">
        <v>58</v>
      </c>
      <c r="L4483" t="s">
        <v>37</v>
      </c>
      <c r="M4483" t="s">
        <v>143</v>
      </c>
      <c r="N4483" s="1">
        <v>41617</v>
      </c>
      <c r="O4483">
        <v>185.9</v>
      </c>
      <c r="P4483">
        <v>-185.9</v>
      </c>
      <c r="Q4483" t="s">
        <v>37</v>
      </c>
      <c r="R4483" t="s">
        <v>71</v>
      </c>
      <c r="S4483" t="s">
        <v>901</v>
      </c>
      <c r="T4483" t="s">
        <v>902</v>
      </c>
    </row>
    <row r="4484" spans="1:20" x14ac:dyDescent="0.25">
      <c r="A4484" t="s">
        <v>10338</v>
      </c>
      <c r="B4484" t="str">
        <f>"2368"</f>
        <v>2368</v>
      </c>
      <c r="C4484" t="str">
        <f>"302822368"</f>
        <v>302822368</v>
      </c>
      <c r="D4484" t="s">
        <v>10339</v>
      </c>
      <c r="E4484" t="s">
        <v>2060</v>
      </c>
      <c r="F4484" t="s">
        <v>219</v>
      </c>
      <c r="G4484" s="1">
        <v>26613</v>
      </c>
      <c r="H4484" s="1">
        <v>35709</v>
      </c>
      <c r="I4484" t="str">
        <f>"08"</f>
        <v>08</v>
      </c>
      <c r="J4484" t="s">
        <v>265</v>
      </c>
      <c r="K4484" t="s">
        <v>98</v>
      </c>
      <c r="L4484" t="s">
        <v>37</v>
      </c>
      <c r="M4484" t="s">
        <v>117</v>
      </c>
      <c r="N4484" s="1">
        <v>41617</v>
      </c>
      <c r="O4484">
        <v>4951.96</v>
      </c>
      <c r="P4484">
        <v>1237.8599999999999</v>
      </c>
      <c r="Q4484" t="s">
        <v>28</v>
      </c>
      <c r="R4484" t="s">
        <v>71</v>
      </c>
      <c r="S4484" t="s">
        <v>570</v>
      </c>
      <c r="T4484" t="s">
        <v>571</v>
      </c>
    </row>
    <row r="4485" spans="1:20" x14ac:dyDescent="0.25">
      <c r="A4485" t="s">
        <v>10340</v>
      </c>
      <c r="B4485" t="str">
        <f>"4906"</f>
        <v>4906</v>
      </c>
      <c r="C4485" t="str">
        <f>"299444906"</f>
        <v>299444906</v>
      </c>
      <c r="D4485" t="s">
        <v>10341</v>
      </c>
      <c r="E4485" t="s">
        <v>10342</v>
      </c>
      <c r="F4485" t="s">
        <v>219</v>
      </c>
      <c r="G4485" s="1">
        <v>17353</v>
      </c>
      <c r="H4485" s="1">
        <v>35700</v>
      </c>
      <c r="I4485" t="str">
        <f>"51"</f>
        <v>51</v>
      </c>
      <c r="J4485" t="s">
        <v>471</v>
      </c>
      <c r="K4485" t="s">
        <v>25</v>
      </c>
      <c r="L4485" t="s">
        <v>26</v>
      </c>
      <c r="M4485" t="s">
        <v>27</v>
      </c>
      <c r="N4485" s="1">
        <v>18629</v>
      </c>
      <c r="O4485">
        <v>0</v>
      </c>
      <c r="P4485">
        <v>0</v>
      </c>
      <c r="Q4485" t="s">
        <v>28</v>
      </c>
      <c r="R4485" t="s">
        <v>29</v>
      </c>
      <c r="S4485" t="s">
        <v>765</v>
      </c>
      <c r="T4485" t="s">
        <v>766</v>
      </c>
    </row>
    <row r="4486" spans="1:20" x14ac:dyDescent="0.25">
      <c r="A4486" t="s">
        <v>10343</v>
      </c>
      <c r="B4486" t="str">
        <f>"5932"</f>
        <v>5932</v>
      </c>
      <c r="C4486" t="str">
        <f>"296485932"</f>
        <v>296485932</v>
      </c>
      <c r="D4486" t="s">
        <v>10344</v>
      </c>
      <c r="E4486" t="s">
        <v>2049</v>
      </c>
      <c r="F4486" t="s">
        <v>28</v>
      </c>
      <c r="G4486" s="1">
        <v>18581</v>
      </c>
      <c r="H4486" s="1">
        <v>35689</v>
      </c>
      <c r="I4486" t="str">
        <f>"33"</f>
        <v>33</v>
      </c>
      <c r="J4486" t="s">
        <v>45</v>
      </c>
      <c r="K4486" t="s">
        <v>25</v>
      </c>
      <c r="L4486" t="s">
        <v>26</v>
      </c>
      <c r="M4486" t="s">
        <v>27</v>
      </c>
      <c r="N4486" s="1">
        <v>18629</v>
      </c>
      <c r="O4486">
        <v>0</v>
      </c>
      <c r="P4486">
        <v>0</v>
      </c>
      <c r="Q4486" t="s">
        <v>28</v>
      </c>
      <c r="R4486" t="s">
        <v>71</v>
      </c>
      <c r="S4486" t="s">
        <v>955</v>
      </c>
      <c r="T4486" t="s">
        <v>956</v>
      </c>
    </row>
    <row r="4487" spans="1:20" x14ac:dyDescent="0.25">
      <c r="A4487" t="s">
        <v>10345</v>
      </c>
      <c r="B4487" t="str">
        <f>"1396"</f>
        <v>1396</v>
      </c>
      <c r="C4487" t="str">
        <f>"290541396"</f>
        <v>290541396</v>
      </c>
      <c r="D4487" t="s">
        <v>10346</v>
      </c>
      <c r="E4487" t="s">
        <v>381</v>
      </c>
      <c r="F4487" t="s">
        <v>329</v>
      </c>
      <c r="G4487" s="1">
        <v>19072</v>
      </c>
      <c r="H4487" s="1">
        <v>35688</v>
      </c>
      <c r="I4487" t="str">
        <f t="shared" ref="I4487:I4492" si="106">"51"</f>
        <v>51</v>
      </c>
      <c r="J4487" t="s">
        <v>471</v>
      </c>
      <c r="K4487" t="s">
        <v>25</v>
      </c>
      <c r="L4487" t="s">
        <v>26</v>
      </c>
      <c r="M4487" t="s">
        <v>27</v>
      </c>
      <c r="N4487" s="1">
        <v>18629</v>
      </c>
      <c r="O4487">
        <v>0</v>
      </c>
      <c r="P4487">
        <v>0</v>
      </c>
      <c r="Q4487" t="s">
        <v>37</v>
      </c>
      <c r="R4487" t="s">
        <v>71</v>
      </c>
      <c r="S4487" t="s">
        <v>157</v>
      </c>
      <c r="T4487" t="s">
        <v>158</v>
      </c>
    </row>
    <row r="4488" spans="1:20" x14ac:dyDescent="0.25">
      <c r="A4488" t="s">
        <v>10347</v>
      </c>
      <c r="B4488" t="str">
        <f>"4513"</f>
        <v>4513</v>
      </c>
      <c r="C4488" t="str">
        <f>"288544513"</f>
        <v>288544513</v>
      </c>
      <c r="D4488" t="s">
        <v>10348</v>
      </c>
      <c r="E4488" t="s">
        <v>10349</v>
      </c>
      <c r="F4488" t="s">
        <v>219</v>
      </c>
      <c r="G4488" s="1">
        <v>19711</v>
      </c>
      <c r="H4488" s="1">
        <v>35688</v>
      </c>
      <c r="I4488" t="str">
        <f t="shared" si="106"/>
        <v>51</v>
      </c>
      <c r="J4488" t="s">
        <v>471</v>
      </c>
      <c r="K4488" t="s">
        <v>25</v>
      </c>
      <c r="L4488" t="s">
        <v>26</v>
      </c>
      <c r="M4488" t="s">
        <v>27</v>
      </c>
      <c r="N4488" s="1">
        <v>18629</v>
      </c>
      <c r="O4488">
        <v>0</v>
      </c>
      <c r="P4488">
        <v>0</v>
      </c>
      <c r="Q4488" t="s">
        <v>37</v>
      </c>
      <c r="R4488" t="s">
        <v>71</v>
      </c>
      <c r="S4488" t="s">
        <v>157</v>
      </c>
      <c r="T4488" t="s">
        <v>158</v>
      </c>
    </row>
    <row r="4489" spans="1:20" x14ac:dyDescent="0.25">
      <c r="A4489" t="s">
        <v>10350</v>
      </c>
      <c r="B4489" t="str">
        <f>"5003"</f>
        <v>5003</v>
      </c>
      <c r="C4489" t="str">
        <f>"291405003"</f>
        <v>291405003</v>
      </c>
      <c r="D4489" t="s">
        <v>1341</v>
      </c>
      <c r="E4489" t="s">
        <v>1381</v>
      </c>
      <c r="F4489" t="s">
        <v>97</v>
      </c>
      <c r="G4489" s="1">
        <v>16470</v>
      </c>
      <c r="H4489" s="1">
        <v>35688</v>
      </c>
      <c r="I4489" t="str">
        <f t="shared" si="106"/>
        <v>51</v>
      </c>
      <c r="J4489" t="s">
        <v>471</v>
      </c>
      <c r="K4489" t="s">
        <v>25</v>
      </c>
      <c r="L4489" t="s">
        <v>26</v>
      </c>
      <c r="M4489" t="s">
        <v>27</v>
      </c>
      <c r="N4489" s="1">
        <v>18629</v>
      </c>
      <c r="O4489">
        <v>0</v>
      </c>
      <c r="P4489">
        <v>0</v>
      </c>
      <c r="Q4489" t="s">
        <v>28</v>
      </c>
      <c r="R4489" t="s">
        <v>51</v>
      </c>
      <c r="S4489" s="2" t="s">
        <v>3778</v>
      </c>
      <c r="T4489" t="s">
        <v>3779</v>
      </c>
    </row>
    <row r="4490" spans="1:20" x14ac:dyDescent="0.25">
      <c r="A4490" t="s">
        <v>10351</v>
      </c>
      <c r="B4490" t="str">
        <f>"5719"</f>
        <v>5719</v>
      </c>
      <c r="C4490" t="str">
        <f>"281605719"</f>
        <v>281605719</v>
      </c>
      <c r="D4490" t="s">
        <v>10352</v>
      </c>
      <c r="E4490" t="s">
        <v>2500</v>
      </c>
      <c r="F4490" t="s">
        <v>97</v>
      </c>
      <c r="G4490" s="1">
        <v>22225</v>
      </c>
      <c r="H4490" s="1">
        <v>35688</v>
      </c>
      <c r="I4490" t="str">
        <f t="shared" si="106"/>
        <v>51</v>
      </c>
      <c r="J4490" t="s">
        <v>471</v>
      </c>
      <c r="K4490" t="s">
        <v>25</v>
      </c>
      <c r="L4490" t="s">
        <v>26</v>
      </c>
      <c r="M4490" t="s">
        <v>27</v>
      </c>
      <c r="N4490" s="1">
        <v>18629</v>
      </c>
      <c r="O4490">
        <v>0</v>
      </c>
      <c r="P4490">
        <v>0</v>
      </c>
      <c r="Q4490" t="s">
        <v>37</v>
      </c>
      <c r="R4490" t="s">
        <v>71</v>
      </c>
      <c r="S4490" t="s">
        <v>305</v>
      </c>
      <c r="T4490" t="s">
        <v>306</v>
      </c>
    </row>
    <row r="4491" spans="1:20" x14ac:dyDescent="0.25">
      <c r="A4491" t="s">
        <v>10353</v>
      </c>
      <c r="B4491" t="str">
        <f>"2306"</f>
        <v>2306</v>
      </c>
      <c r="C4491" t="str">
        <f>"289542306"</f>
        <v>289542306</v>
      </c>
      <c r="D4491" t="s">
        <v>10354</v>
      </c>
      <c r="E4491" t="s">
        <v>10355</v>
      </c>
      <c r="G4491" s="1">
        <v>24289</v>
      </c>
      <c r="H4491" s="1">
        <v>35688</v>
      </c>
      <c r="I4491" t="str">
        <f t="shared" si="106"/>
        <v>51</v>
      </c>
      <c r="J4491" t="s">
        <v>471</v>
      </c>
      <c r="K4491" t="s">
        <v>25</v>
      </c>
      <c r="L4491" t="s">
        <v>26</v>
      </c>
      <c r="M4491" t="s">
        <v>27</v>
      </c>
      <c r="N4491" s="1">
        <v>18629</v>
      </c>
      <c r="O4491">
        <v>0</v>
      </c>
      <c r="P4491">
        <v>0</v>
      </c>
      <c r="Q4491" t="s">
        <v>37</v>
      </c>
      <c r="R4491" t="s">
        <v>51</v>
      </c>
      <c r="S4491" s="2" t="s">
        <v>1522</v>
      </c>
      <c r="T4491" t="s">
        <v>1523</v>
      </c>
    </row>
    <row r="4492" spans="1:20" x14ac:dyDescent="0.25">
      <c r="A4492" t="s">
        <v>10356</v>
      </c>
      <c r="B4492" t="str">
        <f>"7495"</f>
        <v>7495</v>
      </c>
      <c r="C4492" t="str">
        <f>"270587495"</f>
        <v>270587495</v>
      </c>
      <c r="D4492" t="s">
        <v>10357</v>
      </c>
      <c r="E4492" t="s">
        <v>499</v>
      </c>
      <c r="F4492" t="s">
        <v>5656</v>
      </c>
      <c r="G4492" s="1">
        <v>20794</v>
      </c>
      <c r="H4492" s="1">
        <v>35684</v>
      </c>
      <c r="I4492" t="str">
        <f t="shared" si="106"/>
        <v>51</v>
      </c>
      <c r="J4492" t="s">
        <v>471</v>
      </c>
      <c r="K4492" t="s">
        <v>25</v>
      </c>
      <c r="L4492" t="s">
        <v>26</v>
      </c>
      <c r="M4492" t="s">
        <v>27</v>
      </c>
      <c r="N4492" s="1">
        <v>18629</v>
      </c>
      <c r="O4492">
        <v>0</v>
      </c>
      <c r="P4492">
        <v>0</v>
      </c>
      <c r="Q4492" t="s">
        <v>28</v>
      </c>
      <c r="R4492" t="s">
        <v>71</v>
      </c>
      <c r="S4492" t="s">
        <v>1640</v>
      </c>
      <c r="T4492" t="s">
        <v>983</v>
      </c>
    </row>
    <row r="4493" spans="1:20" x14ac:dyDescent="0.25">
      <c r="A4493" t="s">
        <v>10358</v>
      </c>
      <c r="B4493" t="str">
        <f>"7155"</f>
        <v>7155</v>
      </c>
      <c r="C4493" t="str">
        <f>"194667155"</f>
        <v>194667155</v>
      </c>
      <c r="D4493" t="s">
        <v>10359</v>
      </c>
      <c r="E4493" t="s">
        <v>10360</v>
      </c>
      <c r="G4493" s="1">
        <v>19432</v>
      </c>
      <c r="H4493" s="1">
        <v>35674</v>
      </c>
      <c r="I4493" t="str">
        <f t="shared" ref="I4493:I4502" si="107">"20"</f>
        <v>20</v>
      </c>
      <c r="J4493" t="s">
        <v>123</v>
      </c>
      <c r="K4493" t="s">
        <v>510</v>
      </c>
      <c r="L4493" t="s">
        <v>37</v>
      </c>
      <c r="M4493" t="s">
        <v>117</v>
      </c>
      <c r="N4493" s="1">
        <v>41631</v>
      </c>
      <c r="O4493">
        <v>6477.24</v>
      </c>
      <c r="P4493">
        <v>1619.2</v>
      </c>
      <c r="Q4493" t="s">
        <v>37</v>
      </c>
      <c r="R4493" t="s">
        <v>71</v>
      </c>
      <c r="S4493" t="s">
        <v>2458</v>
      </c>
      <c r="T4493" t="s">
        <v>2459</v>
      </c>
    </row>
    <row r="4494" spans="1:20" x14ac:dyDescent="0.25">
      <c r="A4494" t="s">
        <v>10361</v>
      </c>
      <c r="B4494" t="str">
        <f>"4523"</f>
        <v>4523</v>
      </c>
      <c r="C4494" t="str">
        <f>"034584523"</f>
        <v>034584523</v>
      </c>
      <c r="D4494" t="s">
        <v>1098</v>
      </c>
      <c r="E4494" t="s">
        <v>304</v>
      </c>
      <c r="F4494" t="s">
        <v>282</v>
      </c>
      <c r="G4494" s="1">
        <v>23211</v>
      </c>
      <c r="H4494" s="1">
        <v>35674</v>
      </c>
      <c r="I4494" t="str">
        <f t="shared" si="107"/>
        <v>20</v>
      </c>
      <c r="J4494" t="s">
        <v>123</v>
      </c>
      <c r="K4494" t="s">
        <v>98</v>
      </c>
      <c r="L4494" t="s">
        <v>37</v>
      </c>
      <c r="M4494" t="s">
        <v>117</v>
      </c>
      <c r="N4494" s="1">
        <v>41631</v>
      </c>
      <c r="O4494">
        <v>4951.9799999999996</v>
      </c>
      <c r="P4494">
        <v>1237.94</v>
      </c>
      <c r="Q4494" t="s">
        <v>28</v>
      </c>
      <c r="R4494" t="s">
        <v>71</v>
      </c>
      <c r="S4494" t="s">
        <v>4177</v>
      </c>
      <c r="T4494" t="s">
        <v>4178</v>
      </c>
    </row>
    <row r="4495" spans="1:20" x14ac:dyDescent="0.25">
      <c r="A4495" t="s">
        <v>10362</v>
      </c>
      <c r="B4495" t="str">
        <f>"4403"</f>
        <v>4403</v>
      </c>
      <c r="C4495" t="str">
        <f>"121324403"</f>
        <v>121324403</v>
      </c>
      <c r="D4495" t="s">
        <v>4451</v>
      </c>
      <c r="E4495" t="s">
        <v>10363</v>
      </c>
      <c r="F4495" t="s">
        <v>28</v>
      </c>
      <c r="G4495" s="1">
        <v>14946</v>
      </c>
      <c r="H4495" s="1">
        <v>35674</v>
      </c>
      <c r="I4495" t="str">
        <f t="shared" si="107"/>
        <v>20</v>
      </c>
      <c r="J4495" t="s">
        <v>123</v>
      </c>
      <c r="K4495" t="s">
        <v>510</v>
      </c>
      <c r="L4495" t="s">
        <v>37</v>
      </c>
      <c r="M4495" t="s">
        <v>257</v>
      </c>
      <c r="N4495" s="1">
        <v>41631</v>
      </c>
      <c r="O4495">
        <v>14110.8</v>
      </c>
      <c r="P4495">
        <v>3527.7</v>
      </c>
      <c r="Q4495" t="s">
        <v>37</v>
      </c>
      <c r="R4495" t="s">
        <v>51</v>
      </c>
      <c r="S4495" s="2" t="s">
        <v>1568</v>
      </c>
      <c r="T4495" t="s">
        <v>1569</v>
      </c>
    </row>
    <row r="4496" spans="1:20" x14ac:dyDescent="0.25">
      <c r="A4496" t="s">
        <v>10364</v>
      </c>
      <c r="B4496" t="str">
        <f>"7872"</f>
        <v>7872</v>
      </c>
      <c r="C4496" t="str">
        <f>"275647872"</f>
        <v>275647872</v>
      </c>
      <c r="D4496" t="s">
        <v>10365</v>
      </c>
      <c r="E4496" t="s">
        <v>4565</v>
      </c>
      <c r="F4496" t="s">
        <v>97</v>
      </c>
      <c r="G4496" s="1">
        <v>21528</v>
      </c>
      <c r="H4496" s="1">
        <v>35674</v>
      </c>
      <c r="I4496" t="str">
        <f t="shared" si="107"/>
        <v>20</v>
      </c>
      <c r="J4496" t="s">
        <v>123</v>
      </c>
      <c r="K4496" t="s">
        <v>98</v>
      </c>
      <c r="L4496" t="s">
        <v>37</v>
      </c>
      <c r="M4496" t="s">
        <v>257</v>
      </c>
      <c r="N4496" s="1">
        <v>41631</v>
      </c>
      <c r="O4496">
        <v>10753.16</v>
      </c>
      <c r="P4496">
        <v>2688.4</v>
      </c>
      <c r="Q4496" t="s">
        <v>37</v>
      </c>
      <c r="R4496" t="s">
        <v>71</v>
      </c>
      <c r="S4496" t="s">
        <v>2602</v>
      </c>
      <c r="T4496" t="s">
        <v>2603</v>
      </c>
    </row>
    <row r="4497" spans="1:20" x14ac:dyDescent="0.25">
      <c r="A4497" t="s">
        <v>10366</v>
      </c>
      <c r="B4497" t="str">
        <f>"7702"</f>
        <v>7702</v>
      </c>
      <c r="C4497" t="str">
        <f>"270987702"</f>
        <v>270987702</v>
      </c>
      <c r="D4497" t="s">
        <v>663</v>
      </c>
      <c r="E4497" t="s">
        <v>430</v>
      </c>
      <c r="G4497" s="1">
        <v>17721</v>
      </c>
      <c r="H4497" s="1">
        <v>35674</v>
      </c>
      <c r="I4497" t="str">
        <f t="shared" si="107"/>
        <v>20</v>
      </c>
      <c r="J4497" t="s">
        <v>123</v>
      </c>
      <c r="K4497" t="s">
        <v>98</v>
      </c>
      <c r="L4497" t="s">
        <v>37</v>
      </c>
      <c r="M4497" t="s">
        <v>99</v>
      </c>
      <c r="N4497" s="1">
        <v>41631</v>
      </c>
      <c r="O4497">
        <v>14801.82</v>
      </c>
      <c r="P4497">
        <v>3700.4</v>
      </c>
      <c r="Q4497" t="s">
        <v>28</v>
      </c>
      <c r="R4497" t="s">
        <v>29</v>
      </c>
      <c r="S4497" t="s">
        <v>878</v>
      </c>
      <c r="T4497" t="s">
        <v>879</v>
      </c>
    </row>
    <row r="4498" spans="1:20" x14ac:dyDescent="0.25">
      <c r="A4498" t="s">
        <v>10367</v>
      </c>
      <c r="B4498" t="str">
        <f>"3747"</f>
        <v>3747</v>
      </c>
      <c r="C4498" t="str">
        <f>"277603747"</f>
        <v>277603747</v>
      </c>
      <c r="D4498" t="s">
        <v>7476</v>
      </c>
      <c r="E4498" t="s">
        <v>10368</v>
      </c>
      <c r="F4498" t="s">
        <v>345</v>
      </c>
      <c r="G4498" s="1">
        <v>21392</v>
      </c>
      <c r="H4498" s="1">
        <v>35674</v>
      </c>
      <c r="I4498" t="str">
        <f t="shared" si="107"/>
        <v>20</v>
      </c>
      <c r="J4498" t="s">
        <v>123</v>
      </c>
      <c r="K4498" t="s">
        <v>510</v>
      </c>
      <c r="L4498" t="s">
        <v>37</v>
      </c>
      <c r="M4498" t="s">
        <v>99</v>
      </c>
      <c r="N4498" s="1">
        <v>41631</v>
      </c>
      <c r="O4498">
        <v>19521.919999999998</v>
      </c>
      <c r="P4498">
        <v>4880.4799999999996</v>
      </c>
      <c r="Q4498" t="s">
        <v>37</v>
      </c>
      <c r="R4498" t="s">
        <v>71</v>
      </c>
      <c r="S4498" t="s">
        <v>1109</v>
      </c>
      <c r="T4498" t="s">
        <v>1110</v>
      </c>
    </row>
    <row r="4499" spans="1:20" x14ac:dyDescent="0.25">
      <c r="A4499" t="s">
        <v>10369</v>
      </c>
      <c r="B4499" t="str">
        <f>"9956"</f>
        <v>9956</v>
      </c>
      <c r="C4499" t="str">
        <f>"296909956"</f>
        <v>296909956</v>
      </c>
      <c r="D4499" t="s">
        <v>10370</v>
      </c>
      <c r="E4499" t="s">
        <v>10371</v>
      </c>
      <c r="F4499" t="s">
        <v>264</v>
      </c>
      <c r="G4499" s="1">
        <v>18250</v>
      </c>
      <c r="H4499" s="1">
        <v>35674</v>
      </c>
      <c r="I4499" t="str">
        <f t="shared" si="107"/>
        <v>20</v>
      </c>
      <c r="J4499" t="s">
        <v>123</v>
      </c>
      <c r="K4499" t="s">
        <v>98</v>
      </c>
      <c r="L4499" t="s">
        <v>37</v>
      </c>
      <c r="M4499" t="s">
        <v>257</v>
      </c>
      <c r="N4499" s="1">
        <v>41631</v>
      </c>
      <c r="O4499">
        <v>10753.16</v>
      </c>
      <c r="P4499">
        <v>2688.4</v>
      </c>
      <c r="Q4499" t="s">
        <v>37</v>
      </c>
      <c r="R4499" t="s">
        <v>71</v>
      </c>
      <c r="S4499" t="s">
        <v>2458</v>
      </c>
      <c r="T4499" t="s">
        <v>2459</v>
      </c>
    </row>
    <row r="4500" spans="1:20" x14ac:dyDescent="0.25">
      <c r="A4500" t="s">
        <v>10372</v>
      </c>
      <c r="B4500" t="str">
        <f>"1200"</f>
        <v>1200</v>
      </c>
      <c r="C4500" t="str">
        <f>"282561200"</f>
        <v>282561200</v>
      </c>
      <c r="D4500" t="s">
        <v>10373</v>
      </c>
      <c r="E4500" t="s">
        <v>5442</v>
      </c>
      <c r="F4500" t="s">
        <v>264</v>
      </c>
      <c r="G4500" s="1">
        <v>19916</v>
      </c>
      <c r="H4500" s="1">
        <v>35674</v>
      </c>
      <c r="I4500" t="str">
        <f t="shared" si="107"/>
        <v>20</v>
      </c>
      <c r="J4500" t="s">
        <v>123</v>
      </c>
      <c r="K4500" t="s">
        <v>98</v>
      </c>
      <c r="L4500" t="s">
        <v>37</v>
      </c>
      <c r="M4500" t="s">
        <v>99</v>
      </c>
      <c r="N4500" s="1">
        <v>41631</v>
      </c>
      <c r="O4500">
        <v>14801.82</v>
      </c>
      <c r="P4500">
        <v>3700.4</v>
      </c>
      <c r="Q4500" t="s">
        <v>37</v>
      </c>
      <c r="R4500" t="s">
        <v>71</v>
      </c>
      <c r="S4500" t="s">
        <v>770</v>
      </c>
      <c r="T4500" t="s">
        <v>771</v>
      </c>
    </row>
    <row r="4501" spans="1:20" x14ac:dyDescent="0.25">
      <c r="A4501" t="s">
        <v>10374</v>
      </c>
      <c r="B4501" t="str">
        <f>"1711"</f>
        <v>1711</v>
      </c>
      <c r="C4501" t="str">
        <f>"301681711"</f>
        <v>301681711</v>
      </c>
      <c r="D4501" t="s">
        <v>10375</v>
      </c>
      <c r="E4501" t="s">
        <v>1336</v>
      </c>
      <c r="F4501" t="s">
        <v>97</v>
      </c>
      <c r="G4501" s="1">
        <v>22199</v>
      </c>
      <c r="H4501" s="1">
        <v>35674</v>
      </c>
      <c r="I4501" t="str">
        <f t="shared" si="107"/>
        <v>20</v>
      </c>
      <c r="J4501" t="s">
        <v>123</v>
      </c>
      <c r="K4501" t="s">
        <v>98</v>
      </c>
      <c r="L4501" t="s">
        <v>37</v>
      </c>
      <c r="M4501" t="s">
        <v>117</v>
      </c>
      <c r="N4501" s="1">
        <v>41631</v>
      </c>
      <c r="O4501">
        <v>4951.9799999999996</v>
      </c>
      <c r="P4501">
        <v>1237.94</v>
      </c>
      <c r="Q4501" t="s">
        <v>37</v>
      </c>
      <c r="R4501" t="s">
        <v>71</v>
      </c>
      <c r="S4501" t="s">
        <v>3963</v>
      </c>
      <c r="T4501" t="s">
        <v>3964</v>
      </c>
    </row>
    <row r="4502" spans="1:20" x14ac:dyDescent="0.25">
      <c r="A4502" t="s">
        <v>10376</v>
      </c>
      <c r="B4502" t="str">
        <f>"3819"</f>
        <v>3819</v>
      </c>
      <c r="C4502" t="str">
        <f>"296483819"</f>
        <v>296483819</v>
      </c>
      <c r="D4502" t="s">
        <v>10377</v>
      </c>
      <c r="E4502" t="s">
        <v>1589</v>
      </c>
      <c r="G4502" s="1">
        <v>18272</v>
      </c>
      <c r="H4502" s="1">
        <v>35674</v>
      </c>
      <c r="I4502" t="str">
        <f t="shared" si="107"/>
        <v>20</v>
      </c>
      <c r="J4502" t="s">
        <v>123</v>
      </c>
      <c r="K4502" t="s">
        <v>98</v>
      </c>
      <c r="L4502" t="s">
        <v>37</v>
      </c>
      <c r="M4502" t="s">
        <v>117</v>
      </c>
      <c r="N4502" s="1">
        <v>41631</v>
      </c>
      <c r="O4502">
        <v>4951.9799999999996</v>
      </c>
      <c r="P4502">
        <v>1237.94</v>
      </c>
      <c r="Q4502" t="s">
        <v>37</v>
      </c>
      <c r="R4502" t="s">
        <v>29</v>
      </c>
      <c r="S4502" t="s">
        <v>1572</v>
      </c>
      <c r="T4502" t="s">
        <v>1573</v>
      </c>
    </row>
    <row r="4503" spans="1:20" x14ac:dyDescent="0.25">
      <c r="A4503" t="s">
        <v>10378</v>
      </c>
      <c r="B4503" t="str">
        <f>"7176"</f>
        <v>7176</v>
      </c>
      <c r="C4503" t="str">
        <f>"297527176"</f>
        <v>297527176</v>
      </c>
      <c r="D4503" t="s">
        <v>2300</v>
      </c>
      <c r="E4503" t="s">
        <v>4700</v>
      </c>
      <c r="F4503" t="s">
        <v>28</v>
      </c>
      <c r="G4503" s="1">
        <v>18792</v>
      </c>
      <c r="H4503" s="1">
        <v>35653</v>
      </c>
      <c r="I4503" t="str">
        <f>"03"</f>
        <v>03</v>
      </c>
      <c r="J4503" t="s">
        <v>70</v>
      </c>
      <c r="K4503" t="s">
        <v>98</v>
      </c>
      <c r="L4503" t="s">
        <v>37</v>
      </c>
      <c r="M4503" t="s">
        <v>257</v>
      </c>
      <c r="N4503" s="1">
        <v>41715</v>
      </c>
      <c r="O4503">
        <v>10753.08</v>
      </c>
      <c r="P4503">
        <v>2688.4</v>
      </c>
      <c r="Q4503" t="s">
        <v>37</v>
      </c>
      <c r="R4503" t="s">
        <v>38</v>
      </c>
      <c r="S4503" t="s">
        <v>353</v>
      </c>
      <c r="T4503" t="s">
        <v>354</v>
      </c>
    </row>
    <row r="4504" spans="1:20" x14ac:dyDescent="0.25">
      <c r="A4504" t="s">
        <v>10379</v>
      </c>
      <c r="B4504" t="str">
        <f>"6020"</f>
        <v>6020</v>
      </c>
      <c r="C4504" t="str">
        <f>"281626020"</f>
        <v>281626020</v>
      </c>
      <c r="D4504" t="s">
        <v>845</v>
      </c>
      <c r="E4504" t="s">
        <v>944</v>
      </c>
      <c r="F4504" t="s">
        <v>93</v>
      </c>
      <c r="G4504" s="1">
        <v>22343</v>
      </c>
      <c r="H4504" s="1">
        <v>35551</v>
      </c>
      <c r="I4504" t="str">
        <f>"01"</f>
        <v>01</v>
      </c>
      <c r="J4504" t="s">
        <v>116</v>
      </c>
      <c r="K4504" t="s">
        <v>175</v>
      </c>
      <c r="L4504" t="s">
        <v>37</v>
      </c>
      <c r="M4504" t="s">
        <v>99</v>
      </c>
      <c r="N4504" s="1">
        <v>41617</v>
      </c>
      <c r="O4504">
        <v>16411.72</v>
      </c>
      <c r="P4504">
        <v>4102.8</v>
      </c>
      <c r="Q4504" t="s">
        <v>28</v>
      </c>
      <c r="R4504" t="s">
        <v>71</v>
      </c>
      <c r="S4504" t="s">
        <v>10380</v>
      </c>
      <c r="T4504" t="s">
        <v>10381</v>
      </c>
    </row>
    <row r="4505" spans="1:20" x14ac:dyDescent="0.25">
      <c r="A4505" t="s">
        <v>10382</v>
      </c>
      <c r="B4505" t="str">
        <f>"8338"</f>
        <v>8338</v>
      </c>
      <c r="C4505" t="str">
        <f>"280648338"</f>
        <v>280648338</v>
      </c>
      <c r="D4505" t="s">
        <v>5902</v>
      </c>
      <c r="E4505" t="s">
        <v>1453</v>
      </c>
      <c r="F4505" t="s">
        <v>1049</v>
      </c>
      <c r="G4505" s="1">
        <v>21395</v>
      </c>
      <c r="H4505" s="1">
        <v>35527</v>
      </c>
      <c r="I4505" t="str">
        <f>"30"</f>
        <v>30</v>
      </c>
      <c r="J4505" t="s">
        <v>50</v>
      </c>
      <c r="K4505" t="s">
        <v>25</v>
      </c>
      <c r="L4505" t="s">
        <v>26</v>
      </c>
      <c r="M4505" t="s">
        <v>27</v>
      </c>
      <c r="N4505" s="1">
        <v>18629</v>
      </c>
      <c r="O4505">
        <v>0</v>
      </c>
      <c r="P4505">
        <v>0</v>
      </c>
      <c r="Q4505" t="s">
        <v>28</v>
      </c>
      <c r="R4505" t="s">
        <v>29</v>
      </c>
      <c r="S4505" t="s">
        <v>1795</v>
      </c>
      <c r="T4505" t="s">
        <v>1796</v>
      </c>
    </row>
    <row r="4506" spans="1:20" x14ac:dyDescent="0.25">
      <c r="A4506" t="s">
        <v>10383</v>
      </c>
      <c r="B4506" t="str">
        <f>"0062"</f>
        <v>0062</v>
      </c>
      <c r="C4506" t="str">
        <f>"294500062"</f>
        <v>294500062</v>
      </c>
      <c r="D4506" t="s">
        <v>8308</v>
      </c>
      <c r="E4506" t="s">
        <v>179</v>
      </c>
      <c r="G4506" s="1">
        <v>19463</v>
      </c>
      <c r="H4506" s="1">
        <v>35527</v>
      </c>
      <c r="I4506" t="str">
        <f>"08"</f>
        <v>08</v>
      </c>
      <c r="J4506" t="s">
        <v>265</v>
      </c>
      <c r="K4506" t="s">
        <v>175</v>
      </c>
      <c r="L4506" t="s">
        <v>37</v>
      </c>
      <c r="M4506" t="s">
        <v>257</v>
      </c>
      <c r="N4506" s="1">
        <v>41617</v>
      </c>
      <c r="O4506">
        <v>11847.94</v>
      </c>
      <c r="P4506">
        <v>2961.92</v>
      </c>
      <c r="Q4506" t="s">
        <v>28</v>
      </c>
      <c r="R4506" t="s">
        <v>29</v>
      </c>
      <c r="S4506" t="s">
        <v>885</v>
      </c>
      <c r="T4506" t="s">
        <v>886</v>
      </c>
    </row>
    <row r="4507" spans="1:20" x14ac:dyDescent="0.25">
      <c r="A4507" t="s">
        <v>10384</v>
      </c>
      <c r="B4507" t="str">
        <f>"9043"</f>
        <v>9043</v>
      </c>
      <c r="C4507" t="str">
        <f>"274769043"</f>
        <v>274769043</v>
      </c>
      <c r="D4507" t="s">
        <v>2398</v>
      </c>
      <c r="E4507" t="s">
        <v>3598</v>
      </c>
      <c r="F4507" t="s">
        <v>10385</v>
      </c>
      <c r="G4507" s="1">
        <v>23431</v>
      </c>
      <c r="H4507" s="1">
        <v>35520</v>
      </c>
      <c r="I4507" t="str">
        <f>"51"</f>
        <v>51</v>
      </c>
      <c r="J4507" t="s">
        <v>471</v>
      </c>
      <c r="K4507" t="s">
        <v>25</v>
      </c>
      <c r="L4507" t="s">
        <v>26</v>
      </c>
      <c r="M4507" t="s">
        <v>27</v>
      </c>
      <c r="N4507" s="1">
        <v>18629</v>
      </c>
      <c r="O4507">
        <v>0</v>
      </c>
      <c r="P4507">
        <v>0</v>
      </c>
      <c r="Q4507" t="s">
        <v>37</v>
      </c>
      <c r="R4507" t="s">
        <v>29</v>
      </c>
      <c r="S4507" t="s">
        <v>83</v>
      </c>
      <c r="T4507" t="s">
        <v>84</v>
      </c>
    </row>
    <row r="4508" spans="1:20" x14ac:dyDescent="0.25">
      <c r="A4508" t="s">
        <v>10386</v>
      </c>
      <c r="B4508" t="str">
        <f>"3730"</f>
        <v>3730</v>
      </c>
      <c r="C4508" t="str">
        <f>"301603730"</f>
        <v>301603730</v>
      </c>
      <c r="D4508" t="s">
        <v>10387</v>
      </c>
      <c r="E4508" t="s">
        <v>6270</v>
      </c>
      <c r="G4508" s="1">
        <v>22564</v>
      </c>
      <c r="H4508" s="1">
        <v>35520</v>
      </c>
      <c r="I4508" t="str">
        <f>"52"</f>
        <v>52</v>
      </c>
      <c r="J4508" t="s">
        <v>330</v>
      </c>
      <c r="K4508" t="s">
        <v>25</v>
      </c>
      <c r="L4508" t="s">
        <v>26</v>
      </c>
      <c r="M4508" t="s">
        <v>27</v>
      </c>
      <c r="N4508" s="1">
        <v>18629</v>
      </c>
      <c r="O4508">
        <v>0</v>
      </c>
      <c r="P4508">
        <v>0</v>
      </c>
      <c r="Q4508" t="s">
        <v>37</v>
      </c>
      <c r="R4508" t="s">
        <v>71</v>
      </c>
      <c r="S4508" t="s">
        <v>1774</v>
      </c>
      <c r="T4508" t="s">
        <v>1775</v>
      </c>
    </row>
    <row r="4509" spans="1:20" x14ac:dyDescent="0.25">
      <c r="A4509" t="s">
        <v>10388</v>
      </c>
      <c r="B4509" t="str">
        <f>"9533"</f>
        <v>9533</v>
      </c>
      <c r="C4509" t="str">
        <f>"265029533"</f>
        <v>265029533</v>
      </c>
      <c r="D4509" t="s">
        <v>10389</v>
      </c>
      <c r="E4509" t="s">
        <v>6456</v>
      </c>
      <c r="G4509" s="1">
        <v>17942</v>
      </c>
      <c r="H4509" s="1">
        <v>35513</v>
      </c>
      <c r="I4509" t="str">
        <f>"05"</f>
        <v>05</v>
      </c>
      <c r="J4509" t="s">
        <v>58</v>
      </c>
      <c r="K4509" t="s">
        <v>175</v>
      </c>
      <c r="L4509" t="s">
        <v>37</v>
      </c>
      <c r="M4509" t="s">
        <v>117</v>
      </c>
      <c r="N4509" s="1">
        <v>41617</v>
      </c>
      <c r="O4509">
        <v>5288.66</v>
      </c>
      <c r="P4509">
        <v>1322.1</v>
      </c>
      <c r="Q4509" t="s">
        <v>37</v>
      </c>
      <c r="R4509" t="s">
        <v>71</v>
      </c>
      <c r="S4509" t="s">
        <v>271</v>
      </c>
      <c r="T4509" t="s">
        <v>272</v>
      </c>
    </row>
    <row r="4510" spans="1:20" x14ac:dyDescent="0.25">
      <c r="A4510" t="s">
        <v>10390</v>
      </c>
      <c r="B4510" t="str">
        <f>"7944"</f>
        <v>7944</v>
      </c>
      <c r="C4510" t="str">
        <f>"207627944"</f>
        <v>207627944</v>
      </c>
      <c r="D4510" t="s">
        <v>10197</v>
      </c>
      <c r="E4510" t="s">
        <v>33</v>
      </c>
      <c r="F4510" t="s">
        <v>329</v>
      </c>
      <c r="G4510" s="1">
        <v>24359</v>
      </c>
      <c r="H4510" s="1">
        <v>35492</v>
      </c>
      <c r="I4510" t="str">
        <f>"50"</f>
        <v>50</v>
      </c>
      <c r="J4510" t="s">
        <v>208</v>
      </c>
      <c r="K4510" t="s">
        <v>25</v>
      </c>
      <c r="L4510" t="s">
        <v>26</v>
      </c>
      <c r="M4510" t="s">
        <v>27</v>
      </c>
      <c r="N4510" s="1">
        <v>18629</v>
      </c>
      <c r="O4510">
        <v>0</v>
      </c>
      <c r="P4510">
        <v>0</v>
      </c>
      <c r="Q4510" t="s">
        <v>28</v>
      </c>
      <c r="R4510" t="s">
        <v>71</v>
      </c>
      <c r="S4510" t="s">
        <v>402</v>
      </c>
      <c r="T4510" t="s">
        <v>403</v>
      </c>
    </row>
    <row r="4511" spans="1:20" x14ac:dyDescent="0.25">
      <c r="A4511" t="s">
        <v>10391</v>
      </c>
      <c r="B4511" t="str">
        <f>"9884"</f>
        <v>9884</v>
      </c>
      <c r="C4511" t="str">
        <f>"129449884"</f>
        <v>129449884</v>
      </c>
      <c r="D4511" t="s">
        <v>6438</v>
      </c>
      <c r="E4511" t="s">
        <v>6944</v>
      </c>
      <c r="F4511" t="s">
        <v>97</v>
      </c>
      <c r="G4511" s="1">
        <v>20225</v>
      </c>
      <c r="H4511" s="1">
        <v>35436</v>
      </c>
      <c r="I4511" t="str">
        <f>"51"</f>
        <v>51</v>
      </c>
      <c r="J4511" t="s">
        <v>471</v>
      </c>
      <c r="K4511" t="s">
        <v>25</v>
      </c>
      <c r="L4511" t="s">
        <v>26</v>
      </c>
      <c r="M4511" t="s">
        <v>27</v>
      </c>
      <c r="N4511" s="1">
        <v>18629</v>
      </c>
      <c r="O4511">
        <v>0</v>
      </c>
      <c r="P4511">
        <v>0</v>
      </c>
      <c r="Q4511" t="s">
        <v>37</v>
      </c>
      <c r="R4511" t="s">
        <v>29</v>
      </c>
      <c r="S4511" t="s">
        <v>151</v>
      </c>
      <c r="T4511" t="s">
        <v>152</v>
      </c>
    </row>
    <row r="4512" spans="1:20" x14ac:dyDescent="0.25">
      <c r="A4512" t="s">
        <v>10392</v>
      </c>
      <c r="B4512" t="str">
        <f>"5368"</f>
        <v>5368</v>
      </c>
      <c r="C4512" t="str">
        <f>"299545368"</f>
        <v>299545368</v>
      </c>
      <c r="D4512" t="s">
        <v>10393</v>
      </c>
      <c r="E4512" t="s">
        <v>2385</v>
      </c>
      <c r="G4512" s="1">
        <v>19743</v>
      </c>
      <c r="H4512" s="1">
        <v>35436</v>
      </c>
      <c r="I4512" t="str">
        <f>"51"</f>
        <v>51</v>
      </c>
      <c r="J4512" t="s">
        <v>471</v>
      </c>
      <c r="K4512" t="s">
        <v>25</v>
      </c>
      <c r="L4512" t="s">
        <v>26</v>
      </c>
      <c r="M4512" t="s">
        <v>27</v>
      </c>
      <c r="N4512" s="1">
        <v>18629</v>
      </c>
      <c r="O4512">
        <v>0</v>
      </c>
      <c r="P4512">
        <v>0</v>
      </c>
      <c r="Q4512" t="s">
        <v>37</v>
      </c>
      <c r="R4512" t="s">
        <v>29</v>
      </c>
      <c r="S4512" t="s">
        <v>1572</v>
      </c>
      <c r="T4512" t="s">
        <v>1573</v>
      </c>
    </row>
    <row r="4513" spans="1:20" x14ac:dyDescent="0.25">
      <c r="A4513" t="s">
        <v>10394</v>
      </c>
      <c r="B4513" t="str">
        <f>"0363"</f>
        <v>0363</v>
      </c>
      <c r="C4513" t="str">
        <f>"296660363"</f>
        <v>296660363</v>
      </c>
      <c r="D4513" t="s">
        <v>10395</v>
      </c>
      <c r="E4513" t="s">
        <v>499</v>
      </c>
      <c r="F4513" t="s">
        <v>264</v>
      </c>
      <c r="G4513" s="1">
        <v>25679</v>
      </c>
      <c r="H4513" s="1">
        <v>35324</v>
      </c>
      <c r="I4513" t="str">
        <f>"33"</f>
        <v>33</v>
      </c>
      <c r="J4513" t="s">
        <v>45</v>
      </c>
      <c r="K4513" t="s">
        <v>25</v>
      </c>
      <c r="L4513" t="s">
        <v>26</v>
      </c>
      <c r="M4513" t="s">
        <v>27</v>
      </c>
      <c r="N4513" s="1">
        <v>18629</v>
      </c>
      <c r="O4513">
        <v>0</v>
      </c>
      <c r="P4513">
        <v>0</v>
      </c>
      <c r="Q4513" t="s">
        <v>28</v>
      </c>
      <c r="R4513" t="s">
        <v>71</v>
      </c>
      <c r="S4513" t="s">
        <v>955</v>
      </c>
      <c r="T4513" t="s">
        <v>956</v>
      </c>
    </row>
    <row r="4514" spans="1:20" x14ac:dyDescent="0.25">
      <c r="A4514" t="s">
        <v>10396</v>
      </c>
      <c r="B4514" t="str">
        <f>"7947"</f>
        <v>7947</v>
      </c>
      <c r="C4514" t="str">
        <f>"301807947"</f>
        <v>301807947</v>
      </c>
      <c r="D4514" t="s">
        <v>10397</v>
      </c>
      <c r="E4514" t="s">
        <v>10398</v>
      </c>
      <c r="F4514" t="s">
        <v>438</v>
      </c>
      <c r="G4514" s="1">
        <v>22409</v>
      </c>
      <c r="H4514" s="1">
        <v>35311</v>
      </c>
      <c r="I4514" t="str">
        <f t="shared" ref="I4514:I4520" si="108">"20"</f>
        <v>20</v>
      </c>
      <c r="J4514" t="s">
        <v>123</v>
      </c>
      <c r="K4514" t="s">
        <v>175</v>
      </c>
      <c r="L4514" t="s">
        <v>37</v>
      </c>
      <c r="M4514" t="s">
        <v>99</v>
      </c>
      <c r="N4514" s="1">
        <v>41631</v>
      </c>
      <c r="O4514">
        <v>16411.78</v>
      </c>
      <c r="P4514">
        <v>4103</v>
      </c>
      <c r="Q4514" t="s">
        <v>28</v>
      </c>
      <c r="R4514" t="s">
        <v>71</v>
      </c>
      <c r="S4514" t="s">
        <v>2458</v>
      </c>
      <c r="T4514" t="s">
        <v>2459</v>
      </c>
    </row>
    <row r="4515" spans="1:20" x14ac:dyDescent="0.25">
      <c r="A4515" t="s">
        <v>10399</v>
      </c>
      <c r="B4515" t="str">
        <f>"6524"</f>
        <v>6524</v>
      </c>
      <c r="C4515" t="str">
        <f>"273646524"</f>
        <v>273646524</v>
      </c>
      <c r="D4515" t="s">
        <v>10400</v>
      </c>
      <c r="E4515" t="s">
        <v>1381</v>
      </c>
      <c r="F4515" t="s">
        <v>97</v>
      </c>
      <c r="G4515" s="1">
        <v>21213</v>
      </c>
      <c r="H4515" s="1">
        <v>35311</v>
      </c>
      <c r="I4515" t="str">
        <f t="shared" si="108"/>
        <v>20</v>
      </c>
      <c r="J4515" t="s">
        <v>123</v>
      </c>
      <c r="K4515" t="s">
        <v>98</v>
      </c>
      <c r="L4515" t="s">
        <v>37</v>
      </c>
      <c r="M4515" t="s">
        <v>117</v>
      </c>
      <c r="N4515" s="1">
        <v>41631</v>
      </c>
      <c r="O4515">
        <v>4951.9799999999996</v>
      </c>
      <c r="P4515">
        <v>1237.94</v>
      </c>
      <c r="Q4515" t="s">
        <v>28</v>
      </c>
      <c r="R4515" t="s">
        <v>71</v>
      </c>
      <c r="S4515" t="s">
        <v>923</v>
      </c>
      <c r="T4515" t="s">
        <v>924</v>
      </c>
    </row>
    <row r="4516" spans="1:20" x14ac:dyDescent="0.25">
      <c r="A4516" t="s">
        <v>10401</v>
      </c>
      <c r="B4516" t="str">
        <f>"0602"</f>
        <v>0602</v>
      </c>
      <c r="C4516" t="str">
        <f>"161520602"</f>
        <v>161520602</v>
      </c>
      <c r="D4516" t="s">
        <v>10402</v>
      </c>
      <c r="E4516" t="s">
        <v>2256</v>
      </c>
      <c r="G4516" s="1">
        <v>20816</v>
      </c>
      <c r="H4516" s="1">
        <v>35311</v>
      </c>
      <c r="I4516" t="str">
        <f t="shared" si="108"/>
        <v>20</v>
      </c>
      <c r="J4516" t="s">
        <v>123</v>
      </c>
      <c r="K4516" t="s">
        <v>175</v>
      </c>
      <c r="L4516" t="s">
        <v>37</v>
      </c>
      <c r="M4516" t="s">
        <v>257</v>
      </c>
      <c r="N4516" s="1">
        <v>41631</v>
      </c>
      <c r="O4516">
        <v>11847.88</v>
      </c>
      <c r="P4516">
        <v>2962.08</v>
      </c>
      <c r="Q4516" t="s">
        <v>37</v>
      </c>
      <c r="R4516" t="s">
        <v>29</v>
      </c>
      <c r="S4516" t="s">
        <v>1422</v>
      </c>
      <c r="T4516" t="s">
        <v>1423</v>
      </c>
    </row>
    <row r="4517" spans="1:20" x14ac:dyDescent="0.25">
      <c r="A4517" t="s">
        <v>10403</v>
      </c>
      <c r="B4517" t="str">
        <f>"2496"</f>
        <v>2496</v>
      </c>
      <c r="C4517" t="str">
        <f>"100562496"</f>
        <v>100562496</v>
      </c>
      <c r="D4517" t="s">
        <v>10404</v>
      </c>
      <c r="E4517" t="s">
        <v>10405</v>
      </c>
      <c r="G4517" s="1">
        <v>17506</v>
      </c>
      <c r="H4517" s="1">
        <v>35311</v>
      </c>
      <c r="I4517" t="str">
        <f t="shared" si="108"/>
        <v>20</v>
      </c>
      <c r="J4517" t="s">
        <v>123</v>
      </c>
      <c r="K4517" t="s">
        <v>98</v>
      </c>
      <c r="L4517" t="s">
        <v>37</v>
      </c>
      <c r="M4517" t="s">
        <v>117</v>
      </c>
      <c r="N4517" s="1">
        <v>41631</v>
      </c>
      <c r="O4517">
        <v>4951.9799999999996</v>
      </c>
      <c r="P4517">
        <v>1237.94</v>
      </c>
      <c r="Q4517" t="s">
        <v>28</v>
      </c>
      <c r="R4517" t="s">
        <v>51</v>
      </c>
      <c r="S4517" s="2" t="s">
        <v>2524</v>
      </c>
      <c r="T4517" t="s">
        <v>2525</v>
      </c>
    </row>
    <row r="4518" spans="1:20" x14ac:dyDescent="0.25">
      <c r="A4518" t="s">
        <v>10406</v>
      </c>
      <c r="B4518" t="str">
        <f>"1837"</f>
        <v>1837</v>
      </c>
      <c r="C4518" t="str">
        <f>"270521837"</f>
        <v>270521837</v>
      </c>
      <c r="D4518" t="s">
        <v>10407</v>
      </c>
      <c r="E4518" t="s">
        <v>463</v>
      </c>
      <c r="F4518" t="s">
        <v>44</v>
      </c>
      <c r="G4518" s="1">
        <v>24732</v>
      </c>
      <c r="H4518" s="1">
        <v>35311</v>
      </c>
      <c r="I4518" t="str">
        <f t="shared" si="108"/>
        <v>20</v>
      </c>
      <c r="J4518" t="s">
        <v>123</v>
      </c>
      <c r="K4518" t="s">
        <v>98</v>
      </c>
      <c r="L4518" t="s">
        <v>37</v>
      </c>
      <c r="M4518" t="s">
        <v>99</v>
      </c>
      <c r="N4518" s="1">
        <v>41631</v>
      </c>
      <c r="O4518">
        <v>14801.82</v>
      </c>
      <c r="P4518">
        <v>3700.4</v>
      </c>
      <c r="Q4518" t="s">
        <v>28</v>
      </c>
      <c r="R4518" t="s">
        <v>71</v>
      </c>
      <c r="S4518" t="s">
        <v>157</v>
      </c>
      <c r="T4518" t="s">
        <v>158</v>
      </c>
    </row>
    <row r="4519" spans="1:20" x14ac:dyDescent="0.25">
      <c r="A4519" t="s">
        <v>10408</v>
      </c>
      <c r="B4519" t="str">
        <f>"7085"</f>
        <v>7085</v>
      </c>
      <c r="C4519" t="str">
        <f>"223197085"</f>
        <v>223197085</v>
      </c>
      <c r="D4519" t="s">
        <v>10409</v>
      </c>
      <c r="E4519" t="s">
        <v>10410</v>
      </c>
      <c r="F4519" t="s">
        <v>264</v>
      </c>
      <c r="G4519" s="1">
        <v>25881</v>
      </c>
      <c r="H4519" s="1">
        <v>35311</v>
      </c>
      <c r="I4519" t="str">
        <f t="shared" si="108"/>
        <v>20</v>
      </c>
      <c r="J4519" t="s">
        <v>123</v>
      </c>
      <c r="K4519" t="s">
        <v>98</v>
      </c>
      <c r="L4519" t="s">
        <v>37</v>
      </c>
      <c r="M4519" t="s">
        <v>257</v>
      </c>
      <c r="N4519" s="1">
        <v>41631</v>
      </c>
      <c r="O4519">
        <v>10753.16</v>
      </c>
      <c r="P4519">
        <v>2688.4</v>
      </c>
      <c r="Q4519" t="s">
        <v>37</v>
      </c>
      <c r="R4519" t="s">
        <v>51</v>
      </c>
      <c r="S4519" s="2" t="s">
        <v>2202</v>
      </c>
      <c r="T4519" t="s">
        <v>2203</v>
      </c>
    </row>
    <row r="4520" spans="1:20" x14ac:dyDescent="0.25">
      <c r="A4520" t="s">
        <v>10411</v>
      </c>
      <c r="B4520" t="str">
        <f>"3919"</f>
        <v>3919</v>
      </c>
      <c r="C4520" t="str">
        <f>"142443919"</f>
        <v>142443919</v>
      </c>
      <c r="D4520" t="s">
        <v>1263</v>
      </c>
      <c r="E4520" t="s">
        <v>1074</v>
      </c>
      <c r="F4520" t="s">
        <v>69</v>
      </c>
      <c r="G4520" s="1">
        <v>18870</v>
      </c>
      <c r="H4520" s="1">
        <v>35311</v>
      </c>
      <c r="I4520" t="str">
        <f t="shared" si="108"/>
        <v>20</v>
      </c>
      <c r="J4520" t="s">
        <v>123</v>
      </c>
      <c r="K4520" t="s">
        <v>98</v>
      </c>
      <c r="L4520" t="s">
        <v>37</v>
      </c>
      <c r="M4520" t="s">
        <v>257</v>
      </c>
      <c r="N4520" s="1">
        <v>41631</v>
      </c>
      <c r="O4520">
        <v>10753.16</v>
      </c>
      <c r="P4520">
        <v>2688.4</v>
      </c>
      <c r="Q4520" t="s">
        <v>37</v>
      </c>
      <c r="R4520" t="s">
        <v>51</v>
      </c>
      <c r="S4520" s="2" t="s">
        <v>1568</v>
      </c>
      <c r="T4520" t="s">
        <v>1569</v>
      </c>
    </row>
    <row r="4521" spans="1:20" x14ac:dyDescent="0.25">
      <c r="A4521" t="s">
        <v>10412</v>
      </c>
      <c r="B4521" t="str">
        <f>"3451"</f>
        <v>3451</v>
      </c>
      <c r="C4521" t="str">
        <f>"285363451"</f>
        <v>285363451</v>
      </c>
      <c r="D4521" t="s">
        <v>10413</v>
      </c>
      <c r="E4521" t="s">
        <v>1353</v>
      </c>
      <c r="F4521" t="s">
        <v>28</v>
      </c>
      <c r="G4521" s="1">
        <v>15275</v>
      </c>
      <c r="H4521" s="1">
        <v>35309</v>
      </c>
      <c r="I4521" t="str">
        <f>"51"</f>
        <v>51</v>
      </c>
      <c r="J4521" t="s">
        <v>471</v>
      </c>
      <c r="K4521" t="s">
        <v>25</v>
      </c>
      <c r="L4521" t="s">
        <v>26</v>
      </c>
      <c r="M4521" t="s">
        <v>27</v>
      </c>
      <c r="N4521" s="1">
        <v>18629</v>
      </c>
      <c r="O4521">
        <v>0</v>
      </c>
      <c r="P4521">
        <v>0</v>
      </c>
      <c r="Q4521" t="s">
        <v>37</v>
      </c>
      <c r="R4521" t="s">
        <v>71</v>
      </c>
      <c r="S4521" t="s">
        <v>305</v>
      </c>
      <c r="T4521" t="s">
        <v>306</v>
      </c>
    </row>
    <row r="4522" spans="1:20" x14ac:dyDescent="0.25">
      <c r="A4522" t="s">
        <v>10414</v>
      </c>
      <c r="B4522" t="str">
        <f>"3456"</f>
        <v>3456</v>
      </c>
      <c r="C4522" t="str">
        <f>"275643456"</f>
        <v>275643456</v>
      </c>
      <c r="D4522" t="s">
        <v>8936</v>
      </c>
      <c r="E4522" t="s">
        <v>1981</v>
      </c>
      <c r="G4522" s="1">
        <v>21437</v>
      </c>
      <c r="H4522" s="1">
        <v>35309</v>
      </c>
      <c r="I4522" t="str">
        <f>"20"</f>
        <v>20</v>
      </c>
      <c r="J4522" t="s">
        <v>123</v>
      </c>
      <c r="K4522" t="s">
        <v>98</v>
      </c>
      <c r="L4522" t="s">
        <v>37</v>
      </c>
      <c r="M4522" t="s">
        <v>257</v>
      </c>
      <c r="N4522" s="1">
        <v>41631</v>
      </c>
      <c r="O4522">
        <v>10753.16</v>
      </c>
      <c r="P4522">
        <v>2688.4</v>
      </c>
      <c r="Q4522" t="s">
        <v>37</v>
      </c>
      <c r="R4522" t="s">
        <v>71</v>
      </c>
      <c r="S4522" t="s">
        <v>209</v>
      </c>
      <c r="T4522" t="s">
        <v>210</v>
      </c>
    </row>
    <row r="4523" spans="1:20" x14ac:dyDescent="0.25">
      <c r="A4523" t="s">
        <v>10415</v>
      </c>
      <c r="B4523" t="str">
        <f>"7216"</f>
        <v>7216</v>
      </c>
      <c r="C4523" t="str">
        <f>"295687216"</f>
        <v>295687216</v>
      </c>
      <c r="D4523" t="s">
        <v>10416</v>
      </c>
      <c r="E4523" t="s">
        <v>1616</v>
      </c>
      <c r="F4523" t="s">
        <v>358</v>
      </c>
      <c r="G4523" s="1">
        <v>22921</v>
      </c>
      <c r="H4523" s="1">
        <v>35303</v>
      </c>
      <c r="I4523" t="str">
        <f>"05"</f>
        <v>05</v>
      </c>
      <c r="J4523" t="s">
        <v>58</v>
      </c>
      <c r="K4523" t="s">
        <v>98</v>
      </c>
      <c r="L4523" t="s">
        <v>37</v>
      </c>
      <c r="M4523" t="s">
        <v>117</v>
      </c>
      <c r="N4523" s="1">
        <v>41617</v>
      </c>
      <c r="O4523">
        <v>4951.96</v>
      </c>
      <c r="P4523">
        <v>1237.8599999999999</v>
      </c>
      <c r="Q4523" t="s">
        <v>37</v>
      </c>
      <c r="R4523" t="s">
        <v>51</v>
      </c>
      <c r="S4523" s="2" t="s">
        <v>52</v>
      </c>
      <c r="T4523" t="s">
        <v>53</v>
      </c>
    </row>
    <row r="4524" spans="1:20" x14ac:dyDescent="0.25">
      <c r="A4524" t="s">
        <v>10417</v>
      </c>
      <c r="B4524" t="str">
        <f>"6939"</f>
        <v>6939</v>
      </c>
      <c r="C4524" t="str">
        <f>"274486939"</f>
        <v>274486939</v>
      </c>
      <c r="D4524" t="s">
        <v>10418</v>
      </c>
      <c r="E4524" t="s">
        <v>2618</v>
      </c>
      <c r="F4524" t="s">
        <v>28</v>
      </c>
      <c r="G4524" s="1">
        <v>18111</v>
      </c>
      <c r="H4524" s="1">
        <v>35296</v>
      </c>
      <c r="I4524" t="str">
        <f>"01"</f>
        <v>01</v>
      </c>
      <c r="J4524" t="s">
        <v>116</v>
      </c>
      <c r="K4524" t="s">
        <v>98</v>
      </c>
      <c r="L4524" t="s">
        <v>37</v>
      </c>
      <c r="M4524" t="s">
        <v>117</v>
      </c>
      <c r="N4524" s="1">
        <v>41617</v>
      </c>
      <c r="O4524">
        <v>4951.96</v>
      </c>
      <c r="P4524">
        <v>1237.8599999999999</v>
      </c>
      <c r="Q4524" t="s">
        <v>37</v>
      </c>
      <c r="R4524" t="s">
        <v>51</v>
      </c>
      <c r="S4524" s="2" t="s">
        <v>324</v>
      </c>
      <c r="T4524" t="s">
        <v>325</v>
      </c>
    </row>
    <row r="4525" spans="1:20" x14ac:dyDescent="0.25">
      <c r="A4525" t="s">
        <v>10419</v>
      </c>
      <c r="B4525" t="str">
        <f>"5208"</f>
        <v>5208</v>
      </c>
      <c r="C4525" t="str">
        <f>"385585208"</f>
        <v>385585208</v>
      </c>
      <c r="D4525" t="s">
        <v>3868</v>
      </c>
      <c r="E4525" t="s">
        <v>10420</v>
      </c>
      <c r="F4525" t="s">
        <v>97</v>
      </c>
      <c r="G4525" s="1">
        <v>18695</v>
      </c>
      <c r="H4525" s="1">
        <v>35159</v>
      </c>
      <c r="I4525" t="str">
        <f>"33"</f>
        <v>33</v>
      </c>
      <c r="J4525" t="s">
        <v>45</v>
      </c>
      <c r="K4525" t="s">
        <v>25</v>
      </c>
      <c r="L4525" t="s">
        <v>26</v>
      </c>
      <c r="M4525" t="s">
        <v>27</v>
      </c>
      <c r="N4525" s="1">
        <v>18629</v>
      </c>
      <c r="O4525">
        <v>0</v>
      </c>
      <c r="P4525">
        <v>0</v>
      </c>
      <c r="Q4525" t="s">
        <v>37</v>
      </c>
      <c r="R4525" t="s">
        <v>71</v>
      </c>
      <c r="S4525" t="s">
        <v>955</v>
      </c>
      <c r="T4525" t="s">
        <v>956</v>
      </c>
    </row>
    <row r="4526" spans="1:20" x14ac:dyDescent="0.25">
      <c r="A4526" t="s">
        <v>10421</v>
      </c>
      <c r="B4526" t="str">
        <f>"2483"</f>
        <v>2483</v>
      </c>
      <c r="C4526" t="str">
        <f>"173362483"</f>
        <v>173362483</v>
      </c>
      <c r="D4526" t="s">
        <v>10422</v>
      </c>
      <c r="E4526" t="s">
        <v>609</v>
      </c>
      <c r="F4526" t="s">
        <v>264</v>
      </c>
      <c r="G4526" s="1">
        <v>16267</v>
      </c>
      <c r="H4526" s="1">
        <v>35156</v>
      </c>
      <c r="I4526" t="str">
        <f>"51"</f>
        <v>51</v>
      </c>
      <c r="J4526" t="s">
        <v>471</v>
      </c>
      <c r="K4526" t="s">
        <v>25</v>
      </c>
      <c r="L4526" t="s">
        <v>26</v>
      </c>
      <c r="M4526" t="s">
        <v>27</v>
      </c>
      <c r="N4526" s="1">
        <v>18629</v>
      </c>
      <c r="O4526">
        <v>0</v>
      </c>
      <c r="P4526">
        <v>0</v>
      </c>
      <c r="Q4526" t="s">
        <v>28</v>
      </c>
      <c r="R4526" t="s">
        <v>71</v>
      </c>
      <c r="S4526" t="s">
        <v>5340</v>
      </c>
      <c r="T4526" t="s">
        <v>5341</v>
      </c>
    </row>
    <row r="4527" spans="1:20" x14ac:dyDescent="0.25">
      <c r="A4527" t="s">
        <v>10423</v>
      </c>
      <c r="B4527" t="str">
        <f>"2672"</f>
        <v>2672</v>
      </c>
      <c r="C4527" t="str">
        <f>"275502672"</f>
        <v>275502672</v>
      </c>
      <c r="D4527" t="s">
        <v>10424</v>
      </c>
      <c r="E4527" t="s">
        <v>22</v>
      </c>
      <c r="F4527" t="s">
        <v>174</v>
      </c>
      <c r="G4527" s="1">
        <v>18641</v>
      </c>
      <c r="H4527" s="1">
        <v>35156</v>
      </c>
      <c r="I4527" t="str">
        <f>"51"</f>
        <v>51</v>
      </c>
      <c r="J4527" t="s">
        <v>471</v>
      </c>
      <c r="K4527" t="s">
        <v>25</v>
      </c>
      <c r="L4527" t="s">
        <v>26</v>
      </c>
      <c r="M4527" t="s">
        <v>27</v>
      </c>
      <c r="N4527" s="1">
        <v>18629</v>
      </c>
      <c r="O4527">
        <v>0</v>
      </c>
      <c r="P4527">
        <v>0</v>
      </c>
      <c r="Q4527" t="s">
        <v>28</v>
      </c>
      <c r="R4527" t="s">
        <v>71</v>
      </c>
      <c r="S4527" t="s">
        <v>2634</v>
      </c>
      <c r="T4527" t="s">
        <v>2635</v>
      </c>
    </row>
    <row r="4528" spans="1:20" x14ac:dyDescent="0.25">
      <c r="A4528" t="s">
        <v>10425</v>
      </c>
      <c r="B4528" t="str">
        <f>"7364"</f>
        <v>7364</v>
      </c>
      <c r="C4528" t="str">
        <f>"200347364"</f>
        <v>200347364</v>
      </c>
      <c r="D4528" t="s">
        <v>10426</v>
      </c>
      <c r="E4528" t="s">
        <v>1074</v>
      </c>
      <c r="F4528" t="s">
        <v>282</v>
      </c>
      <c r="G4528" s="1">
        <v>16548</v>
      </c>
      <c r="H4528" s="1">
        <v>35156</v>
      </c>
      <c r="I4528" t="str">
        <f>"51"</f>
        <v>51</v>
      </c>
      <c r="J4528" t="s">
        <v>471</v>
      </c>
      <c r="K4528" t="s">
        <v>25</v>
      </c>
      <c r="L4528" t="s">
        <v>26</v>
      </c>
      <c r="M4528" t="s">
        <v>27</v>
      </c>
      <c r="N4528" s="1">
        <v>18629</v>
      </c>
      <c r="O4528">
        <v>0</v>
      </c>
      <c r="P4528">
        <v>0</v>
      </c>
      <c r="Q4528" t="s">
        <v>37</v>
      </c>
      <c r="R4528" t="s">
        <v>29</v>
      </c>
      <c r="S4528" t="s">
        <v>2736</v>
      </c>
      <c r="T4528" t="s">
        <v>2737</v>
      </c>
    </row>
    <row r="4529" spans="1:20" x14ac:dyDescent="0.25">
      <c r="A4529" t="s">
        <v>10427</v>
      </c>
      <c r="B4529" t="str">
        <f>"0361"</f>
        <v>0361</v>
      </c>
      <c r="C4529" t="str">
        <f>"270680361"</f>
        <v>270680361</v>
      </c>
      <c r="D4529" t="s">
        <v>2183</v>
      </c>
      <c r="E4529" t="s">
        <v>870</v>
      </c>
      <c r="G4529" s="1">
        <v>23275</v>
      </c>
      <c r="H4529" s="1">
        <v>35088</v>
      </c>
      <c r="I4529" t="str">
        <f>"33"</f>
        <v>33</v>
      </c>
      <c r="J4529" t="s">
        <v>45</v>
      </c>
      <c r="K4529" t="s">
        <v>25</v>
      </c>
      <c r="L4529" t="s">
        <v>26</v>
      </c>
      <c r="M4529" t="s">
        <v>27</v>
      </c>
      <c r="N4529" s="1">
        <v>18629</v>
      </c>
      <c r="O4529">
        <v>0</v>
      </c>
      <c r="P4529">
        <v>0</v>
      </c>
      <c r="Q4529" t="s">
        <v>37</v>
      </c>
      <c r="R4529" t="s">
        <v>71</v>
      </c>
      <c r="S4529" t="s">
        <v>955</v>
      </c>
      <c r="T4529" t="s">
        <v>956</v>
      </c>
    </row>
    <row r="4530" spans="1:20" x14ac:dyDescent="0.25">
      <c r="A4530" t="s">
        <v>10428</v>
      </c>
      <c r="B4530" t="str">
        <f>"3698"</f>
        <v>3698</v>
      </c>
      <c r="C4530" t="str">
        <f>"147403698"</f>
        <v>147403698</v>
      </c>
      <c r="D4530" t="s">
        <v>10429</v>
      </c>
      <c r="E4530" t="s">
        <v>10430</v>
      </c>
      <c r="G4530" s="1">
        <v>16377</v>
      </c>
      <c r="H4530" s="1">
        <v>35072</v>
      </c>
      <c r="I4530" t="str">
        <f>"51"</f>
        <v>51</v>
      </c>
      <c r="J4530" t="s">
        <v>471</v>
      </c>
      <c r="K4530" t="s">
        <v>25</v>
      </c>
      <c r="L4530" t="s">
        <v>26</v>
      </c>
      <c r="M4530" t="s">
        <v>27</v>
      </c>
      <c r="N4530" s="1">
        <v>18629</v>
      </c>
      <c r="O4530">
        <v>0</v>
      </c>
      <c r="P4530">
        <v>0</v>
      </c>
      <c r="Q4530" t="s">
        <v>28</v>
      </c>
      <c r="R4530" t="s">
        <v>71</v>
      </c>
      <c r="S4530" s="2" t="s">
        <v>3136</v>
      </c>
      <c r="T4530" t="s">
        <v>3137</v>
      </c>
    </row>
    <row r="4531" spans="1:20" x14ac:dyDescent="0.25">
      <c r="A4531" t="s">
        <v>10431</v>
      </c>
      <c r="B4531" t="str">
        <f>"6334"</f>
        <v>6334</v>
      </c>
      <c r="C4531" t="str">
        <f>"335466334"</f>
        <v>335466334</v>
      </c>
      <c r="D4531" t="s">
        <v>5904</v>
      </c>
      <c r="E4531" t="s">
        <v>4553</v>
      </c>
      <c r="F4531" t="s">
        <v>44</v>
      </c>
      <c r="G4531" s="1">
        <v>18886</v>
      </c>
      <c r="H4531" s="1">
        <v>35072</v>
      </c>
      <c r="I4531" t="str">
        <f>"51"</f>
        <v>51</v>
      </c>
      <c r="J4531" t="s">
        <v>471</v>
      </c>
      <c r="K4531" t="s">
        <v>25</v>
      </c>
      <c r="L4531" t="s">
        <v>26</v>
      </c>
      <c r="M4531" t="s">
        <v>27</v>
      </c>
      <c r="N4531" s="1">
        <v>18629</v>
      </c>
      <c r="O4531">
        <v>0</v>
      </c>
      <c r="P4531">
        <v>0</v>
      </c>
      <c r="Q4531" t="s">
        <v>28</v>
      </c>
      <c r="R4531" t="s">
        <v>51</v>
      </c>
      <c r="S4531" t="s">
        <v>6647</v>
      </c>
      <c r="T4531" t="s">
        <v>6648</v>
      </c>
    </row>
    <row r="4532" spans="1:20" x14ac:dyDescent="0.25">
      <c r="A4532" t="s">
        <v>10432</v>
      </c>
      <c r="B4532" t="str">
        <f>"7793"</f>
        <v>7793</v>
      </c>
      <c r="C4532" t="str">
        <f>"282447793"</f>
        <v>282447793</v>
      </c>
      <c r="D4532" t="s">
        <v>10433</v>
      </c>
      <c r="E4532" t="s">
        <v>2988</v>
      </c>
      <c r="F4532" t="s">
        <v>414</v>
      </c>
      <c r="G4532" s="1">
        <v>19423</v>
      </c>
      <c r="H4532" s="1">
        <v>35072</v>
      </c>
      <c r="I4532" t="str">
        <f>"51"</f>
        <v>51</v>
      </c>
      <c r="J4532" t="s">
        <v>471</v>
      </c>
      <c r="K4532" t="s">
        <v>25</v>
      </c>
      <c r="L4532" t="s">
        <v>26</v>
      </c>
      <c r="M4532" t="s">
        <v>27</v>
      </c>
      <c r="N4532" s="1">
        <v>18629</v>
      </c>
      <c r="O4532">
        <v>0</v>
      </c>
      <c r="P4532">
        <v>0</v>
      </c>
      <c r="Q4532" t="s">
        <v>28</v>
      </c>
      <c r="R4532" t="s">
        <v>71</v>
      </c>
      <c r="S4532" t="s">
        <v>923</v>
      </c>
      <c r="T4532" t="s">
        <v>924</v>
      </c>
    </row>
    <row r="4533" spans="1:20" x14ac:dyDescent="0.25">
      <c r="A4533" t="s">
        <v>10434</v>
      </c>
      <c r="B4533" t="str">
        <f>"6212"</f>
        <v>6212</v>
      </c>
      <c r="C4533" t="str">
        <f>"286526212"</f>
        <v>286526212</v>
      </c>
      <c r="D4533" t="s">
        <v>10435</v>
      </c>
      <c r="E4533" t="s">
        <v>35</v>
      </c>
      <c r="G4533" s="1">
        <v>18854</v>
      </c>
      <c r="H4533" s="1">
        <v>35072</v>
      </c>
      <c r="I4533" t="str">
        <f>"51"</f>
        <v>51</v>
      </c>
      <c r="J4533" t="s">
        <v>471</v>
      </c>
      <c r="K4533" t="s">
        <v>25</v>
      </c>
      <c r="L4533" t="s">
        <v>26</v>
      </c>
      <c r="M4533" t="s">
        <v>27</v>
      </c>
      <c r="N4533" s="1">
        <v>18629</v>
      </c>
      <c r="O4533">
        <v>0</v>
      </c>
      <c r="P4533">
        <v>0</v>
      </c>
      <c r="Q4533" t="s">
        <v>28</v>
      </c>
      <c r="R4533" t="s">
        <v>71</v>
      </c>
      <c r="S4533" t="s">
        <v>1474</v>
      </c>
      <c r="T4533" t="s">
        <v>1475</v>
      </c>
    </row>
    <row r="4534" spans="1:20" x14ac:dyDescent="0.25">
      <c r="A4534" t="s">
        <v>10436</v>
      </c>
      <c r="B4534" t="str">
        <f>"3291"</f>
        <v>3291</v>
      </c>
      <c r="C4534" t="str">
        <f>"286563291"</f>
        <v>286563291</v>
      </c>
      <c r="D4534" t="s">
        <v>10437</v>
      </c>
      <c r="E4534" t="s">
        <v>35</v>
      </c>
      <c r="F4534" t="s">
        <v>93</v>
      </c>
      <c r="G4534" s="1">
        <v>21155</v>
      </c>
      <c r="H4534" s="1">
        <v>35071</v>
      </c>
      <c r="I4534" t="str">
        <f>"41"</f>
        <v>41</v>
      </c>
      <c r="J4534" t="s">
        <v>24</v>
      </c>
      <c r="K4534" t="s">
        <v>25</v>
      </c>
      <c r="L4534" t="s">
        <v>26</v>
      </c>
      <c r="M4534" t="s">
        <v>27</v>
      </c>
      <c r="N4534" s="1">
        <v>18629</v>
      </c>
      <c r="O4534">
        <v>0</v>
      </c>
      <c r="P4534">
        <v>0</v>
      </c>
      <c r="Q4534" t="s">
        <v>28</v>
      </c>
      <c r="R4534" t="s">
        <v>29</v>
      </c>
      <c r="S4534" t="s">
        <v>2066</v>
      </c>
      <c r="T4534" t="s">
        <v>2067</v>
      </c>
    </row>
    <row r="4535" spans="1:20" x14ac:dyDescent="0.25">
      <c r="A4535" t="s">
        <v>10438</v>
      </c>
      <c r="B4535" t="str">
        <f>"4361"</f>
        <v>4361</v>
      </c>
      <c r="C4535" t="str">
        <f>"269504361"</f>
        <v>269504361</v>
      </c>
      <c r="D4535" t="s">
        <v>10439</v>
      </c>
      <c r="E4535" t="s">
        <v>812</v>
      </c>
      <c r="F4535" t="s">
        <v>256</v>
      </c>
      <c r="G4535" s="1">
        <v>18486</v>
      </c>
      <c r="H4535" s="1">
        <v>35065</v>
      </c>
      <c r="I4535" t="str">
        <f>"05"</f>
        <v>05</v>
      </c>
      <c r="J4535" t="s">
        <v>58</v>
      </c>
      <c r="K4535" t="s">
        <v>510</v>
      </c>
      <c r="L4535" t="s">
        <v>37</v>
      </c>
      <c r="M4535" t="s">
        <v>257</v>
      </c>
      <c r="N4535" s="1">
        <v>41617</v>
      </c>
      <c r="O4535">
        <v>14110.72</v>
      </c>
      <c r="P4535">
        <v>3527.68</v>
      </c>
      <c r="Q4535" t="s">
        <v>37</v>
      </c>
      <c r="R4535" t="s">
        <v>71</v>
      </c>
      <c r="S4535" t="s">
        <v>522</v>
      </c>
      <c r="T4535" t="s">
        <v>523</v>
      </c>
    </row>
    <row r="4536" spans="1:20" x14ac:dyDescent="0.25">
      <c r="A4536" t="s">
        <v>10440</v>
      </c>
      <c r="B4536" t="str">
        <f>"1140"</f>
        <v>1140</v>
      </c>
      <c r="C4536" t="str">
        <f>"294761140"</f>
        <v>294761140</v>
      </c>
      <c r="D4536" t="s">
        <v>10109</v>
      </c>
      <c r="E4536" t="s">
        <v>900</v>
      </c>
      <c r="F4536" t="s">
        <v>6413</v>
      </c>
      <c r="G4536" s="1">
        <v>24976</v>
      </c>
      <c r="H4536" s="1">
        <v>35065</v>
      </c>
      <c r="I4536" t="str">
        <f t="shared" ref="I4536:I4541" si="109">"51"</f>
        <v>51</v>
      </c>
      <c r="J4536" t="s">
        <v>471</v>
      </c>
      <c r="K4536" t="s">
        <v>25</v>
      </c>
      <c r="L4536" t="s">
        <v>26</v>
      </c>
      <c r="M4536" t="s">
        <v>27</v>
      </c>
      <c r="N4536" s="1">
        <v>18629</v>
      </c>
      <c r="O4536">
        <v>0</v>
      </c>
      <c r="P4536">
        <v>0</v>
      </c>
      <c r="Q4536" t="s">
        <v>37</v>
      </c>
      <c r="R4536" t="s">
        <v>71</v>
      </c>
      <c r="S4536" t="s">
        <v>1494</v>
      </c>
      <c r="T4536" t="s">
        <v>1495</v>
      </c>
    </row>
    <row r="4537" spans="1:20" x14ac:dyDescent="0.25">
      <c r="A4537" t="s">
        <v>10441</v>
      </c>
      <c r="B4537" t="str">
        <f>"8467"</f>
        <v>8467</v>
      </c>
      <c r="C4537" t="str">
        <f>"278948467"</f>
        <v>278948467</v>
      </c>
      <c r="D4537" t="s">
        <v>1934</v>
      </c>
      <c r="E4537" t="s">
        <v>10442</v>
      </c>
      <c r="F4537" t="s">
        <v>28</v>
      </c>
      <c r="G4537" s="1">
        <v>17678</v>
      </c>
      <c r="H4537" s="1">
        <v>35047</v>
      </c>
      <c r="I4537" t="str">
        <f t="shared" si="109"/>
        <v>51</v>
      </c>
      <c r="J4537" t="s">
        <v>471</v>
      </c>
      <c r="K4537" t="s">
        <v>25</v>
      </c>
      <c r="L4537" t="s">
        <v>26</v>
      </c>
      <c r="M4537" t="s">
        <v>27</v>
      </c>
      <c r="N4537" s="1">
        <v>18629</v>
      </c>
      <c r="O4537">
        <v>0</v>
      </c>
      <c r="P4537">
        <v>0</v>
      </c>
      <c r="Q4537" t="s">
        <v>37</v>
      </c>
      <c r="R4537" t="s">
        <v>51</v>
      </c>
      <c r="S4537" s="2" t="s">
        <v>2626</v>
      </c>
      <c r="T4537" t="s">
        <v>2627</v>
      </c>
    </row>
    <row r="4538" spans="1:20" x14ac:dyDescent="0.25">
      <c r="A4538" t="s">
        <v>10443</v>
      </c>
      <c r="B4538" t="str">
        <f>"6186"</f>
        <v>6186</v>
      </c>
      <c r="C4538" t="str">
        <f>"278226186"</f>
        <v>278226186</v>
      </c>
      <c r="D4538" t="s">
        <v>3802</v>
      </c>
      <c r="E4538" t="s">
        <v>609</v>
      </c>
      <c r="F4538" t="s">
        <v>37</v>
      </c>
      <c r="G4538" s="1">
        <v>10310</v>
      </c>
      <c r="H4538" s="1">
        <v>34997</v>
      </c>
      <c r="I4538" t="str">
        <f t="shared" si="109"/>
        <v>51</v>
      </c>
      <c r="J4538" t="s">
        <v>471</v>
      </c>
      <c r="K4538" t="s">
        <v>25</v>
      </c>
      <c r="L4538" t="s">
        <v>26</v>
      </c>
      <c r="M4538" t="s">
        <v>27</v>
      </c>
      <c r="N4538" s="1">
        <v>18629</v>
      </c>
      <c r="O4538">
        <v>0</v>
      </c>
      <c r="P4538">
        <v>0</v>
      </c>
      <c r="Q4538" t="s">
        <v>28</v>
      </c>
      <c r="R4538" t="s">
        <v>71</v>
      </c>
      <c r="S4538" t="s">
        <v>180</v>
      </c>
      <c r="T4538" t="s">
        <v>181</v>
      </c>
    </row>
    <row r="4539" spans="1:20" x14ac:dyDescent="0.25">
      <c r="A4539" t="s">
        <v>10444</v>
      </c>
      <c r="B4539" t="str">
        <f>"4935"</f>
        <v>4935</v>
      </c>
      <c r="C4539" t="str">
        <f>"297524935"</f>
        <v>297524935</v>
      </c>
      <c r="D4539" t="s">
        <v>10445</v>
      </c>
      <c r="E4539" t="s">
        <v>2110</v>
      </c>
      <c r="F4539" t="s">
        <v>438</v>
      </c>
      <c r="G4539" s="1">
        <v>19290</v>
      </c>
      <c r="H4539" s="1">
        <v>34960</v>
      </c>
      <c r="I4539" t="str">
        <f t="shared" si="109"/>
        <v>51</v>
      </c>
      <c r="J4539" t="s">
        <v>471</v>
      </c>
      <c r="K4539" t="s">
        <v>25</v>
      </c>
      <c r="L4539" t="s">
        <v>26</v>
      </c>
      <c r="M4539" t="s">
        <v>27</v>
      </c>
      <c r="N4539" s="1">
        <v>18629</v>
      </c>
      <c r="O4539">
        <v>0</v>
      </c>
      <c r="P4539">
        <v>0</v>
      </c>
      <c r="Q4539" t="s">
        <v>37</v>
      </c>
      <c r="R4539" t="s">
        <v>51</v>
      </c>
      <c r="S4539" s="2" t="s">
        <v>2564</v>
      </c>
      <c r="T4539" t="s">
        <v>2565</v>
      </c>
    </row>
    <row r="4540" spans="1:20" x14ac:dyDescent="0.25">
      <c r="A4540" t="s">
        <v>10446</v>
      </c>
      <c r="B4540" t="str">
        <f>"1943"</f>
        <v>1943</v>
      </c>
      <c r="C4540" t="str">
        <f>"230151943"</f>
        <v>230151943</v>
      </c>
      <c r="D4540" t="s">
        <v>907</v>
      </c>
      <c r="E4540" t="s">
        <v>812</v>
      </c>
      <c r="F4540" t="s">
        <v>556</v>
      </c>
      <c r="G4540" s="1">
        <v>23126</v>
      </c>
      <c r="H4540" s="1">
        <v>34956</v>
      </c>
      <c r="I4540" t="str">
        <f t="shared" si="109"/>
        <v>51</v>
      </c>
      <c r="J4540" t="s">
        <v>471</v>
      </c>
      <c r="K4540" t="s">
        <v>25</v>
      </c>
      <c r="L4540" t="s">
        <v>26</v>
      </c>
      <c r="M4540" t="s">
        <v>27</v>
      </c>
      <c r="N4540" s="1">
        <v>18629</v>
      </c>
      <c r="O4540">
        <v>0</v>
      </c>
      <c r="P4540">
        <v>0</v>
      </c>
      <c r="Q4540" t="s">
        <v>37</v>
      </c>
      <c r="R4540" t="s">
        <v>29</v>
      </c>
      <c r="S4540" t="s">
        <v>871</v>
      </c>
      <c r="T4540" t="s">
        <v>872</v>
      </c>
    </row>
    <row r="4541" spans="1:20" x14ac:dyDescent="0.25">
      <c r="A4541" t="s">
        <v>10447</v>
      </c>
      <c r="B4541" t="str">
        <f>"5591"</f>
        <v>5591</v>
      </c>
      <c r="C4541" t="str">
        <f>"300425591"</f>
        <v>300425591</v>
      </c>
      <c r="D4541" t="s">
        <v>10448</v>
      </c>
      <c r="E4541" t="s">
        <v>1981</v>
      </c>
      <c r="F4541" t="s">
        <v>93</v>
      </c>
      <c r="G4541" s="1">
        <v>17124</v>
      </c>
      <c r="H4541" s="1">
        <v>34953</v>
      </c>
      <c r="I4541" t="str">
        <f t="shared" si="109"/>
        <v>51</v>
      </c>
      <c r="J4541" t="s">
        <v>471</v>
      </c>
      <c r="K4541" t="s">
        <v>25</v>
      </c>
      <c r="L4541" t="s">
        <v>26</v>
      </c>
      <c r="M4541" t="s">
        <v>27</v>
      </c>
      <c r="N4541" s="1">
        <v>18629</v>
      </c>
      <c r="O4541">
        <v>0</v>
      </c>
      <c r="P4541">
        <v>0</v>
      </c>
      <c r="Q4541" t="s">
        <v>37</v>
      </c>
      <c r="R4541" t="s">
        <v>71</v>
      </c>
      <c r="S4541" t="s">
        <v>157</v>
      </c>
      <c r="T4541" t="s">
        <v>158</v>
      </c>
    </row>
    <row r="4542" spans="1:20" x14ac:dyDescent="0.25">
      <c r="A4542" t="s">
        <v>10449</v>
      </c>
      <c r="B4542" t="str">
        <f>"3724"</f>
        <v>3724</v>
      </c>
      <c r="C4542" t="str">
        <f>"294623724"</f>
        <v>294623724</v>
      </c>
      <c r="D4542" t="s">
        <v>10450</v>
      </c>
      <c r="E4542" t="s">
        <v>1808</v>
      </c>
      <c r="F4542" t="s">
        <v>93</v>
      </c>
      <c r="G4542" s="1">
        <v>21140</v>
      </c>
      <c r="H4542" s="1">
        <v>34947</v>
      </c>
      <c r="I4542" t="str">
        <f>"20"</f>
        <v>20</v>
      </c>
      <c r="J4542" t="s">
        <v>123</v>
      </c>
      <c r="K4542" t="s">
        <v>98</v>
      </c>
      <c r="L4542" t="s">
        <v>37</v>
      </c>
      <c r="M4542" t="s">
        <v>99</v>
      </c>
      <c r="N4542" s="1">
        <v>41631</v>
      </c>
      <c r="O4542">
        <v>14801.82</v>
      </c>
      <c r="P4542">
        <v>3700.4</v>
      </c>
      <c r="Q4542" t="s">
        <v>37</v>
      </c>
      <c r="R4542" t="s">
        <v>71</v>
      </c>
      <c r="S4542" t="s">
        <v>3635</v>
      </c>
      <c r="T4542" t="s">
        <v>3636</v>
      </c>
    </row>
    <row r="4543" spans="1:20" x14ac:dyDescent="0.25">
      <c r="A4543" t="s">
        <v>10451</v>
      </c>
      <c r="B4543" t="str">
        <f>"6637"</f>
        <v>6637</v>
      </c>
      <c r="C4543" t="str">
        <f>"230496637"</f>
        <v>230496637</v>
      </c>
      <c r="D4543" t="s">
        <v>10452</v>
      </c>
      <c r="E4543" t="s">
        <v>1864</v>
      </c>
      <c r="F4543" t="s">
        <v>190</v>
      </c>
      <c r="G4543" s="1">
        <v>20957</v>
      </c>
      <c r="H4543" s="1">
        <v>34947</v>
      </c>
      <c r="I4543" t="str">
        <f>"20"</f>
        <v>20</v>
      </c>
      <c r="J4543" t="s">
        <v>123</v>
      </c>
      <c r="K4543" t="s">
        <v>98</v>
      </c>
      <c r="L4543" t="s">
        <v>37</v>
      </c>
      <c r="M4543" t="s">
        <v>257</v>
      </c>
      <c r="N4543" s="1">
        <v>41631</v>
      </c>
      <c r="O4543">
        <v>10753.16</v>
      </c>
      <c r="P4543">
        <v>2688.4</v>
      </c>
      <c r="Q4543" t="s">
        <v>28</v>
      </c>
      <c r="R4543" t="s">
        <v>29</v>
      </c>
      <c r="S4543" t="s">
        <v>733</v>
      </c>
      <c r="T4543" t="s">
        <v>734</v>
      </c>
    </row>
    <row r="4544" spans="1:20" x14ac:dyDescent="0.25">
      <c r="A4544" t="s">
        <v>10453</v>
      </c>
      <c r="B4544" t="str">
        <f>"5654"</f>
        <v>5654</v>
      </c>
      <c r="C4544" t="str">
        <f>"261495654"</f>
        <v>261495654</v>
      </c>
      <c r="D4544" t="s">
        <v>2952</v>
      </c>
      <c r="E4544" t="s">
        <v>263</v>
      </c>
      <c r="F4544" t="s">
        <v>97</v>
      </c>
      <c r="G4544" s="1">
        <v>21777</v>
      </c>
      <c r="H4544" s="1">
        <v>34947</v>
      </c>
      <c r="I4544" t="str">
        <f>"20"</f>
        <v>20</v>
      </c>
      <c r="J4544" t="s">
        <v>123</v>
      </c>
      <c r="K4544" t="s">
        <v>98</v>
      </c>
      <c r="L4544" t="s">
        <v>37</v>
      </c>
      <c r="M4544" t="s">
        <v>257</v>
      </c>
      <c r="N4544" s="1">
        <v>41631</v>
      </c>
      <c r="O4544">
        <v>10753.16</v>
      </c>
      <c r="P4544">
        <v>2688.4</v>
      </c>
      <c r="Q4544" t="s">
        <v>28</v>
      </c>
      <c r="R4544" t="s">
        <v>71</v>
      </c>
      <c r="S4544" t="s">
        <v>2458</v>
      </c>
      <c r="T4544" t="s">
        <v>2459</v>
      </c>
    </row>
    <row r="4545" spans="1:20" x14ac:dyDescent="0.25">
      <c r="A4545" t="s">
        <v>10454</v>
      </c>
      <c r="B4545" t="str">
        <f>"5746"</f>
        <v>5746</v>
      </c>
      <c r="C4545" t="str">
        <f>"300605746"</f>
        <v>300605746</v>
      </c>
      <c r="D4545" t="s">
        <v>10455</v>
      </c>
      <c r="E4545" t="s">
        <v>164</v>
      </c>
      <c r="F4545" t="s">
        <v>26</v>
      </c>
      <c r="G4545" s="1">
        <v>23105</v>
      </c>
      <c r="H4545" s="1">
        <v>34947</v>
      </c>
      <c r="I4545" t="str">
        <f>"20"</f>
        <v>20</v>
      </c>
      <c r="J4545" t="s">
        <v>123</v>
      </c>
      <c r="K4545" t="s">
        <v>98</v>
      </c>
      <c r="L4545" t="s">
        <v>37</v>
      </c>
      <c r="M4545" t="s">
        <v>99</v>
      </c>
      <c r="N4545" s="1">
        <v>41631</v>
      </c>
      <c r="O4545">
        <v>14801.82</v>
      </c>
      <c r="P4545">
        <v>3700.4</v>
      </c>
      <c r="Q4545" t="s">
        <v>37</v>
      </c>
      <c r="R4545" t="s">
        <v>71</v>
      </c>
      <c r="S4545" t="s">
        <v>157</v>
      </c>
      <c r="T4545" t="s">
        <v>158</v>
      </c>
    </row>
    <row r="4546" spans="1:20" x14ac:dyDescent="0.25">
      <c r="A4546" t="s">
        <v>10456</v>
      </c>
      <c r="B4546" t="str">
        <f>"7082"</f>
        <v>7082</v>
      </c>
      <c r="C4546" t="str">
        <f>"295627082"</f>
        <v>295627082</v>
      </c>
      <c r="D4546" t="s">
        <v>10457</v>
      </c>
      <c r="E4546" t="s">
        <v>263</v>
      </c>
      <c r="F4546" t="s">
        <v>44</v>
      </c>
      <c r="G4546" s="1">
        <v>24113</v>
      </c>
      <c r="H4546" s="1">
        <v>34895</v>
      </c>
      <c r="I4546" t="str">
        <f>"51"</f>
        <v>51</v>
      </c>
      <c r="J4546" t="s">
        <v>471</v>
      </c>
      <c r="K4546" t="s">
        <v>25</v>
      </c>
      <c r="L4546" t="s">
        <v>26</v>
      </c>
      <c r="M4546" t="s">
        <v>27</v>
      </c>
      <c r="N4546" s="1">
        <v>18629</v>
      </c>
      <c r="O4546">
        <v>0</v>
      </c>
      <c r="P4546">
        <v>0</v>
      </c>
      <c r="Q4546" t="s">
        <v>28</v>
      </c>
      <c r="R4546" t="s">
        <v>71</v>
      </c>
      <c r="S4546" t="s">
        <v>6724</v>
      </c>
      <c r="T4546" t="s">
        <v>6725</v>
      </c>
    </row>
    <row r="4547" spans="1:20" x14ac:dyDescent="0.25">
      <c r="A4547" t="s">
        <v>10458</v>
      </c>
      <c r="B4547" t="str">
        <f>"3745"</f>
        <v>3745</v>
      </c>
      <c r="C4547" t="str">
        <f>"277503745"</f>
        <v>277503745</v>
      </c>
      <c r="D4547" t="s">
        <v>773</v>
      </c>
      <c r="E4547" t="s">
        <v>856</v>
      </c>
      <c r="G4547" s="1">
        <v>18306</v>
      </c>
      <c r="H4547" s="1">
        <v>34881</v>
      </c>
      <c r="I4547" t="str">
        <f>"12"</f>
        <v>12</v>
      </c>
      <c r="J4547" t="s">
        <v>245</v>
      </c>
      <c r="K4547" t="s">
        <v>98</v>
      </c>
      <c r="L4547" t="s">
        <v>37</v>
      </c>
      <c r="M4547" t="s">
        <v>257</v>
      </c>
      <c r="N4547" s="1">
        <v>41617</v>
      </c>
      <c r="O4547">
        <v>10753.08</v>
      </c>
      <c r="P4547">
        <v>2688.4</v>
      </c>
      <c r="Q4547" t="s">
        <v>37</v>
      </c>
      <c r="R4547" t="s">
        <v>29</v>
      </c>
      <c r="S4547" t="s">
        <v>1745</v>
      </c>
      <c r="T4547" t="s">
        <v>1746</v>
      </c>
    </row>
    <row r="4548" spans="1:20" x14ac:dyDescent="0.25">
      <c r="A4548" t="s">
        <v>10459</v>
      </c>
      <c r="B4548" t="str">
        <f>"9994"</f>
        <v>9994</v>
      </c>
      <c r="C4548" t="str">
        <f>"305589994"</f>
        <v>305589994</v>
      </c>
      <c r="D4548" t="s">
        <v>1798</v>
      </c>
      <c r="E4548" t="s">
        <v>33</v>
      </c>
      <c r="F4548" t="s">
        <v>44</v>
      </c>
      <c r="G4548" s="1">
        <v>18786</v>
      </c>
      <c r="H4548" s="1">
        <v>34813</v>
      </c>
      <c r="I4548" t="str">
        <f>"08"</f>
        <v>08</v>
      </c>
      <c r="J4548" t="s">
        <v>265</v>
      </c>
      <c r="K4548" t="s">
        <v>175</v>
      </c>
      <c r="L4548" t="s">
        <v>37</v>
      </c>
      <c r="M4548" t="s">
        <v>257</v>
      </c>
      <c r="N4548" s="1">
        <v>41617</v>
      </c>
      <c r="O4548">
        <v>11847.94</v>
      </c>
      <c r="P4548">
        <v>2961.92</v>
      </c>
      <c r="Q4548" t="s">
        <v>28</v>
      </c>
      <c r="R4548" t="s">
        <v>51</v>
      </c>
      <c r="S4548" t="s">
        <v>993</v>
      </c>
      <c r="T4548" t="s">
        <v>994</v>
      </c>
    </row>
    <row r="4549" spans="1:20" x14ac:dyDescent="0.25">
      <c r="A4549" t="s">
        <v>10460</v>
      </c>
      <c r="B4549" t="str">
        <f>"4481"</f>
        <v>4481</v>
      </c>
      <c r="C4549" t="str">
        <f>"271724481"</f>
        <v>271724481</v>
      </c>
      <c r="D4549" t="s">
        <v>10461</v>
      </c>
      <c r="E4549" t="s">
        <v>10462</v>
      </c>
      <c r="F4549" t="s">
        <v>5656</v>
      </c>
      <c r="G4549" s="1">
        <v>23455</v>
      </c>
      <c r="H4549" s="1">
        <v>34806</v>
      </c>
      <c r="I4549" t="str">
        <f>"52"</f>
        <v>52</v>
      </c>
      <c r="J4549" t="s">
        <v>330</v>
      </c>
      <c r="K4549" t="s">
        <v>25</v>
      </c>
      <c r="L4549" t="s">
        <v>26</v>
      </c>
      <c r="M4549" t="s">
        <v>27</v>
      </c>
      <c r="N4549" s="1">
        <v>18629</v>
      </c>
      <c r="O4549">
        <v>0</v>
      </c>
      <c r="P4549">
        <v>0</v>
      </c>
      <c r="Q4549" t="s">
        <v>37</v>
      </c>
      <c r="R4549" t="s">
        <v>71</v>
      </c>
      <c r="S4549" t="s">
        <v>377</v>
      </c>
      <c r="T4549" t="s">
        <v>378</v>
      </c>
    </row>
    <row r="4550" spans="1:20" x14ac:dyDescent="0.25">
      <c r="A4550" t="s">
        <v>10463</v>
      </c>
      <c r="B4550" t="str">
        <f>"2055"</f>
        <v>2055</v>
      </c>
      <c r="C4550" t="str">
        <f>"297362055"</f>
        <v>297362055</v>
      </c>
      <c r="D4550" t="s">
        <v>1200</v>
      </c>
      <c r="E4550" t="s">
        <v>649</v>
      </c>
      <c r="F4550" t="s">
        <v>44</v>
      </c>
      <c r="G4550" s="1">
        <v>15534</v>
      </c>
      <c r="H4550" s="1">
        <v>34785</v>
      </c>
      <c r="I4550" t="str">
        <f>"51"</f>
        <v>51</v>
      </c>
      <c r="J4550" t="s">
        <v>471</v>
      </c>
      <c r="K4550" t="s">
        <v>25</v>
      </c>
      <c r="L4550" t="s">
        <v>26</v>
      </c>
      <c r="M4550" t="s">
        <v>27</v>
      </c>
      <c r="N4550" s="1">
        <v>18629</v>
      </c>
      <c r="O4550">
        <v>0</v>
      </c>
      <c r="P4550">
        <v>0</v>
      </c>
      <c r="Q4550" t="s">
        <v>28</v>
      </c>
      <c r="R4550" t="s">
        <v>71</v>
      </c>
      <c r="S4550" t="s">
        <v>2458</v>
      </c>
      <c r="T4550" t="s">
        <v>2459</v>
      </c>
    </row>
    <row r="4551" spans="1:20" x14ac:dyDescent="0.25">
      <c r="A4551" t="s">
        <v>10464</v>
      </c>
      <c r="B4551" t="str">
        <f>"3634"</f>
        <v>3634</v>
      </c>
      <c r="C4551" t="str">
        <f>"282543634"</f>
        <v>282543634</v>
      </c>
      <c r="D4551" t="s">
        <v>4266</v>
      </c>
      <c r="E4551" t="s">
        <v>10465</v>
      </c>
      <c r="G4551" s="1">
        <v>20109</v>
      </c>
      <c r="H4551" s="1">
        <v>34771</v>
      </c>
      <c r="I4551" t="str">
        <f>"33"</f>
        <v>33</v>
      </c>
      <c r="J4551" t="s">
        <v>45</v>
      </c>
      <c r="K4551" t="s">
        <v>25</v>
      </c>
      <c r="L4551" t="s">
        <v>26</v>
      </c>
      <c r="M4551" t="s">
        <v>27</v>
      </c>
      <c r="N4551" s="1">
        <v>18629</v>
      </c>
      <c r="O4551">
        <v>0</v>
      </c>
      <c r="P4551">
        <v>0</v>
      </c>
      <c r="Q4551" t="s">
        <v>37</v>
      </c>
      <c r="R4551" t="s">
        <v>51</v>
      </c>
      <c r="S4551" t="s">
        <v>795</v>
      </c>
      <c r="T4551" t="s">
        <v>796</v>
      </c>
    </row>
    <row r="4552" spans="1:20" x14ac:dyDescent="0.25">
      <c r="A4552" t="s">
        <v>10466</v>
      </c>
      <c r="B4552" t="str">
        <f>"1009"</f>
        <v>1009</v>
      </c>
      <c r="C4552" t="str">
        <f>"269561009"</f>
        <v>269561009</v>
      </c>
      <c r="D4552" t="s">
        <v>10467</v>
      </c>
      <c r="E4552" t="s">
        <v>593</v>
      </c>
      <c r="F4552" t="s">
        <v>5245</v>
      </c>
      <c r="G4552" s="1">
        <v>21235</v>
      </c>
      <c r="H4552" s="1">
        <v>34764</v>
      </c>
      <c r="I4552" t="str">
        <f>"52"</f>
        <v>52</v>
      </c>
      <c r="J4552" t="s">
        <v>330</v>
      </c>
      <c r="K4552" t="s">
        <v>25</v>
      </c>
      <c r="L4552" t="s">
        <v>26</v>
      </c>
      <c r="M4552" t="s">
        <v>27</v>
      </c>
      <c r="N4552" s="1">
        <v>18629</v>
      </c>
      <c r="O4552">
        <v>0</v>
      </c>
      <c r="P4552">
        <v>0</v>
      </c>
      <c r="Q4552" t="s">
        <v>28</v>
      </c>
      <c r="R4552" t="s">
        <v>71</v>
      </c>
      <c r="S4552" t="s">
        <v>377</v>
      </c>
      <c r="T4552" t="s">
        <v>378</v>
      </c>
    </row>
    <row r="4553" spans="1:20" x14ac:dyDescent="0.25">
      <c r="A4553" t="s">
        <v>10468</v>
      </c>
      <c r="B4553" t="str">
        <f>"6856"</f>
        <v>6856</v>
      </c>
      <c r="C4553" t="str">
        <f>"269286856"</f>
        <v>269286856</v>
      </c>
      <c r="D4553" t="s">
        <v>2938</v>
      </c>
      <c r="E4553" t="s">
        <v>1767</v>
      </c>
      <c r="G4553" s="1">
        <v>12244</v>
      </c>
      <c r="H4553" s="1">
        <v>34764</v>
      </c>
      <c r="I4553" t="str">
        <f>"33"</f>
        <v>33</v>
      </c>
      <c r="J4553" t="s">
        <v>45</v>
      </c>
      <c r="K4553" t="s">
        <v>25</v>
      </c>
      <c r="L4553" t="s">
        <v>26</v>
      </c>
      <c r="M4553" t="s">
        <v>27</v>
      </c>
      <c r="N4553" s="1">
        <v>18629</v>
      </c>
      <c r="O4553">
        <v>0</v>
      </c>
      <c r="P4553">
        <v>0</v>
      </c>
      <c r="Q4553" t="s">
        <v>37</v>
      </c>
      <c r="R4553" t="s">
        <v>51</v>
      </c>
      <c r="S4553" t="s">
        <v>795</v>
      </c>
      <c r="T4553" t="s">
        <v>796</v>
      </c>
    </row>
    <row r="4554" spans="1:20" x14ac:dyDescent="0.25">
      <c r="A4554" t="s">
        <v>10469</v>
      </c>
      <c r="B4554" t="str">
        <f>"0108"</f>
        <v>0108</v>
      </c>
      <c r="C4554" t="str">
        <f>"291540108"</f>
        <v>291540108</v>
      </c>
      <c r="D4554" t="s">
        <v>1911</v>
      </c>
      <c r="E4554" t="s">
        <v>10470</v>
      </c>
      <c r="F4554" t="s">
        <v>93</v>
      </c>
      <c r="G4554" s="1">
        <v>20121</v>
      </c>
      <c r="H4554" s="1">
        <v>34743</v>
      </c>
      <c r="I4554" t="str">
        <f>"01"</f>
        <v>01</v>
      </c>
      <c r="J4554" t="s">
        <v>116</v>
      </c>
      <c r="K4554" t="s">
        <v>510</v>
      </c>
      <c r="L4554" t="s">
        <v>37</v>
      </c>
      <c r="M4554" t="s">
        <v>99</v>
      </c>
      <c r="N4554" s="1">
        <v>41617</v>
      </c>
      <c r="O4554">
        <v>19521.84</v>
      </c>
      <c r="P4554">
        <v>4880.46</v>
      </c>
      <c r="Q4554" t="s">
        <v>28</v>
      </c>
      <c r="R4554" t="s">
        <v>29</v>
      </c>
      <c r="S4554" t="s">
        <v>6245</v>
      </c>
      <c r="T4554" t="s">
        <v>6246</v>
      </c>
    </row>
    <row r="4555" spans="1:20" x14ac:dyDescent="0.25">
      <c r="A4555" t="s">
        <v>10471</v>
      </c>
      <c r="B4555" t="str">
        <f>"0974"</f>
        <v>0974</v>
      </c>
      <c r="C4555" t="str">
        <f>"296420974"</f>
        <v>296420974</v>
      </c>
      <c r="D4555" t="s">
        <v>10472</v>
      </c>
      <c r="E4555" t="s">
        <v>1639</v>
      </c>
      <c r="F4555" t="s">
        <v>93</v>
      </c>
      <c r="G4555" s="1">
        <v>17840</v>
      </c>
      <c r="H4555" s="1">
        <v>34723</v>
      </c>
      <c r="I4555" t="str">
        <f>"33"</f>
        <v>33</v>
      </c>
      <c r="J4555" t="s">
        <v>45</v>
      </c>
      <c r="K4555" t="s">
        <v>25</v>
      </c>
      <c r="L4555" t="s">
        <v>26</v>
      </c>
      <c r="M4555" t="s">
        <v>27</v>
      </c>
      <c r="N4555" s="1">
        <v>18629</v>
      </c>
      <c r="O4555">
        <v>0</v>
      </c>
      <c r="P4555">
        <v>0</v>
      </c>
      <c r="Q4555" t="s">
        <v>28</v>
      </c>
      <c r="R4555" t="s">
        <v>71</v>
      </c>
      <c r="S4555" t="s">
        <v>955</v>
      </c>
      <c r="T4555" t="s">
        <v>956</v>
      </c>
    </row>
    <row r="4556" spans="1:20" x14ac:dyDescent="0.25">
      <c r="A4556" t="s">
        <v>10473</v>
      </c>
      <c r="B4556" t="str">
        <f>"7549"</f>
        <v>7549</v>
      </c>
      <c r="C4556" t="str">
        <f>"277527549"</f>
        <v>277527549</v>
      </c>
      <c r="D4556" t="s">
        <v>10474</v>
      </c>
      <c r="E4556" t="s">
        <v>1032</v>
      </c>
      <c r="F4556" t="s">
        <v>329</v>
      </c>
      <c r="G4556" s="1">
        <v>19277</v>
      </c>
      <c r="H4556" s="1">
        <v>34708</v>
      </c>
      <c r="I4556" t="str">
        <f>"51"</f>
        <v>51</v>
      </c>
      <c r="J4556" t="s">
        <v>471</v>
      </c>
      <c r="K4556" t="s">
        <v>25</v>
      </c>
      <c r="L4556" t="s">
        <v>26</v>
      </c>
      <c r="M4556" t="s">
        <v>27</v>
      </c>
      <c r="N4556" s="1">
        <v>18629</v>
      </c>
      <c r="O4556">
        <v>0</v>
      </c>
      <c r="P4556">
        <v>0</v>
      </c>
      <c r="Q4556" t="s">
        <v>28</v>
      </c>
      <c r="R4556" t="s">
        <v>71</v>
      </c>
      <c r="S4556" t="s">
        <v>923</v>
      </c>
      <c r="T4556" t="s">
        <v>924</v>
      </c>
    </row>
    <row r="4557" spans="1:20" x14ac:dyDescent="0.25">
      <c r="A4557" t="s">
        <v>10475</v>
      </c>
      <c r="B4557" t="str">
        <f>"1723"</f>
        <v>1723</v>
      </c>
      <c r="C4557" t="str">
        <f>"356161723"</f>
        <v>356161723</v>
      </c>
      <c r="D4557" t="s">
        <v>10476</v>
      </c>
      <c r="E4557" t="s">
        <v>197</v>
      </c>
      <c r="F4557" t="s">
        <v>345</v>
      </c>
      <c r="G4557" s="1">
        <v>8629</v>
      </c>
      <c r="H4557" s="1">
        <v>34708</v>
      </c>
      <c r="I4557" t="str">
        <f>"51"</f>
        <v>51</v>
      </c>
      <c r="J4557" t="s">
        <v>471</v>
      </c>
      <c r="K4557" t="s">
        <v>25</v>
      </c>
      <c r="L4557" t="s">
        <v>26</v>
      </c>
      <c r="M4557" t="s">
        <v>27</v>
      </c>
      <c r="N4557" s="1">
        <v>18629</v>
      </c>
      <c r="O4557">
        <v>0</v>
      </c>
      <c r="P4557">
        <v>0</v>
      </c>
      <c r="Q4557" t="s">
        <v>28</v>
      </c>
      <c r="R4557" t="s">
        <v>71</v>
      </c>
      <c r="S4557" t="s">
        <v>808</v>
      </c>
      <c r="T4557" t="s">
        <v>809</v>
      </c>
    </row>
    <row r="4558" spans="1:20" x14ac:dyDescent="0.25">
      <c r="A4558" t="s">
        <v>10477</v>
      </c>
      <c r="B4558" t="str">
        <f>"3948"</f>
        <v>3948</v>
      </c>
      <c r="C4558" t="str">
        <f>"271743948"</f>
        <v>271743948</v>
      </c>
      <c r="D4558" t="s">
        <v>10478</v>
      </c>
      <c r="E4558" t="s">
        <v>9312</v>
      </c>
      <c r="F4558" t="s">
        <v>174</v>
      </c>
      <c r="G4558" s="1">
        <v>22779</v>
      </c>
      <c r="H4558" s="1">
        <v>34702</v>
      </c>
      <c r="I4558" t="str">
        <f>"20"</f>
        <v>20</v>
      </c>
      <c r="J4558" t="s">
        <v>123</v>
      </c>
      <c r="K4558" t="s">
        <v>98</v>
      </c>
      <c r="L4558" t="s">
        <v>37</v>
      </c>
      <c r="M4558" t="s">
        <v>257</v>
      </c>
      <c r="N4558" s="1">
        <v>41631</v>
      </c>
      <c r="O4558">
        <v>10753.16</v>
      </c>
      <c r="P4558">
        <v>2688.4</v>
      </c>
      <c r="Q4558" t="s">
        <v>28</v>
      </c>
      <c r="R4558" t="s">
        <v>29</v>
      </c>
      <c r="S4558" t="s">
        <v>7869</v>
      </c>
      <c r="T4558" t="s">
        <v>7870</v>
      </c>
    </row>
    <row r="4559" spans="1:20" x14ac:dyDescent="0.25">
      <c r="A4559" t="s">
        <v>10479</v>
      </c>
      <c r="B4559" t="str">
        <f>"8745"</f>
        <v>8745</v>
      </c>
      <c r="C4559" t="str">
        <f>"281368745"</f>
        <v>281368745</v>
      </c>
      <c r="D4559" t="s">
        <v>10480</v>
      </c>
      <c r="E4559" t="s">
        <v>609</v>
      </c>
      <c r="F4559" t="s">
        <v>93</v>
      </c>
      <c r="G4559" s="1">
        <v>15628</v>
      </c>
      <c r="H4559" s="1">
        <v>34701</v>
      </c>
      <c r="I4559" t="str">
        <f>"51"</f>
        <v>51</v>
      </c>
      <c r="J4559" t="s">
        <v>471</v>
      </c>
      <c r="K4559" t="s">
        <v>25</v>
      </c>
      <c r="L4559" t="s">
        <v>26</v>
      </c>
      <c r="M4559" t="s">
        <v>27</v>
      </c>
      <c r="N4559" s="1">
        <v>18629</v>
      </c>
      <c r="O4559">
        <v>0</v>
      </c>
      <c r="P4559">
        <v>0</v>
      </c>
      <c r="Q4559" t="s">
        <v>28</v>
      </c>
      <c r="R4559" t="s">
        <v>29</v>
      </c>
      <c r="S4559" t="s">
        <v>3719</v>
      </c>
      <c r="T4559" t="s">
        <v>3720</v>
      </c>
    </row>
    <row r="4560" spans="1:20" x14ac:dyDescent="0.25">
      <c r="A4560" t="s">
        <v>10481</v>
      </c>
      <c r="B4560" t="str">
        <f>"8694"</f>
        <v>8694</v>
      </c>
      <c r="C4560" t="str">
        <f>"278748694"</f>
        <v>278748694</v>
      </c>
      <c r="D4560" t="s">
        <v>1041</v>
      </c>
      <c r="E4560" t="s">
        <v>308</v>
      </c>
      <c r="F4560" t="s">
        <v>28</v>
      </c>
      <c r="G4560" s="1">
        <v>23007</v>
      </c>
      <c r="H4560" s="1">
        <v>34633</v>
      </c>
      <c r="I4560" t="str">
        <f>"51"</f>
        <v>51</v>
      </c>
      <c r="J4560" t="s">
        <v>471</v>
      </c>
      <c r="K4560" t="s">
        <v>25</v>
      </c>
      <c r="L4560" t="s">
        <v>26</v>
      </c>
      <c r="M4560" t="s">
        <v>27</v>
      </c>
      <c r="N4560" s="1">
        <v>18629</v>
      </c>
      <c r="O4560">
        <v>0</v>
      </c>
      <c r="P4560">
        <v>0</v>
      </c>
      <c r="Q4560" t="s">
        <v>37</v>
      </c>
      <c r="R4560" t="s">
        <v>29</v>
      </c>
      <c r="S4560" t="s">
        <v>1422</v>
      </c>
      <c r="T4560" t="s">
        <v>1423</v>
      </c>
    </row>
    <row r="4561" spans="1:20" x14ac:dyDescent="0.25">
      <c r="A4561" t="s">
        <v>10482</v>
      </c>
      <c r="B4561" t="str">
        <f>"7999"</f>
        <v>7999</v>
      </c>
      <c r="C4561" t="str">
        <f>"296907999"</f>
        <v>296907999</v>
      </c>
      <c r="D4561" t="s">
        <v>10483</v>
      </c>
      <c r="E4561" t="s">
        <v>10484</v>
      </c>
      <c r="G4561" s="1">
        <v>17310</v>
      </c>
      <c r="H4561" s="1">
        <v>34617</v>
      </c>
      <c r="I4561" t="str">
        <f>"51"</f>
        <v>51</v>
      </c>
      <c r="J4561" t="s">
        <v>471</v>
      </c>
      <c r="K4561" t="s">
        <v>25</v>
      </c>
      <c r="L4561" t="s">
        <v>26</v>
      </c>
      <c r="M4561" t="s">
        <v>27</v>
      </c>
      <c r="N4561" s="1">
        <v>18629</v>
      </c>
      <c r="O4561">
        <v>0</v>
      </c>
      <c r="P4561">
        <v>0</v>
      </c>
      <c r="Q4561" t="s">
        <v>28</v>
      </c>
      <c r="R4561" t="s">
        <v>29</v>
      </c>
      <c r="S4561" t="s">
        <v>1671</v>
      </c>
      <c r="T4561" t="s">
        <v>1672</v>
      </c>
    </row>
    <row r="4562" spans="1:20" x14ac:dyDescent="0.25">
      <c r="A4562" t="s">
        <v>10485</v>
      </c>
      <c r="B4562" t="str">
        <f>"4335"</f>
        <v>4335</v>
      </c>
      <c r="C4562" t="str">
        <f>"583724335"</f>
        <v>583724335</v>
      </c>
      <c r="D4562" t="s">
        <v>10486</v>
      </c>
      <c r="E4562" t="s">
        <v>532</v>
      </c>
      <c r="F4562" t="s">
        <v>44</v>
      </c>
      <c r="G4562" s="1">
        <v>20036</v>
      </c>
      <c r="H4562" s="1">
        <v>34608</v>
      </c>
      <c r="I4562" t="str">
        <f>"50"</f>
        <v>50</v>
      </c>
      <c r="J4562" t="s">
        <v>208</v>
      </c>
      <c r="K4562" t="s">
        <v>25</v>
      </c>
      <c r="L4562" t="s">
        <v>26</v>
      </c>
      <c r="M4562" t="s">
        <v>27</v>
      </c>
      <c r="N4562" s="1">
        <v>18629</v>
      </c>
      <c r="O4562">
        <v>0</v>
      </c>
      <c r="P4562">
        <v>0</v>
      </c>
      <c r="Q4562" t="s">
        <v>28</v>
      </c>
      <c r="R4562" t="s">
        <v>71</v>
      </c>
      <c r="S4562" t="s">
        <v>209</v>
      </c>
      <c r="T4562" t="s">
        <v>210</v>
      </c>
    </row>
    <row r="4563" spans="1:20" x14ac:dyDescent="0.25">
      <c r="A4563" t="s">
        <v>10487</v>
      </c>
      <c r="B4563" t="str">
        <f>"4112"</f>
        <v>4112</v>
      </c>
      <c r="C4563" t="str">
        <f>"280444112"</f>
        <v>280444112</v>
      </c>
      <c r="D4563" t="s">
        <v>10488</v>
      </c>
      <c r="E4563" t="s">
        <v>184</v>
      </c>
      <c r="F4563" t="s">
        <v>414</v>
      </c>
      <c r="G4563" s="1">
        <v>18197</v>
      </c>
      <c r="H4563" s="1">
        <v>34600</v>
      </c>
      <c r="I4563" t="str">
        <f>"41"</f>
        <v>41</v>
      </c>
      <c r="J4563" t="s">
        <v>24</v>
      </c>
      <c r="K4563" t="s">
        <v>25</v>
      </c>
      <c r="L4563" t="s">
        <v>26</v>
      </c>
      <c r="M4563" t="s">
        <v>27</v>
      </c>
      <c r="N4563" s="1">
        <v>18629</v>
      </c>
      <c r="O4563">
        <v>0</v>
      </c>
      <c r="P4563">
        <v>0</v>
      </c>
      <c r="Q4563" t="s">
        <v>37</v>
      </c>
      <c r="R4563" t="s">
        <v>29</v>
      </c>
      <c r="S4563" t="s">
        <v>1422</v>
      </c>
      <c r="T4563" t="s">
        <v>1423</v>
      </c>
    </row>
    <row r="4564" spans="1:20" x14ac:dyDescent="0.25">
      <c r="A4564" t="s">
        <v>10489</v>
      </c>
      <c r="B4564" t="str">
        <f>"8773"</f>
        <v>8773</v>
      </c>
      <c r="C4564" t="str">
        <f>"205328773"</f>
        <v>205328773</v>
      </c>
      <c r="D4564" t="s">
        <v>10490</v>
      </c>
      <c r="E4564" t="s">
        <v>5071</v>
      </c>
      <c r="G4564" s="1">
        <v>15493</v>
      </c>
      <c r="H4564" s="1">
        <v>34597</v>
      </c>
      <c r="I4564" t="str">
        <f>"52"</f>
        <v>52</v>
      </c>
      <c r="J4564" t="s">
        <v>330</v>
      </c>
      <c r="K4564" t="s">
        <v>25</v>
      </c>
      <c r="L4564" t="s">
        <v>26</v>
      </c>
      <c r="M4564" t="s">
        <v>27</v>
      </c>
      <c r="N4564" s="1">
        <v>18629</v>
      </c>
      <c r="O4564">
        <v>0</v>
      </c>
      <c r="P4564">
        <v>0</v>
      </c>
      <c r="Q4564" t="s">
        <v>37</v>
      </c>
      <c r="R4564" t="s">
        <v>71</v>
      </c>
      <c r="S4564" t="s">
        <v>1774</v>
      </c>
      <c r="T4564" t="s">
        <v>1775</v>
      </c>
    </row>
    <row r="4565" spans="1:20" x14ac:dyDescent="0.25">
      <c r="A4565" t="s">
        <v>10491</v>
      </c>
      <c r="B4565" t="str">
        <f>"6427"</f>
        <v>6427</v>
      </c>
      <c r="C4565" t="str">
        <f>"170406427"</f>
        <v>170406427</v>
      </c>
      <c r="D4565" t="s">
        <v>10492</v>
      </c>
      <c r="E4565" t="s">
        <v>308</v>
      </c>
      <c r="F4565" t="s">
        <v>93</v>
      </c>
      <c r="G4565" s="1">
        <v>17415</v>
      </c>
      <c r="H4565" s="1">
        <v>34597</v>
      </c>
      <c r="I4565" t="str">
        <f>"51"</f>
        <v>51</v>
      </c>
      <c r="J4565" t="s">
        <v>471</v>
      </c>
      <c r="K4565" t="s">
        <v>25</v>
      </c>
      <c r="L4565" t="s">
        <v>26</v>
      </c>
      <c r="M4565" t="s">
        <v>27</v>
      </c>
      <c r="N4565" s="1">
        <v>18629</v>
      </c>
      <c r="O4565">
        <v>0</v>
      </c>
      <c r="P4565">
        <v>0</v>
      </c>
      <c r="Q4565" t="s">
        <v>37</v>
      </c>
      <c r="R4565" t="s">
        <v>29</v>
      </c>
      <c r="S4565" t="s">
        <v>1572</v>
      </c>
      <c r="T4565" t="s">
        <v>1573</v>
      </c>
    </row>
    <row r="4566" spans="1:20" x14ac:dyDescent="0.25">
      <c r="A4566" t="s">
        <v>10493</v>
      </c>
      <c r="B4566" t="str">
        <f>"1300"</f>
        <v>1300</v>
      </c>
      <c r="C4566" t="str">
        <f>"286561300"</f>
        <v>286561300</v>
      </c>
      <c r="D4566" t="s">
        <v>10494</v>
      </c>
      <c r="E4566" t="s">
        <v>1287</v>
      </c>
      <c r="F4566" t="s">
        <v>93</v>
      </c>
      <c r="G4566" s="1">
        <v>25246</v>
      </c>
      <c r="H4566" s="1">
        <v>34590</v>
      </c>
      <c r="I4566" t="str">
        <f>"51"</f>
        <v>51</v>
      </c>
      <c r="J4566" t="s">
        <v>471</v>
      </c>
      <c r="K4566" t="s">
        <v>25</v>
      </c>
      <c r="L4566" t="s">
        <v>26</v>
      </c>
      <c r="M4566" t="s">
        <v>27</v>
      </c>
      <c r="N4566" s="1">
        <v>18629</v>
      </c>
      <c r="O4566">
        <v>0</v>
      </c>
      <c r="P4566">
        <v>0</v>
      </c>
      <c r="Q4566" t="s">
        <v>37</v>
      </c>
      <c r="R4566" t="s">
        <v>71</v>
      </c>
      <c r="S4566" t="s">
        <v>3635</v>
      </c>
      <c r="T4566" t="s">
        <v>3636</v>
      </c>
    </row>
    <row r="4567" spans="1:20" x14ac:dyDescent="0.25">
      <c r="A4567" t="s">
        <v>10495</v>
      </c>
      <c r="B4567" t="str">
        <f>"8452"</f>
        <v>8452</v>
      </c>
      <c r="C4567" t="str">
        <f>"170468452"</f>
        <v>170468452</v>
      </c>
      <c r="D4567" t="s">
        <v>10496</v>
      </c>
      <c r="E4567" t="s">
        <v>10497</v>
      </c>
      <c r="F4567" t="s">
        <v>329</v>
      </c>
      <c r="G4567" s="1">
        <v>19058</v>
      </c>
      <c r="H4567" s="1">
        <v>34590</v>
      </c>
      <c r="I4567" t="str">
        <f>"20"</f>
        <v>20</v>
      </c>
      <c r="J4567" t="s">
        <v>123</v>
      </c>
      <c r="K4567" t="s">
        <v>98</v>
      </c>
      <c r="L4567" t="s">
        <v>37</v>
      </c>
      <c r="M4567" t="s">
        <v>117</v>
      </c>
      <c r="N4567" s="1">
        <v>41631</v>
      </c>
      <c r="O4567">
        <v>4951.9799999999996</v>
      </c>
      <c r="P4567">
        <v>1237.94</v>
      </c>
      <c r="Q4567" t="s">
        <v>37</v>
      </c>
      <c r="R4567" t="s">
        <v>51</v>
      </c>
      <c r="S4567" s="2" t="s">
        <v>3730</v>
      </c>
      <c r="T4567" t="s">
        <v>3731</v>
      </c>
    </row>
    <row r="4568" spans="1:20" x14ac:dyDescent="0.25">
      <c r="A4568" t="s">
        <v>10498</v>
      </c>
      <c r="B4568" t="str">
        <f>"0477"</f>
        <v>0477</v>
      </c>
      <c r="C4568" t="str">
        <f>"277740477"</f>
        <v>277740477</v>
      </c>
      <c r="D4568" t="s">
        <v>440</v>
      </c>
      <c r="E4568" t="s">
        <v>704</v>
      </c>
      <c r="F4568" t="s">
        <v>556</v>
      </c>
      <c r="G4568" s="1">
        <v>23760</v>
      </c>
      <c r="H4568" s="1">
        <v>34589</v>
      </c>
      <c r="I4568" t="str">
        <f>"51"</f>
        <v>51</v>
      </c>
      <c r="J4568" t="s">
        <v>471</v>
      </c>
      <c r="K4568" t="s">
        <v>25</v>
      </c>
      <c r="L4568" t="s">
        <v>26</v>
      </c>
      <c r="M4568" t="s">
        <v>27</v>
      </c>
      <c r="N4568" s="1">
        <v>18629</v>
      </c>
      <c r="O4568">
        <v>0</v>
      </c>
      <c r="P4568">
        <v>0</v>
      </c>
      <c r="Q4568" t="s">
        <v>28</v>
      </c>
      <c r="R4568" t="s">
        <v>71</v>
      </c>
      <c r="S4568" t="s">
        <v>790</v>
      </c>
      <c r="T4568" t="s">
        <v>791</v>
      </c>
    </row>
    <row r="4569" spans="1:20" x14ac:dyDescent="0.25">
      <c r="A4569" t="s">
        <v>10499</v>
      </c>
      <c r="B4569" t="str">
        <f>"4424"</f>
        <v>4424</v>
      </c>
      <c r="C4569" t="str">
        <f>"275504424"</f>
        <v>275504424</v>
      </c>
      <c r="D4569" t="s">
        <v>928</v>
      </c>
      <c r="E4569" t="s">
        <v>1071</v>
      </c>
      <c r="F4569" t="s">
        <v>7606</v>
      </c>
      <c r="G4569" s="1">
        <v>17954</v>
      </c>
      <c r="H4569" s="1">
        <v>34589</v>
      </c>
      <c r="I4569" t="str">
        <f>"51"</f>
        <v>51</v>
      </c>
      <c r="J4569" t="s">
        <v>471</v>
      </c>
      <c r="K4569" t="s">
        <v>25</v>
      </c>
      <c r="L4569" t="s">
        <v>26</v>
      </c>
      <c r="M4569" t="s">
        <v>27</v>
      </c>
      <c r="N4569" s="1">
        <v>18629</v>
      </c>
      <c r="O4569">
        <v>0</v>
      </c>
      <c r="P4569">
        <v>0</v>
      </c>
      <c r="Q4569" t="s">
        <v>37</v>
      </c>
      <c r="R4569" t="s">
        <v>71</v>
      </c>
      <c r="S4569" t="s">
        <v>157</v>
      </c>
      <c r="T4569" t="s">
        <v>158</v>
      </c>
    </row>
    <row r="4570" spans="1:20" x14ac:dyDescent="0.25">
      <c r="A4570" t="s">
        <v>10500</v>
      </c>
      <c r="B4570" t="str">
        <f>"4154"</f>
        <v>4154</v>
      </c>
      <c r="C4570" t="str">
        <f>"285464154"</f>
        <v>285464154</v>
      </c>
      <c r="D4570" t="s">
        <v>47</v>
      </c>
      <c r="E4570" t="s">
        <v>2519</v>
      </c>
      <c r="F4570" t="s">
        <v>93</v>
      </c>
      <c r="G4570" s="1">
        <v>17942</v>
      </c>
      <c r="H4570" s="1">
        <v>34583</v>
      </c>
      <c r="I4570" t="str">
        <f t="shared" ref="I4570:I4583" si="110">"20"</f>
        <v>20</v>
      </c>
      <c r="J4570" t="s">
        <v>123</v>
      </c>
      <c r="K4570" t="s">
        <v>510</v>
      </c>
      <c r="L4570" t="s">
        <v>37</v>
      </c>
      <c r="M4570" t="s">
        <v>257</v>
      </c>
      <c r="N4570" s="1">
        <v>41631</v>
      </c>
      <c r="O4570">
        <v>14110.8</v>
      </c>
      <c r="P4570">
        <v>3527.7</v>
      </c>
      <c r="Q4570" t="s">
        <v>37</v>
      </c>
      <c r="R4570" t="s">
        <v>51</v>
      </c>
      <c r="S4570" s="2" t="s">
        <v>5804</v>
      </c>
      <c r="T4570" t="s">
        <v>5805</v>
      </c>
    </row>
    <row r="4571" spans="1:20" x14ac:dyDescent="0.25">
      <c r="A4571" t="s">
        <v>10501</v>
      </c>
      <c r="B4571" t="str">
        <f>"3440"</f>
        <v>3440</v>
      </c>
      <c r="C4571" t="str">
        <f>"289483440"</f>
        <v>289483440</v>
      </c>
      <c r="D4571" t="s">
        <v>10502</v>
      </c>
      <c r="E4571" t="s">
        <v>6976</v>
      </c>
      <c r="F4571" t="s">
        <v>97</v>
      </c>
      <c r="G4571" s="1">
        <v>17747</v>
      </c>
      <c r="H4571" s="1">
        <v>34583</v>
      </c>
      <c r="I4571" t="str">
        <f t="shared" si="110"/>
        <v>20</v>
      </c>
      <c r="J4571" t="s">
        <v>123</v>
      </c>
      <c r="K4571" t="s">
        <v>98</v>
      </c>
      <c r="L4571" t="s">
        <v>37</v>
      </c>
      <c r="M4571" t="s">
        <v>257</v>
      </c>
      <c r="N4571" s="1">
        <v>41631</v>
      </c>
      <c r="O4571">
        <v>10753.16</v>
      </c>
      <c r="P4571">
        <v>2688.4</v>
      </c>
      <c r="Q4571" t="s">
        <v>37</v>
      </c>
      <c r="R4571" t="s">
        <v>29</v>
      </c>
      <c r="S4571" t="s">
        <v>3682</v>
      </c>
      <c r="T4571" t="s">
        <v>3683</v>
      </c>
    </row>
    <row r="4572" spans="1:20" x14ac:dyDescent="0.25">
      <c r="A4572" t="s">
        <v>10503</v>
      </c>
      <c r="B4572" t="str">
        <f>"3745"</f>
        <v>3745</v>
      </c>
      <c r="C4572" t="str">
        <f>"115603745"</f>
        <v>115603745</v>
      </c>
      <c r="D4572" t="s">
        <v>5710</v>
      </c>
      <c r="E4572" t="s">
        <v>10504</v>
      </c>
      <c r="F4572" t="s">
        <v>264</v>
      </c>
      <c r="G4572" s="1">
        <v>20473</v>
      </c>
      <c r="H4572" s="1">
        <v>34583</v>
      </c>
      <c r="I4572" t="str">
        <f t="shared" si="110"/>
        <v>20</v>
      </c>
      <c r="J4572" t="s">
        <v>123</v>
      </c>
      <c r="K4572" t="s">
        <v>98</v>
      </c>
      <c r="L4572" t="s">
        <v>37</v>
      </c>
      <c r="M4572" t="s">
        <v>257</v>
      </c>
      <c r="N4572" s="1">
        <v>41631</v>
      </c>
      <c r="O4572">
        <v>10753.16</v>
      </c>
      <c r="P4572">
        <v>2688.4</v>
      </c>
      <c r="Q4572" t="s">
        <v>28</v>
      </c>
      <c r="R4572" t="s">
        <v>51</v>
      </c>
      <c r="S4572" s="2" t="s">
        <v>774</v>
      </c>
      <c r="T4572" t="s">
        <v>775</v>
      </c>
    </row>
    <row r="4573" spans="1:20" x14ac:dyDescent="0.25">
      <c r="A4573" t="s">
        <v>10505</v>
      </c>
      <c r="B4573" t="str">
        <f>"8515"</f>
        <v>8515</v>
      </c>
      <c r="C4573" t="str">
        <f>"285828515"</f>
        <v>285828515</v>
      </c>
      <c r="D4573" t="s">
        <v>10506</v>
      </c>
      <c r="E4573" t="s">
        <v>10507</v>
      </c>
      <c r="G4573" s="1">
        <v>20845</v>
      </c>
      <c r="H4573" s="1">
        <v>34583</v>
      </c>
      <c r="I4573" t="str">
        <f t="shared" si="110"/>
        <v>20</v>
      </c>
      <c r="J4573" t="s">
        <v>123</v>
      </c>
      <c r="K4573" t="s">
        <v>98</v>
      </c>
      <c r="L4573" t="s">
        <v>37</v>
      </c>
      <c r="M4573" t="s">
        <v>257</v>
      </c>
      <c r="N4573" s="1">
        <v>41631</v>
      </c>
      <c r="O4573">
        <v>10753.16</v>
      </c>
      <c r="P4573">
        <v>2688.4</v>
      </c>
      <c r="Q4573" t="s">
        <v>37</v>
      </c>
      <c r="R4573" t="s">
        <v>29</v>
      </c>
      <c r="S4573" t="s">
        <v>147</v>
      </c>
      <c r="T4573" t="s">
        <v>148</v>
      </c>
    </row>
    <row r="4574" spans="1:20" x14ac:dyDescent="0.25">
      <c r="A4574" t="s">
        <v>10508</v>
      </c>
      <c r="B4574" t="str">
        <f>"7773"</f>
        <v>7773</v>
      </c>
      <c r="C4574" t="str">
        <f>"295507773"</f>
        <v>295507773</v>
      </c>
      <c r="D4574" t="s">
        <v>10509</v>
      </c>
      <c r="E4574" t="s">
        <v>10510</v>
      </c>
      <c r="F4574" t="s">
        <v>174</v>
      </c>
      <c r="G4574" s="1">
        <v>18918</v>
      </c>
      <c r="H4574" s="1">
        <v>34583</v>
      </c>
      <c r="I4574" t="str">
        <f t="shared" si="110"/>
        <v>20</v>
      </c>
      <c r="J4574" t="s">
        <v>123</v>
      </c>
      <c r="L4574" t="s">
        <v>37</v>
      </c>
      <c r="M4574" t="s">
        <v>143</v>
      </c>
      <c r="N4574" s="1">
        <v>41631</v>
      </c>
      <c r="O4574">
        <v>185.9</v>
      </c>
      <c r="P4574">
        <v>-185.9</v>
      </c>
      <c r="Q4574" t="s">
        <v>37</v>
      </c>
      <c r="R4574" t="s">
        <v>29</v>
      </c>
      <c r="S4574" t="s">
        <v>765</v>
      </c>
      <c r="T4574" t="s">
        <v>766</v>
      </c>
    </row>
    <row r="4575" spans="1:20" x14ac:dyDescent="0.25">
      <c r="A4575" t="s">
        <v>10511</v>
      </c>
      <c r="B4575" t="str">
        <f>"5213"</f>
        <v>5213</v>
      </c>
      <c r="C4575" t="str">
        <f>"298425213"</f>
        <v>298425213</v>
      </c>
      <c r="D4575" t="s">
        <v>8708</v>
      </c>
      <c r="E4575" t="s">
        <v>197</v>
      </c>
      <c r="F4575" t="s">
        <v>28</v>
      </c>
      <c r="G4575" s="1">
        <v>17299</v>
      </c>
      <c r="H4575" s="1">
        <v>34583</v>
      </c>
      <c r="I4575" t="str">
        <f t="shared" si="110"/>
        <v>20</v>
      </c>
      <c r="J4575" t="s">
        <v>123</v>
      </c>
      <c r="K4575" t="s">
        <v>175</v>
      </c>
      <c r="L4575" t="s">
        <v>37</v>
      </c>
      <c r="M4575" t="s">
        <v>257</v>
      </c>
      <c r="N4575" s="1">
        <v>41631</v>
      </c>
      <c r="O4575">
        <v>11847.88</v>
      </c>
      <c r="P4575">
        <v>2962.08</v>
      </c>
      <c r="Q4575" t="s">
        <v>28</v>
      </c>
      <c r="R4575" t="s">
        <v>51</v>
      </c>
      <c r="S4575" s="2" t="s">
        <v>1568</v>
      </c>
      <c r="T4575" t="s">
        <v>1569</v>
      </c>
    </row>
    <row r="4576" spans="1:20" x14ac:dyDescent="0.25">
      <c r="A4576" t="s">
        <v>10512</v>
      </c>
      <c r="B4576" t="str">
        <f>"8276"</f>
        <v>8276</v>
      </c>
      <c r="C4576" t="str">
        <f>"300728276"</f>
        <v>300728276</v>
      </c>
      <c r="D4576" t="s">
        <v>10513</v>
      </c>
      <c r="E4576" t="s">
        <v>2450</v>
      </c>
      <c r="F4576" t="s">
        <v>97</v>
      </c>
      <c r="G4576" s="1">
        <v>22755</v>
      </c>
      <c r="H4576" s="1">
        <v>34583</v>
      </c>
      <c r="I4576" t="str">
        <f t="shared" si="110"/>
        <v>20</v>
      </c>
      <c r="J4576" t="s">
        <v>123</v>
      </c>
      <c r="K4576" t="s">
        <v>98</v>
      </c>
      <c r="L4576" t="s">
        <v>37</v>
      </c>
      <c r="M4576" t="s">
        <v>257</v>
      </c>
      <c r="N4576" s="1">
        <v>41631</v>
      </c>
      <c r="O4576">
        <v>10753.16</v>
      </c>
      <c r="P4576">
        <v>2688.4</v>
      </c>
      <c r="Q4576" t="s">
        <v>37</v>
      </c>
      <c r="R4576" t="s">
        <v>71</v>
      </c>
      <c r="S4576" t="s">
        <v>157</v>
      </c>
      <c r="T4576" t="s">
        <v>158</v>
      </c>
    </row>
    <row r="4577" spans="1:20" x14ac:dyDescent="0.25">
      <c r="A4577" t="s">
        <v>10514</v>
      </c>
      <c r="B4577" t="str">
        <f>"6323"</f>
        <v>6323</v>
      </c>
      <c r="C4577" t="str">
        <f>"272546323"</f>
        <v>272546323</v>
      </c>
      <c r="D4577" t="s">
        <v>10515</v>
      </c>
      <c r="E4577" t="s">
        <v>2339</v>
      </c>
      <c r="F4577" t="s">
        <v>165</v>
      </c>
      <c r="G4577" s="1">
        <v>19324</v>
      </c>
      <c r="H4577" s="1">
        <v>34583</v>
      </c>
      <c r="I4577" t="str">
        <f t="shared" si="110"/>
        <v>20</v>
      </c>
      <c r="J4577" t="s">
        <v>123</v>
      </c>
      <c r="K4577" t="s">
        <v>98</v>
      </c>
      <c r="L4577" t="s">
        <v>37</v>
      </c>
      <c r="M4577" t="s">
        <v>117</v>
      </c>
      <c r="N4577" s="1">
        <v>41631</v>
      </c>
      <c r="O4577">
        <v>4951.9799999999996</v>
      </c>
      <c r="P4577">
        <v>1237.94</v>
      </c>
      <c r="Q4577" t="s">
        <v>37</v>
      </c>
      <c r="R4577" t="s">
        <v>71</v>
      </c>
      <c r="S4577" t="s">
        <v>2406</v>
      </c>
      <c r="T4577" t="s">
        <v>2407</v>
      </c>
    </row>
    <row r="4578" spans="1:20" x14ac:dyDescent="0.25">
      <c r="A4578" t="s">
        <v>10516</v>
      </c>
      <c r="B4578" t="str">
        <f>"3242"</f>
        <v>3242</v>
      </c>
      <c r="C4578" t="str">
        <f>"163383242"</f>
        <v>163383242</v>
      </c>
      <c r="D4578" t="s">
        <v>10517</v>
      </c>
      <c r="E4578" t="s">
        <v>1074</v>
      </c>
      <c r="G4578" s="1">
        <v>18501</v>
      </c>
      <c r="H4578" s="1">
        <v>34583</v>
      </c>
      <c r="I4578" t="str">
        <f t="shared" si="110"/>
        <v>20</v>
      </c>
      <c r="J4578" t="s">
        <v>123</v>
      </c>
      <c r="K4578" t="s">
        <v>98</v>
      </c>
      <c r="L4578" t="s">
        <v>37</v>
      </c>
      <c r="M4578" t="s">
        <v>257</v>
      </c>
      <c r="N4578" s="1">
        <v>41631</v>
      </c>
      <c r="O4578">
        <v>10753.16</v>
      </c>
      <c r="P4578">
        <v>2688.4</v>
      </c>
      <c r="Q4578" t="s">
        <v>37</v>
      </c>
      <c r="R4578" t="s">
        <v>71</v>
      </c>
      <c r="S4578" t="s">
        <v>157</v>
      </c>
      <c r="T4578" t="s">
        <v>158</v>
      </c>
    </row>
    <row r="4579" spans="1:20" x14ac:dyDescent="0.25">
      <c r="A4579" t="s">
        <v>10518</v>
      </c>
      <c r="B4579" t="str">
        <f>"0482"</f>
        <v>0482</v>
      </c>
      <c r="C4579" t="str">
        <f>"281460482"</f>
        <v>281460482</v>
      </c>
      <c r="D4579" t="s">
        <v>10519</v>
      </c>
      <c r="E4579" t="s">
        <v>4595</v>
      </c>
      <c r="F4579" t="s">
        <v>97</v>
      </c>
      <c r="G4579" s="1">
        <v>17857</v>
      </c>
      <c r="H4579" s="1">
        <v>34583</v>
      </c>
      <c r="I4579" t="str">
        <f t="shared" si="110"/>
        <v>20</v>
      </c>
      <c r="J4579" t="s">
        <v>123</v>
      </c>
      <c r="K4579" t="s">
        <v>98</v>
      </c>
      <c r="L4579" t="s">
        <v>37</v>
      </c>
      <c r="M4579" t="s">
        <v>257</v>
      </c>
      <c r="N4579" s="1">
        <v>41631</v>
      </c>
      <c r="O4579">
        <v>10753.16</v>
      </c>
      <c r="P4579">
        <v>2688.4</v>
      </c>
      <c r="Q4579" t="s">
        <v>37</v>
      </c>
      <c r="R4579" t="s">
        <v>29</v>
      </c>
      <c r="S4579" t="s">
        <v>2781</v>
      </c>
      <c r="T4579" t="s">
        <v>2782</v>
      </c>
    </row>
    <row r="4580" spans="1:20" x14ac:dyDescent="0.25">
      <c r="A4580" t="s">
        <v>10520</v>
      </c>
      <c r="B4580" t="str">
        <f>"1970"</f>
        <v>1970</v>
      </c>
      <c r="C4580" t="str">
        <f>"068461970"</f>
        <v>068461970</v>
      </c>
      <c r="D4580" t="s">
        <v>10521</v>
      </c>
      <c r="E4580" t="s">
        <v>3605</v>
      </c>
      <c r="F4580" t="s">
        <v>93</v>
      </c>
      <c r="G4580" s="1">
        <v>19875</v>
      </c>
      <c r="H4580" s="1">
        <v>34583</v>
      </c>
      <c r="I4580" t="str">
        <f t="shared" si="110"/>
        <v>20</v>
      </c>
      <c r="J4580" t="s">
        <v>123</v>
      </c>
      <c r="K4580" t="s">
        <v>510</v>
      </c>
      <c r="L4580" t="s">
        <v>37</v>
      </c>
      <c r="M4580" t="s">
        <v>99</v>
      </c>
      <c r="N4580" s="1">
        <v>41631</v>
      </c>
      <c r="O4580">
        <v>19521.919999999998</v>
      </c>
      <c r="P4580">
        <v>4880.4799999999996</v>
      </c>
      <c r="Q4580" t="s">
        <v>37</v>
      </c>
      <c r="R4580" t="s">
        <v>71</v>
      </c>
      <c r="S4580" t="s">
        <v>2406</v>
      </c>
      <c r="T4580" t="s">
        <v>2407</v>
      </c>
    </row>
    <row r="4581" spans="1:20" x14ac:dyDescent="0.25">
      <c r="A4581" t="s">
        <v>10522</v>
      </c>
      <c r="B4581" t="str">
        <f>"4403"</f>
        <v>4403</v>
      </c>
      <c r="C4581" t="str">
        <f>"301504403"</f>
        <v>301504403</v>
      </c>
      <c r="D4581" t="s">
        <v>9008</v>
      </c>
      <c r="E4581" t="s">
        <v>255</v>
      </c>
      <c r="G4581" s="1">
        <v>18218</v>
      </c>
      <c r="H4581" s="1">
        <v>34583</v>
      </c>
      <c r="I4581" t="str">
        <f t="shared" si="110"/>
        <v>20</v>
      </c>
      <c r="J4581" t="s">
        <v>123</v>
      </c>
      <c r="K4581" t="s">
        <v>98</v>
      </c>
      <c r="L4581" t="s">
        <v>37</v>
      </c>
      <c r="M4581" t="s">
        <v>117</v>
      </c>
      <c r="N4581" s="1">
        <v>41631</v>
      </c>
      <c r="O4581">
        <v>4951.9799999999996</v>
      </c>
      <c r="P4581">
        <v>1237.94</v>
      </c>
      <c r="Q4581" t="s">
        <v>37</v>
      </c>
      <c r="R4581" t="s">
        <v>51</v>
      </c>
      <c r="S4581" s="2" t="s">
        <v>1568</v>
      </c>
      <c r="T4581" t="s">
        <v>1569</v>
      </c>
    </row>
    <row r="4582" spans="1:20" x14ac:dyDescent="0.25">
      <c r="A4582" t="s">
        <v>10523</v>
      </c>
      <c r="B4582" t="str">
        <f>"6644"</f>
        <v>6644</v>
      </c>
      <c r="C4582" t="str">
        <f>"002406644"</f>
        <v>002406644</v>
      </c>
      <c r="D4582" t="s">
        <v>2559</v>
      </c>
      <c r="E4582" t="s">
        <v>6198</v>
      </c>
      <c r="F4582" t="s">
        <v>97</v>
      </c>
      <c r="G4582" s="1">
        <v>18937</v>
      </c>
      <c r="H4582" s="1">
        <v>34583</v>
      </c>
      <c r="I4582" t="str">
        <f t="shared" si="110"/>
        <v>20</v>
      </c>
      <c r="J4582" t="s">
        <v>123</v>
      </c>
      <c r="K4582" t="s">
        <v>98</v>
      </c>
      <c r="L4582" t="s">
        <v>37</v>
      </c>
      <c r="M4582" t="s">
        <v>117</v>
      </c>
      <c r="N4582" s="1">
        <v>41631</v>
      </c>
      <c r="O4582">
        <v>4951.9799999999996</v>
      </c>
      <c r="P4582">
        <v>1237.94</v>
      </c>
      <c r="Q4582" t="s">
        <v>28</v>
      </c>
      <c r="R4582" t="s">
        <v>71</v>
      </c>
      <c r="S4582" t="s">
        <v>4177</v>
      </c>
      <c r="T4582" t="s">
        <v>4178</v>
      </c>
    </row>
    <row r="4583" spans="1:20" x14ac:dyDescent="0.25">
      <c r="A4583" t="s">
        <v>10524</v>
      </c>
      <c r="B4583" t="str">
        <f>"5241"</f>
        <v>5241</v>
      </c>
      <c r="C4583" t="str">
        <f>"296585241"</f>
        <v>296585241</v>
      </c>
      <c r="D4583" t="s">
        <v>10525</v>
      </c>
      <c r="E4583" t="s">
        <v>6273</v>
      </c>
      <c r="F4583" t="s">
        <v>37</v>
      </c>
      <c r="G4583" s="1">
        <v>24203</v>
      </c>
      <c r="H4583" s="1">
        <v>34583</v>
      </c>
      <c r="I4583" t="str">
        <f t="shared" si="110"/>
        <v>20</v>
      </c>
      <c r="J4583" t="s">
        <v>123</v>
      </c>
      <c r="K4583" t="s">
        <v>98</v>
      </c>
      <c r="L4583" t="s">
        <v>37</v>
      </c>
      <c r="M4583" t="s">
        <v>117</v>
      </c>
      <c r="N4583" s="1">
        <v>41631</v>
      </c>
      <c r="O4583">
        <v>4951.9799999999996</v>
      </c>
      <c r="P4583">
        <v>1237.94</v>
      </c>
      <c r="Q4583" t="s">
        <v>37</v>
      </c>
      <c r="R4583" t="s">
        <v>71</v>
      </c>
      <c r="S4583" t="s">
        <v>157</v>
      </c>
      <c r="T4583" t="s">
        <v>158</v>
      </c>
    </row>
    <row r="4584" spans="1:20" x14ac:dyDescent="0.25">
      <c r="A4584" t="s">
        <v>10526</v>
      </c>
      <c r="B4584" t="str">
        <f>"3392"</f>
        <v>3392</v>
      </c>
      <c r="C4584" t="str">
        <f>"278403392"</f>
        <v>278403392</v>
      </c>
      <c r="D4584" t="s">
        <v>10527</v>
      </c>
      <c r="E4584" t="s">
        <v>609</v>
      </c>
      <c r="G4584" s="1">
        <v>16419</v>
      </c>
      <c r="H4584" s="1">
        <v>34575</v>
      </c>
      <c r="I4584" t="str">
        <f>"51"</f>
        <v>51</v>
      </c>
      <c r="J4584" t="s">
        <v>471</v>
      </c>
      <c r="K4584" t="s">
        <v>25</v>
      </c>
      <c r="L4584" t="s">
        <v>26</v>
      </c>
      <c r="M4584" t="s">
        <v>27</v>
      </c>
      <c r="N4584" s="1">
        <v>18629</v>
      </c>
      <c r="O4584">
        <v>0</v>
      </c>
      <c r="P4584">
        <v>0</v>
      </c>
      <c r="Q4584" t="s">
        <v>28</v>
      </c>
      <c r="R4584" t="s">
        <v>51</v>
      </c>
      <c r="S4584" s="2" t="s">
        <v>1538</v>
      </c>
      <c r="T4584" t="s">
        <v>1539</v>
      </c>
    </row>
    <row r="4585" spans="1:20" x14ac:dyDescent="0.25">
      <c r="A4585" t="s">
        <v>10528</v>
      </c>
      <c r="B4585" t="str">
        <f>"0786"</f>
        <v>0786</v>
      </c>
      <c r="C4585" t="str">
        <f>"236720786"</f>
        <v>236720786</v>
      </c>
      <c r="D4585" t="s">
        <v>7852</v>
      </c>
      <c r="E4585" t="s">
        <v>769</v>
      </c>
      <c r="F4585" t="s">
        <v>438</v>
      </c>
      <c r="G4585" s="1">
        <v>19576</v>
      </c>
      <c r="H4585" s="1">
        <v>34575</v>
      </c>
      <c r="I4585" t="str">
        <f>"20"</f>
        <v>20</v>
      </c>
      <c r="J4585" t="s">
        <v>123</v>
      </c>
      <c r="K4585" t="s">
        <v>98</v>
      </c>
      <c r="L4585" t="s">
        <v>37</v>
      </c>
      <c r="M4585" t="s">
        <v>257</v>
      </c>
      <c r="N4585" s="1">
        <v>41631</v>
      </c>
      <c r="O4585">
        <v>10753.16</v>
      </c>
      <c r="P4585">
        <v>2688.4</v>
      </c>
      <c r="Q4585" t="s">
        <v>37</v>
      </c>
      <c r="R4585" t="s">
        <v>71</v>
      </c>
      <c r="S4585" t="s">
        <v>157</v>
      </c>
      <c r="T4585" t="s">
        <v>158</v>
      </c>
    </row>
    <row r="4586" spans="1:20" x14ac:dyDescent="0.25">
      <c r="A4586" t="s">
        <v>10529</v>
      </c>
      <c r="B4586" t="str">
        <f>"6540"</f>
        <v>6540</v>
      </c>
      <c r="C4586" t="str">
        <f>"293386540"</f>
        <v>293386540</v>
      </c>
      <c r="D4586" t="s">
        <v>10530</v>
      </c>
      <c r="E4586" t="s">
        <v>667</v>
      </c>
      <c r="F4586" t="s">
        <v>93</v>
      </c>
      <c r="G4586" s="1">
        <v>16040</v>
      </c>
      <c r="H4586" s="1">
        <v>34575</v>
      </c>
      <c r="I4586" t="str">
        <f>"51"</f>
        <v>51</v>
      </c>
      <c r="J4586" t="s">
        <v>471</v>
      </c>
      <c r="K4586" t="s">
        <v>25</v>
      </c>
      <c r="L4586" t="s">
        <v>26</v>
      </c>
      <c r="M4586" t="s">
        <v>27</v>
      </c>
      <c r="N4586" s="1">
        <v>18629</v>
      </c>
      <c r="O4586">
        <v>0</v>
      </c>
      <c r="P4586">
        <v>0</v>
      </c>
      <c r="Q4586" t="s">
        <v>28</v>
      </c>
      <c r="R4586" t="s">
        <v>71</v>
      </c>
      <c r="S4586" t="s">
        <v>10314</v>
      </c>
      <c r="T4586" t="s">
        <v>10315</v>
      </c>
    </row>
    <row r="4587" spans="1:20" x14ac:dyDescent="0.25">
      <c r="A4587" t="s">
        <v>10531</v>
      </c>
      <c r="B4587" t="str">
        <f>"2228"</f>
        <v>2228</v>
      </c>
      <c r="C4587" t="str">
        <f>"286622228"</f>
        <v>286622228</v>
      </c>
      <c r="D4587" t="s">
        <v>114</v>
      </c>
      <c r="E4587" t="s">
        <v>10532</v>
      </c>
      <c r="F4587" t="s">
        <v>93</v>
      </c>
      <c r="G4587" s="1">
        <v>22359</v>
      </c>
      <c r="H4587" s="1">
        <v>34568</v>
      </c>
      <c r="I4587" t="str">
        <f>"08"</f>
        <v>08</v>
      </c>
      <c r="J4587" t="s">
        <v>265</v>
      </c>
      <c r="K4587" t="s">
        <v>175</v>
      </c>
      <c r="L4587" t="s">
        <v>37</v>
      </c>
      <c r="M4587" t="s">
        <v>117</v>
      </c>
      <c r="N4587" s="1">
        <v>41736</v>
      </c>
      <c r="O4587">
        <v>5288.66</v>
      </c>
      <c r="P4587">
        <v>1322.1</v>
      </c>
      <c r="Q4587" t="s">
        <v>37</v>
      </c>
      <c r="R4587" t="s">
        <v>29</v>
      </c>
      <c r="S4587" t="s">
        <v>885</v>
      </c>
      <c r="T4587" t="s">
        <v>886</v>
      </c>
    </row>
    <row r="4588" spans="1:20" x14ac:dyDescent="0.25">
      <c r="A4588" t="s">
        <v>10533</v>
      </c>
      <c r="B4588" t="str">
        <f>"9686"</f>
        <v>9686</v>
      </c>
      <c r="C4588" t="str">
        <f>"284429686"</f>
        <v>284429686</v>
      </c>
      <c r="D4588" t="s">
        <v>10534</v>
      </c>
      <c r="E4588" t="s">
        <v>10535</v>
      </c>
      <c r="F4588" t="s">
        <v>44</v>
      </c>
      <c r="G4588" s="1">
        <v>19536</v>
      </c>
      <c r="H4588" s="1">
        <v>34512</v>
      </c>
      <c r="I4588" t="str">
        <f>"51"</f>
        <v>51</v>
      </c>
      <c r="J4588" t="s">
        <v>471</v>
      </c>
      <c r="K4588" t="s">
        <v>25</v>
      </c>
      <c r="L4588" t="s">
        <v>26</v>
      </c>
      <c r="M4588" t="s">
        <v>27</v>
      </c>
      <c r="N4588" s="1">
        <v>18629</v>
      </c>
      <c r="O4588">
        <v>0</v>
      </c>
      <c r="P4588">
        <v>0</v>
      </c>
      <c r="Q4588" t="s">
        <v>37</v>
      </c>
      <c r="R4588" t="s">
        <v>29</v>
      </c>
      <c r="S4588" t="s">
        <v>2736</v>
      </c>
      <c r="T4588" t="s">
        <v>2737</v>
      </c>
    </row>
    <row r="4589" spans="1:20" x14ac:dyDescent="0.25">
      <c r="A4589" t="s">
        <v>10536</v>
      </c>
      <c r="B4589" t="str">
        <f>"2355"</f>
        <v>2355</v>
      </c>
      <c r="C4589" t="str">
        <f>"064262355"</f>
        <v>064262355</v>
      </c>
      <c r="D4589" t="s">
        <v>2132</v>
      </c>
      <c r="E4589" t="s">
        <v>4512</v>
      </c>
      <c r="F4589" t="s">
        <v>28</v>
      </c>
      <c r="G4589" s="1">
        <v>12308</v>
      </c>
      <c r="H4589" s="1">
        <v>34512</v>
      </c>
      <c r="I4589" t="str">
        <f>"33"</f>
        <v>33</v>
      </c>
      <c r="J4589" t="s">
        <v>45</v>
      </c>
      <c r="K4589" t="s">
        <v>25</v>
      </c>
      <c r="L4589" t="s">
        <v>26</v>
      </c>
      <c r="M4589" t="s">
        <v>27</v>
      </c>
      <c r="N4589" s="1">
        <v>18629</v>
      </c>
      <c r="O4589">
        <v>0</v>
      </c>
      <c r="P4589">
        <v>0</v>
      </c>
      <c r="Q4589" t="s">
        <v>28</v>
      </c>
      <c r="R4589" t="s">
        <v>51</v>
      </c>
      <c r="S4589" t="s">
        <v>795</v>
      </c>
      <c r="T4589" t="s">
        <v>796</v>
      </c>
    </row>
    <row r="4590" spans="1:20" x14ac:dyDescent="0.25">
      <c r="A4590" t="s">
        <v>10537</v>
      </c>
      <c r="B4590" t="str">
        <f>"0060"</f>
        <v>0060</v>
      </c>
      <c r="C4590" t="str">
        <f>"283580060"</f>
        <v>283580060</v>
      </c>
      <c r="D4590" t="s">
        <v>663</v>
      </c>
      <c r="E4590" t="s">
        <v>10538</v>
      </c>
      <c r="G4590" s="1">
        <v>19513</v>
      </c>
      <c r="H4590" s="1">
        <v>34435</v>
      </c>
      <c r="I4590" t="str">
        <f>"15"</f>
        <v>15</v>
      </c>
      <c r="J4590" t="s">
        <v>36</v>
      </c>
      <c r="K4590" t="s">
        <v>98</v>
      </c>
      <c r="L4590" t="s">
        <v>37</v>
      </c>
      <c r="M4590" t="s">
        <v>117</v>
      </c>
      <c r="N4590" s="1">
        <v>41617</v>
      </c>
      <c r="O4590">
        <v>4951.96</v>
      </c>
      <c r="P4590">
        <v>1237.8599999999999</v>
      </c>
      <c r="Q4590" t="s">
        <v>37</v>
      </c>
      <c r="R4590" t="s">
        <v>29</v>
      </c>
      <c r="S4590" t="s">
        <v>2699</v>
      </c>
      <c r="T4590" t="s">
        <v>2700</v>
      </c>
    </row>
    <row r="4591" spans="1:20" x14ac:dyDescent="0.25">
      <c r="A4591" t="s">
        <v>10539</v>
      </c>
      <c r="B4591" t="str">
        <f>"9548"</f>
        <v>9548</v>
      </c>
      <c r="C4591" t="str">
        <f>"282349548"</f>
        <v>282349548</v>
      </c>
      <c r="D4591" t="s">
        <v>6103</v>
      </c>
      <c r="E4591" t="s">
        <v>832</v>
      </c>
      <c r="F4591" t="s">
        <v>69</v>
      </c>
      <c r="G4591" s="1">
        <v>14724</v>
      </c>
      <c r="H4591" s="1">
        <v>34421</v>
      </c>
      <c r="I4591" t="str">
        <f>"51"</f>
        <v>51</v>
      </c>
      <c r="J4591" t="s">
        <v>471</v>
      </c>
      <c r="K4591" t="s">
        <v>25</v>
      </c>
      <c r="L4591" t="s">
        <v>26</v>
      </c>
      <c r="M4591" t="s">
        <v>27</v>
      </c>
      <c r="N4591" s="1">
        <v>18629</v>
      </c>
      <c r="O4591">
        <v>0</v>
      </c>
      <c r="P4591">
        <v>0</v>
      </c>
      <c r="Q4591" t="s">
        <v>28</v>
      </c>
      <c r="R4591" t="s">
        <v>71</v>
      </c>
      <c r="S4591" t="s">
        <v>6172</v>
      </c>
      <c r="T4591" t="s">
        <v>6173</v>
      </c>
    </row>
    <row r="4592" spans="1:20" x14ac:dyDescent="0.25">
      <c r="A4592" t="s">
        <v>10540</v>
      </c>
      <c r="B4592" t="str">
        <f>"0667"</f>
        <v>0667</v>
      </c>
      <c r="C4592" t="str">
        <f>"272420667"</f>
        <v>272420667</v>
      </c>
      <c r="D4592" t="s">
        <v>3685</v>
      </c>
      <c r="E4592" t="s">
        <v>724</v>
      </c>
      <c r="G4592" s="1">
        <v>17262</v>
      </c>
      <c r="H4592" s="1">
        <v>34421</v>
      </c>
      <c r="I4592" t="str">
        <f>"51"</f>
        <v>51</v>
      </c>
      <c r="J4592" t="s">
        <v>471</v>
      </c>
      <c r="K4592" t="s">
        <v>25</v>
      </c>
      <c r="L4592" t="s">
        <v>26</v>
      </c>
      <c r="M4592" t="s">
        <v>27</v>
      </c>
      <c r="N4592" s="1">
        <v>18629</v>
      </c>
      <c r="O4592">
        <v>0</v>
      </c>
      <c r="P4592">
        <v>0</v>
      </c>
      <c r="Q4592" t="s">
        <v>28</v>
      </c>
      <c r="R4592" t="s">
        <v>51</v>
      </c>
      <c r="S4592" s="2" t="s">
        <v>4664</v>
      </c>
      <c r="T4592" t="s">
        <v>4665</v>
      </c>
    </row>
    <row r="4593" spans="1:20" x14ac:dyDescent="0.25">
      <c r="A4593" t="s">
        <v>10541</v>
      </c>
      <c r="B4593" t="str">
        <f>"9815"</f>
        <v>9815</v>
      </c>
      <c r="C4593" t="str">
        <f>"160409815"</f>
        <v>160409815</v>
      </c>
      <c r="D4593" t="s">
        <v>623</v>
      </c>
      <c r="E4593" t="s">
        <v>304</v>
      </c>
      <c r="F4593" t="s">
        <v>44</v>
      </c>
      <c r="G4593" s="1">
        <v>17454</v>
      </c>
      <c r="H4593" s="1">
        <v>34421</v>
      </c>
      <c r="I4593" t="str">
        <f>"51"</f>
        <v>51</v>
      </c>
      <c r="J4593" t="s">
        <v>471</v>
      </c>
      <c r="K4593" t="s">
        <v>25</v>
      </c>
      <c r="L4593" t="s">
        <v>26</v>
      </c>
      <c r="M4593" t="s">
        <v>27</v>
      </c>
      <c r="N4593" s="1">
        <v>18629</v>
      </c>
      <c r="O4593">
        <v>0</v>
      </c>
      <c r="P4593">
        <v>0</v>
      </c>
      <c r="Q4593" t="s">
        <v>28</v>
      </c>
      <c r="R4593" t="s">
        <v>71</v>
      </c>
      <c r="S4593" t="s">
        <v>157</v>
      </c>
      <c r="T4593" t="s">
        <v>158</v>
      </c>
    </row>
    <row r="4594" spans="1:20" x14ac:dyDescent="0.25">
      <c r="A4594" t="s">
        <v>10542</v>
      </c>
      <c r="B4594" t="str">
        <f>"5253"</f>
        <v>5253</v>
      </c>
      <c r="C4594" t="str">
        <f>"288325253"</f>
        <v>288325253</v>
      </c>
      <c r="D4594" t="s">
        <v>10543</v>
      </c>
      <c r="E4594" t="s">
        <v>2256</v>
      </c>
      <c r="F4594" t="s">
        <v>93</v>
      </c>
      <c r="G4594" s="1">
        <v>13668</v>
      </c>
      <c r="H4594" s="1">
        <v>34421</v>
      </c>
      <c r="I4594" t="str">
        <f>"12"</f>
        <v>12</v>
      </c>
      <c r="J4594" t="s">
        <v>245</v>
      </c>
      <c r="L4594" t="s">
        <v>37</v>
      </c>
      <c r="M4594" t="s">
        <v>143</v>
      </c>
      <c r="N4594" s="1">
        <v>41617</v>
      </c>
      <c r="O4594">
        <v>185.9</v>
      </c>
      <c r="P4594">
        <v>-185.9</v>
      </c>
      <c r="Q4594" t="s">
        <v>37</v>
      </c>
      <c r="R4594" t="s">
        <v>29</v>
      </c>
      <c r="S4594" t="s">
        <v>514</v>
      </c>
      <c r="T4594" t="s">
        <v>515</v>
      </c>
    </row>
    <row r="4595" spans="1:20" x14ac:dyDescent="0.25">
      <c r="A4595" t="s">
        <v>10544</v>
      </c>
      <c r="B4595" t="str">
        <f>"7807"</f>
        <v>7807</v>
      </c>
      <c r="C4595" t="str">
        <f>"272747807"</f>
        <v>272747807</v>
      </c>
      <c r="D4595" t="s">
        <v>10545</v>
      </c>
      <c r="E4595" t="s">
        <v>227</v>
      </c>
      <c r="F4595" t="s">
        <v>97</v>
      </c>
      <c r="G4595" s="1">
        <v>24675</v>
      </c>
      <c r="H4595" s="1">
        <v>34352</v>
      </c>
      <c r="I4595" t="str">
        <f>"30"</f>
        <v>30</v>
      </c>
      <c r="J4595" t="s">
        <v>50</v>
      </c>
      <c r="K4595" t="s">
        <v>25</v>
      </c>
      <c r="L4595" t="s">
        <v>26</v>
      </c>
      <c r="M4595" t="s">
        <v>27</v>
      </c>
      <c r="N4595" s="1">
        <v>18629</v>
      </c>
      <c r="O4595">
        <v>0</v>
      </c>
      <c r="P4595">
        <v>0</v>
      </c>
      <c r="Q4595" t="s">
        <v>28</v>
      </c>
      <c r="R4595" t="s">
        <v>29</v>
      </c>
      <c r="S4595" t="s">
        <v>1795</v>
      </c>
      <c r="T4595" t="s">
        <v>1796</v>
      </c>
    </row>
    <row r="4596" spans="1:20" x14ac:dyDescent="0.25">
      <c r="A4596" t="s">
        <v>10546</v>
      </c>
      <c r="B4596" t="str">
        <f>"5086"</f>
        <v>5086</v>
      </c>
      <c r="C4596" t="str">
        <f>"294705086"</f>
        <v>294705086</v>
      </c>
      <c r="D4596" t="s">
        <v>2183</v>
      </c>
      <c r="E4596" t="s">
        <v>189</v>
      </c>
      <c r="F4596" t="s">
        <v>219</v>
      </c>
      <c r="G4596" s="1">
        <v>22560</v>
      </c>
      <c r="H4596" s="1">
        <v>34351</v>
      </c>
      <c r="I4596" t="str">
        <f>"08"</f>
        <v>08</v>
      </c>
      <c r="J4596" t="s">
        <v>265</v>
      </c>
      <c r="K4596" t="s">
        <v>510</v>
      </c>
      <c r="L4596" t="s">
        <v>37</v>
      </c>
      <c r="M4596" t="s">
        <v>117</v>
      </c>
      <c r="N4596" s="1">
        <v>41617</v>
      </c>
      <c r="O4596">
        <v>6477.12</v>
      </c>
      <c r="P4596">
        <v>1619.28</v>
      </c>
      <c r="Q4596" t="s">
        <v>37</v>
      </c>
      <c r="R4596" t="s">
        <v>29</v>
      </c>
      <c r="S4596" t="s">
        <v>982</v>
      </c>
      <c r="T4596" t="s">
        <v>983</v>
      </c>
    </row>
    <row r="4597" spans="1:20" x14ac:dyDescent="0.25">
      <c r="A4597" t="s">
        <v>10547</v>
      </c>
      <c r="B4597" t="str">
        <f>"8362"</f>
        <v>8362</v>
      </c>
      <c r="C4597" t="str">
        <f>"273608362"</f>
        <v>273608362</v>
      </c>
      <c r="D4597" t="s">
        <v>10548</v>
      </c>
      <c r="E4597" t="s">
        <v>197</v>
      </c>
      <c r="F4597" t="s">
        <v>7606</v>
      </c>
      <c r="G4597" s="1">
        <v>20387</v>
      </c>
      <c r="H4597" s="1">
        <v>34337</v>
      </c>
      <c r="I4597" t="str">
        <f>"51"</f>
        <v>51</v>
      </c>
      <c r="J4597" t="s">
        <v>471</v>
      </c>
      <c r="K4597" t="s">
        <v>25</v>
      </c>
      <c r="L4597" t="s">
        <v>26</v>
      </c>
      <c r="M4597" t="s">
        <v>27</v>
      </c>
      <c r="N4597" s="1">
        <v>18629</v>
      </c>
      <c r="O4597">
        <v>0</v>
      </c>
      <c r="P4597">
        <v>0</v>
      </c>
      <c r="Q4597" t="s">
        <v>28</v>
      </c>
      <c r="R4597" t="s">
        <v>51</v>
      </c>
      <c r="S4597" s="2" t="s">
        <v>3730</v>
      </c>
      <c r="T4597" t="s">
        <v>3731</v>
      </c>
    </row>
    <row r="4598" spans="1:20" x14ac:dyDescent="0.25">
      <c r="A4598" t="s">
        <v>10549</v>
      </c>
      <c r="B4598" t="str">
        <f>"3320"</f>
        <v>3320</v>
      </c>
      <c r="C4598" t="str">
        <f>"276263320"</f>
        <v>276263320</v>
      </c>
      <c r="D4598" t="s">
        <v>10550</v>
      </c>
      <c r="E4598" t="s">
        <v>430</v>
      </c>
      <c r="F4598" t="s">
        <v>93</v>
      </c>
      <c r="G4598" s="1">
        <v>11171</v>
      </c>
      <c r="H4598" s="1">
        <v>34243</v>
      </c>
      <c r="I4598" t="str">
        <f>"33"</f>
        <v>33</v>
      </c>
      <c r="J4598" t="s">
        <v>45</v>
      </c>
      <c r="K4598" t="s">
        <v>25</v>
      </c>
      <c r="L4598" t="s">
        <v>26</v>
      </c>
      <c r="M4598" t="s">
        <v>27</v>
      </c>
      <c r="N4598" s="1">
        <v>18629</v>
      </c>
      <c r="O4598">
        <v>0</v>
      </c>
      <c r="P4598">
        <v>0</v>
      </c>
      <c r="Q4598" t="s">
        <v>28</v>
      </c>
      <c r="R4598" t="s">
        <v>51</v>
      </c>
      <c r="S4598" t="s">
        <v>795</v>
      </c>
      <c r="T4598" t="s">
        <v>796</v>
      </c>
    </row>
    <row r="4599" spans="1:20" x14ac:dyDescent="0.25">
      <c r="A4599" t="s">
        <v>10551</v>
      </c>
      <c r="B4599" t="str">
        <f>"9218"</f>
        <v>9218</v>
      </c>
      <c r="C4599" t="str">
        <f>"285509218"</f>
        <v>285509218</v>
      </c>
      <c r="D4599" t="s">
        <v>10552</v>
      </c>
      <c r="E4599" t="s">
        <v>1478</v>
      </c>
      <c r="F4599" t="s">
        <v>28</v>
      </c>
      <c r="G4599" s="1">
        <v>16243</v>
      </c>
      <c r="H4599" s="1">
        <v>34233</v>
      </c>
      <c r="I4599" t="str">
        <f>"33"</f>
        <v>33</v>
      </c>
      <c r="J4599" t="s">
        <v>45</v>
      </c>
      <c r="K4599" t="s">
        <v>25</v>
      </c>
      <c r="L4599" t="s">
        <v>26</v>
      </c>
      <c r="M4599" t="s">
        <v>27</v>
      </c>
      <c r="N4599" s="1">
        <v>18629</v>
      </c>
      <c r="O4599">
        <v>0</v>
      </c>
      <c r="P4599">
        <v>0</v>
      </c>
      <c r="Q4599" t="s">
        <v>37</v>
      </c>
      <c r="R4599" t="s">
        <v>71</v>
      </c>
      <c r="S4599" t="s">
        <v>955</v>
      </c>
      <c r="T4599" t="s">
        <v>956</v>
      </c>
    </row>
    <row r="4600" spans="1:20" x14ac:dyDescent="0.25">
      <c r="A4600" t="s">
        <v>10553</v>
      </c>
      <c r="B4600" t="str">
        <f>"4694"</f>
        <v>4694</v>
      </c>
      <c r="C4600" t="str">
        <f>"286504694"</f>
        <v>286504694</v>
      </c>
      <c r="D4600" t="s">
        <v>2421</v>
      </c>
      <c r="E4600" t="s">
        <v>184</v>
      </c>
      <c r="G4600" s="1">
        <v>19224</v>
      </c>
      <c r="H4600" s="1">
        <v>34233</v>
      </c>
      <c r="I4600" t="str">
        <f>"51"</f>
        <v>51</v>
      </c>
      <c r="J4600" t="s">
        <v>471</v>
      </c>
      <c r="K4600" t="s">
        <v>25</v>
      </c>
      <c r="L4600" t="s">
        <v>26</v>
      </c>
      <c r="M4600" t="s">
        <v>27</v>
      </c>
      <c r="N4600" s="1">
        <v>18629</v>
      </c>
      <c r="O4600">
        <v>0</v>
      </c>
      <c r="P4600">
        <v>0</v>
      </c>
      <c r="Q4600" t="s">
        <v>37</v>
      </c>
      <c r="R4600" t="s">
        <v>71</v>
      </c>
      <c r="S4600" t="s">
        <v>5022</v>
      </c>
      <c r="T4600" t="s">
        <v>5023</v>
      </c>
    </row>
    <row r="4601" spans="1:20" x14ac:dyDescent="0.25">
      <c r="A4601" t="s">
        <v>10554</v>
      </c>
      <c r="B4601" t="str">
        <f>"5027"</f>
        <v>5027</v>
      </c>
      <c r="C4601" t="str">
        <f>"277465027"</f>
        <v>277465027</v>
      </c>
      <c r="D4601" t="s">
        <v>10555</v>
      </c>
      <c r="E4601" t="s">
        <v>1026</v>
      </c>
      <c r="G4601" s="1">
        <v>20695</v>
      </c>
      <c r="H4601" s="1">
        <v>34225</v>
      </c>
      <c r="I4601" t="str">
        <f>"33"</f>
        <v>33</v>
      </c>
      <c r="J4601" t="s">
        <v>45</v>
      </c>
      <c r="K4601" t="s">
        <v>25</v>
      </c>
      <c r="L4601" t="s">
        <v>26</v>
      </c>
      <c r="M4601" t="s">
        <v>27</v>
      </c>
      <c r="N4601" s="1">
        <v>18629</v>
      </c>
      <c r="O4601">
        <v>0</v>
      </c>
      <c r="P4601">
        <v>0</v>
      </c>
      <c r="Q4601" t="s">
        <v>37</v>
      </c>
      <c r="R4601" t="s">
        <v>51</v>
      </c>
      <c r="S4601" s="2" t="s">
        <v>1568</v>
      </c>
      <c r="T4601" t="s">
        <v>1569</v>
      </c>
    </row>
    <row r="4602" spans="1:20" x14ac:dyDescent="0.25">
      <c r="A4602" t="s">
        <v>10556</v>
      </c>
      <c r="B4602" t="str">
        <f>"4201"</f>
        <v>4201</v>
      </c>
      <c r="C4602" t="str">
        <f>"230234201"</f>
        <v>230234201</v>
      </c>
      <c r="D4602" t="s">
        <v>10557</v>
      </c>
      <c r="E4602" t="s">
        <v>10558</v>
      </c>
      <c r="G4602" s="1">
        <v>21591</v>
      </c>
      <c r="H4602" s="1">
        <v>34219</v>
      </c>
      <c r="I4602" t="str">
        <f>"20"</f>
        <v>20</v>
      </c>
      <c r="J4602" t="s">
        <v>123</v>
      </c>
      <c r="K4602" t="s">
        <v>98</v>
      </c>
      <c r="L4602" t="s">
        <v>37</v>
      </c>
      <c r="M4602" t="s">
        <v>257</v>
      </c>
      <c r="N4602" s="1">
        <v>41631</v>
      </c>
      <c r="O4602">
        <v>10753.16</v>
      </c>
      <c r="P4602">
        <v>2688.4</v>
      </c>
      <c r="Q4602" t="s">
        <v>37</v>
      </c>
      <c r="R4602" t="s">
        <v>71</v>
      </c>
      <c r="S4602" t="s">
        <v>1547</v>
      </c>
      <c r="T4602" t="s">
        <v>1548</v>
      </c>
    </row>
    <row r="4603" spans="1:20" x14ac:dyDescent="0.25">
      <c r="A4603" t="s">
        <v>10559</v>
      </c>
      <c r="B4603" t="str">
        <f>"9013"</f>
        <v>9013</v>
      </c>
      <c r="C4603" t="str">
        <f>"271649013"</f>
        <v>271649013</v>
      </c>
      <c r="D4603" t="s">
        <v>881</v>
      </c>
      <c r="E4603" t="s">
        <v>10560</v>
      </c>
      <c r="F4603" t="s">
        <v>10561</v>
      </c>
      <c r="G4603" s="1">
        <v>21285</v>
      </c>
      <c r="H4603" s="1">
        <v>34064</v>
      </c>
      <c r="I4603" t="str">
        <f>"08"</f>
        <v>08</v>
      </c>
      <c r="J4603" t="s">
        <v>265</v>
      </c>
      <c r="K4603" t="s">
        <v>510</v>
      </c>
      <c r="L4603" t="s">
        <v>37</v>
      </c>
      <c r="M4603" t="s">
        <v>99</v>
      </c>
      <c r="N4603" s="1">
        <v>41617</v>
      </c>
      <c r="O4603">
        <v>19521.84</v>
      </c>
      <c r="P4603">
        <v>4880.46</v>
      </c>
      <c r="Q4603" t="s">
        <v>28</v>
      </c>
      <c r="R4603" t="s">
        <v>51</v>
      </c>
      <c r="S4603" t="s">
        <v>1222</v>
      </c>
      <c r="T4603" t="s">
        <v>1223</v>
      </c>
    </row>
    <row r="4604" spans="1:20" x14ac:dyDescent="0.25">
      <c r="A4604" t="s">
        <v>10562</v>
      </c>
      <c r="B4604" t="str">
        <f>"7868"</f>
        <v>7868</v>
      </c>
      <c r="C4604" t="str">
        <f>"302447868"</f>
        <v>302447868</v>
      </c>
      <c r="D4604" t="s">
        <v>10563</v>
      </c>
      <c r="E4604" t="s">
        <v>304</v>
      </c>
      <c r="F4604" t="s">
        <v>3934</v>
      </c>
      <c r="G4604" s="1">
        <v>18096</v>
      </c>
      <c r="H4604" s="1">
        <v>34057</v>
      </c>
      <c r="I4604" t="str">
        <f>"51"</f>
        <v>51</v>
      </c>
      <c r="J4604" t="s">
        <v>471</v>
      </c>
      <c r="K4604" t="s">
        <v>25</v>
      </c>
      <c r="L4604" t="s">
        <v>26</v>
      </c>
      <c r="M4604" t="s">
        <v>27</v>
      </c>
      <c r="N4604" s="1">
        <v>18629</v>
      </c>
      <c r="O4604">
        <v>0</v>
      </c>
      <c r="P4604">
        <v>0</v>
      </c>
      <c r="Q4604" t="s">
        <v>28</v>
      </c>
      <c r="R4604" t="s">
        <v>71</v>
      </c>
      <c r="S4604" t="s">
        <v>2458</v>
      </c>
      <c r="T4604" t="s">
        <v>2459</v>
      </c>
    </row>
    <row r="4605" spans="1:20" x14ac:dyDescent="0.25">
      <c r="A4605" t="s">
        <v>10564</v>
      </c>
      <c r="B4605" t="str">
        <f>"4648"</f>
        <v>4648</v>
      </c>
      <c r="C4605" t="str">
        <f>"281944648"</f>
        <v>281944648</v>
      </c>
      <c r="D4605" t="s">
        <v>9987</v>
      </c>
      <c r="E4605" t="s">
        <v>35</v>
      </c>
      <c r="F4605" t="s">
        <v>2075</v>
      </c>
      <c r="G4605" s="1">
        <v>14192</v>
      </c>
      <c r="H4605" s="1">
        <v>33980</v>
      </c>
      <c r="I4605" t="str">
        <f>"51"</f>
        <v>51</v>
      </c>
      <c r="J4605" t="s">
        <v>471</v>
      </c>
      <c r="K4605" t="s">
        <v>25</v>
      </c>
      <c r="L4605" t="s">
        <v>26</v>
      </c>
      <c r="M4605" t="s">
        <v>27</v>
      </c>
      <c r="N4605" s="1">
        <v>18629</v>
      </c>
      <c r="O4605">
        <v>0</v>
      </c>
      <c r="P4605">
        <v>0</v>
      </c>
      <c r="Q4605" t="s">
        <v>28</v>
      </c>
      <c r="R4605" t="s">
        <v>71</v>
      </c>
      <c r="S4605" t="s">
        <v>2602</v>
      </c>
      <c r="T4605" t="s">
        <v>2603</v>
      </c>
    </row>
    <row r="4606" spans="1:20" x14ac:dyDescent="0.25">
      <c r="A4606" t="s">
        <v>10565</v>
      </c>
      <c r="B4606" t="str">
        <f>"5926"</f>
        <v>5926</v>
      </c>
      <c r="C4606" t="str">
        <f>"287425926"</f>
        <v>287425926</v>
      </c>
      <c r="D4606" t="s">
        <v>5724</v>
      </c>
      <c r="E4606" t="s">
        <v>1081</v>
      </c>
      <c r="F4606" t="s">
        <v>556</v>
      </c>
      <c r="G4606" s="1">
        <v>20788</v>
      </c>
      <c r="H4606" s="1">
        <v>33973</v>
      </c>
      <c r="I4606" t="str">
        <f>"51"</f>
        <v>51</v>
      </c>
      <c r="J4606" t="s">
        <v>471</v>
      </c>
      <c r="K4606" t="s">
        <v>25</v>
      </c>
      <c r="L4606" t="s">
        <v>26</v>
      </c>
      <c r="M4606" t="s">
        <v>27</v>
      </c>
      <c r="N4606" s="1">
        <v>18629</v>
      </c>
      <c r="O4606">
        <v>0</v>
      </c>
      <c r="P4606">
        <v>0</v>
      </c>
      <c r="Q4606" t="s">
        <v>28</v>
      </c>
      <c r="R4606" t="s">
        <v>51</v>
      </c>
      <c r="S4606" s="2" t="s">
        <v>1727</v>
      </c>
      <c r="T4606" t="s">
        <v>1728</v>
      </c>
    </row>
    <row r="4607" spans="1:20" x14ac:dyDescent="0.25">
      <c r="A4607" t="s">
        <v>10566</v>
      </c>
      <c r="B4607" t="str">
        <f>"0125"</f>
        <v>0125</v>
      </c>
      <c r="C4607" t="str">
        <f>"285520125"</f>
        <v>285520125</v>
      </c>
      <c r="D4607" t="s">
        <v>10567</v>
      </c>
      <c r="E4607" t="s">
        <v>1981</v>
      </c>
      <c r="G4607" s="1">
        <v>19076</v>
      </c>
      <c r="H4607" s="1">
        <v>33861</v>
      </c>
      <c r="I4607" t="str">
        <f>"51"</f>
        <v>51</v>
      </c>
      <c r="J4607" t="s">
        <v>471</v>
      </c>
      <c r="K4607" t="s">
        <v>25</v>
      </c>
      <c r="L4607" t="s">
        <v>26</v>
      </c>
      <c r="M4607" t="s">
        <v>27</v>
      </c>
      <c r="N4607" s="1">
        <v>18629</v>
      </c>
      <c r="O4607">
        <v>0</v>
      </c>
      <c r="P4607">
        <v>0</v>
      </c>
      <c r="Q4607" t="s">
        <v>37</v>
      </c>
      <c r="R4607" t="s">
        <v>51</v>
      </c>
      <c r="S4607" s="2" t="s">
        <v>2202</v>
      </c>
      <c r="T4607" t="s">
        <v>2203</v>
      </c>
    </row>
    <row r="4608" spans="1:20" x14ac:dyDescent="0.25">
      <c r="A4608" t="s">
        <v>10568</v>
      </c>
      <c r="B4608" t="str">
        <f>"5047"</f>
        <v>5047</v>
      </c>
      <c r="C4608" t="str">
        <f>"301505047"</f>
        <v>301505047</v>
      </c>
      <c r="D4608" t="s">
        <v>1106</v>
      </c>
      <c r="E4608" t="s">
        <v>430</v>
      </c>
      <c r="F4608" t="s">
        <v>93</v>
      </c>
      <c r="G4608" s="1">
        <v>19235</v>
      </c>
      <c r="H4608" s="1">
        <v>33861</v>
      </c>
      <c r="I4608" t="str">
        <f>"03"</f>
        <v>03</v>
      </c>
      <c r="J4608" t="s">
        <v>70</v>
      </c>
      <c r="K4608" t="s">
        <v>98</v>
      </c>
      <c r="L4608" t="s">
        <v>37</v>
      </c>
      <c r="M4608" t="s">
        <v>257</v>
      </c>
      <c r="N4608" s="1">
        <v>41617</v>
      </c>
      <c r="O4608">
        <v>10753.08</v>
      </c>
      <c r="P4608">
        <v>2688.4</v>
      </c>
      <c r="Q4608" t="s">
        <v>28</v>
      </c>
      <c r="R4608" t="s">
        <v>71</v>
      </c>
      <c r="S4608" t="s">
        <v>3419</v>
      </c>
      <c r="T4608" t="s">
        <v>3420</v>
      </c>
    </row>
    <row r="4609" spans="1:20" x14ac:dyDescent="0.25">
      <c r="A4609" t="s">
        <v>10569</v>
      </c>
      <c r="B4609" t="str">
        <f>"9588"</f>
        <v>9588</v>
      </c>
      <c r="C4609" t="str">
        <f>"281469588"</f>
        <v>281469588</v>
      </c>
      <c r="D4609" t="s">
        <v>10570</v>
      </c>
      <c r="E4609" t="s">
        <v>146</v>
      </c>
      <c r="G4609" s="1">
        <v>17599</v>
      </c>
      <c r="H4609" s="1">
        <v>33848</v>
      </c>
      <c r="I4609" t="str">
        <f>"20"</f>
        <v>20</v>
      </c>
      <c r="J4609" t="s">
        <v>123</v>
      </c>
      <c r="K4609" t="s">
        <v>98</v>
      </c>
      <c r="L4609" t="s">
        <v>37</v>
      </c>
      <c r="M4609" t="s">
        <v>257</v>
      </c>
      <c r="N4609" s="1">
        <v>41631</v>
      </c>
      <c r="O4609">
        <v>10753.16</v>
      </c>
      <c r="P4609">
        <v>2688.4</v>
      </c>
      <c r="Q4609" t="s">
        <v>37</v>
      </c>
      <c r="R4609" t="s">
        <v>71</v>
      </c>
      <c r="S4609" t="s">
        <v>790</v>
      </c>
      <c r="T4609" t="s">
        <v>791</v>
      </c>
    </row>
    <row r="4610" spans="1:20" x14ac:dyDescent="0.25">
      <c r="A4610" t="s">
        <v>10571</v>
      </c>
      <c r="B4610" t="str">
        <f>"5799"</f>
        <v>5799</v>
      </c>
      <c r="C4610" t="str">
        <f>"097485799"</f>
        <v>097485799</v>
      </c>
      <c r="D4610" t="s">
        <v>10572</v>
      </c>
      <c r="E4610" t="s">
        <v>3646</v>
      </c>
      <c r="G4610" s="1">
        <v>19598</v>
      </c>
      <c r="H4610" s="1">
        <v>33848</v>
      </c>
      <c r="I4610" t="str">
        <f>"20"</f>
        <v>20</v>
      </c>
      <c r="J4610" t="s">
        <v>123</v>
      </c>
      <c r="K4610" t="s">
        <v>98</v>
      </c>
      <c r="L4610" t="s">
        <v>37</v>
      </c>
      <c r="M4610" t="s">
        <v>117</v>
      </c>
      <c r="N4610" s="1">
        <v>41631</v>
      </c>
      <c r="O4610">
        <v>4951.9799999999996</v>
      </c>
      <c r="P4610">
        <v>1237.94</v>
      </c>
      <c r="Q4610" t="s">
        <v>28</v>
      </c>
      <c r="R4610" t="s">
        <v>51</v>
      </c>
      <c r="S4610" s="2" t="s">
        <v>4750</v>
      </c>
      <c r="T4610" t="s">
        <v>4751</v>
      </c>
    </row>
    <row r="4611" spans="1:20" x14ac:dyDescent="0.25">
      <c r="A4611" t="s">
        <v>10573</v>
      </c>
      <c r="B4611" t="str">
        <f>"8407"</f>
        <v>8407</v>
      </c>
      <c r="C4611" t="str">
        <f>"293588407"</f>
        <v>293588407</v>
      </c>
      <c r="D4611" t="s">
        <v>10574</v>
      </c>
      <c r="E4611" t="s">
        <v>256</v>
      </c>
      <c r="F4611" t="s">
        <v>28</v>
      </c>
      <c r="G4611" s="1">
        <v>22215</v>
      </c>
      <c r="H4611" s="1">
        <v>33847</v>
      </c>
      <c r="I4611" t="str">
        <f>"08"</f>
        <v>08</v>
      </c>
      <c r="J4611" t="s">
        <v>265</v>
      </c>
      <c r="K4611" t="s">
        <v>98</v>
      </c>
      <c r="L4611" t="s">
        <v>37</v>
      </c>
      <c r="M4611" t="s">
        <v>99</v>
      </c>
      <c r="N4611" s="1">
        <v>41617</v>
      </c>
      <c r="O4611">
        <v>14801.8</v>
      </c>
      <c r="P4611">
        <v>3700.32</v>
      </c>
      <c r="Q4611" t="s">
        <v>37</v>
      </c>
      <c r="R4611" t="s">
        <v>71</v>
      </c>
      <c r="S4611" t="s">
        <v>6783</v>
      </c>
      <c r="T4611" t="s">
        <v>6784</v>
      </c>
    </row>
    <row r="4612" spans="1:20" x14ac:dyDescent="0.25">
      <c r="A4612" t="s">
        <v>10575</v>
      </c>
      <c r="B4612" t="str">
        <f>"9492"</f>
        <v>9492</v>
      </c>
      <c r="C4612" t="str">
        <f>"374609492"</f>
        <v>374609492</v>
      </c>
      <c r="D4612" t="s">
        <v>10576</v>
      </c>
      <c r="E4612" t="s">
        <v>5693</v>
      </c>
      <c r="G4612" s="1">
        <v>19449</v>
      </c>
      <c r="H4612" s="1">
        <v>33786</v>
      </c>
      <c r="I4612" t="str">
        <f>"03"</f>
        <v>03</v>
      </c>
      <c r="J4612" t="s">
        <v>70</v>
      </c>
      <c r="K4612" t="s">
        <v>98</v>
      </c>
      <c r="L4612" t="s">
        <v>37</v>
      </c>
      <c r="M4612" t="s">
        <v>257</v>
      </c>
      <c r="N4612" s="1">
        <v>41617</v>
      </c>
      <c r="O4612">
        <v>10753.08</v>
      </c>
      <c r="P4612">
        <v>2688.4</v>
      </c>
      <c r="Q4612" t="s">
        <v>28</v>
      </c>
      <c r="R4612" t="s">
        <v>38</v>
      </c>
      <c r="S4612" t="s">
        <v>2678</v>
      </c>
      <c r="T4612" t="s">
        <v>2679</v>
      </c>
    </row>
    <row r="4613" spans="1:20" x14ac:dyDescent="0.25">
      <c r="A4613" t="s">
        <v>10577</v>
      </c>
      <c r="B4613" t="str">
        <f>"8449"</f>
        <v>8449</v>
      </c>
      <c r="C4613" t="str">
        <f>"302488449"</f>
        <v>302488449</v>
      </c>
      <c r="D4613" t="s">
        <v>1045</v>
      </c>
      <c r="E4613" t="s">
        <v>275</v>
      </c>
      <c r="G4613" s="1">
        <v>18212</v>
      </c>
      <c r="H4613" s="1">
        <v>33786</v>
      </c>
      <c r="I4613" t="str">
        <f>"03"</f>
        <v>03</v>
      </c>
      <c r="J4613" t="s">
        <v>70</v>
      </c>
      <c r="K4613" t="s">
        <v>98</v>
      </c>
      <c r="L4613" t="s">
        <v>37</v>
      </c>
      <c r="M4613" t="s">
        <v>117</v>
      </c>
      <c r="N4613" s="1">
        <v>41617</v>
      </c>
      <c r="O4613">
        <v>4951.96</v>
      </c>
      <c r="P4613">
        <v>1237.8599999999999</v>
      </c>
      <c r="Q4613" t="s">
        <v>37</v>
      </c>
      <c r="R4613" t="s">
        <v>38</v>
      </c>
      <c r="S4613" t="s">
        <v>5219</v>
      </c>
      <c r="T4613" t="s">
        <v>5220</v>
      </c>
    </row>
    <row r="4614" spans="1:20" x14ac:dyDescent="0.25">
      <c r="A4614" t="s">
        <v>10578</v>
      </c>
      <c r="B4614" t="str">
        <f>"4150"</f>
        <v>4150</v>
      </c>
      <c r="C4614" t="str">
        <f>"273484150"</f>
        <v>273484150</v>
      </c>
      <c r="D4614" t="s">
        <v>10579</v>
      </c>
      <c r="E4614" t="s">
        <v>5731</v>
      </c>
      <c r="F4614" t="s">
        <v>264</v>
      </c>
      <c r="G4614" s="1">
        <v>19504</v>
      </c>
      <c r="H4614" s="1">
        <v>33786</v>
      </c>
      <c r="I4614" t="str">
        <f>"03"</f>
        <v>03</v>
      </c>
      <c r="J4614" t="s">
        <v>70</v>
      </c>
      <c r="K4614" t="s">
        <v>98</v>
      </c>
      <c r="L4614" t="s">
        <v>37</v>
      </c>
      <c r="M4614" t="s">
        <v>117</v>
      </c>
      <c r="N4614" s="1">
        <v>41617</v>
      </c>
      <c r="O4614">
        <v>4951.96</v>
      </c>
      <c r="P4614">
        <v>1237.8599999999999</v>
      </c>
      <c r="Q4614" t="s">
        <v>28</v>
      </c>
      <c r="R4614" t="s">
        <v>38</v>
      </c>
      <c r="S4614" t="s">
        <v>5219</v>
      </c>
      <c r="T4614" t="s">
        <v>5220</v>
      </c>
    </row>
    <row r="4615" spans="1:20" x14ac:dyDescent="0.25">
      <c r="A4615" t="s">
        <v>10580</v>
      </c>
      <c r="B4615" t="str">
        <f>"5024"</f>
        <v>5024</v>
      </c>
      <c r="C4615" t="str">
        <f>"557965024"</f>
        <v>557965024</v>
      </c>
      <c r="D4615" t="s">
        <v>10581</v>
      </c>
      <c r="E4615" t="s">
        <v>179</v>
      </c>
      <c r="F4615" t="s">
        <v>329</v>
      </c>
      <c r="G4615" s="1">
        <v>19274</v>
      </c>
      <c r="H4615" s="1">
        <v>33786</v>
      </c>
      <c r="I4615" t="str">
        <f>"03"</f>
        <v>03</v>
      </c>
      <c r="J4615" t="s">
        <v>70</v>
      </c>
      <c r="K4615" t="s">
        <v>98</v>
      </c>
      <c r="L4615" t="s">
        <v>37</v>
      </c>
      <c r="M4615" t="s">
        <v>257</v>
      </c>
      <c r="N4615" s="1">
        <v>41617</v>
      </c>
      <c r="O4615">
        <v>10753.08</v>
      </c>
      <c r="P4615">
        <v>2688.4</v>
      </c>
      <c r="Q4615" t="s">
        <v>28</v>
      </c>
      <c r="R4615" t="s">
        <v>38</v>
      </c>
      <c r="S4615" t="s">
        <v>1777</v>
      </c>
      <c r="T4615" t="s">
        <v>1778</v>
      </c>
    </row>
    <row r="4616" spans="1:20" x14ac:dyDescent="0.25">
      <c r="A4616" t="s">
        <v>10582</v>
      </c>
      <c r="B4616" t="str">
        <f>"2417"</f>
        <v>2417</v>
      </c>
      <c r="C4616" t="str">
        <f>"289542417"</f>
        <v>289542417</v>
      </c>
      <c r="D4616" t="s">
        <v>10583</v>
      </c>
      <c r="E4616" t="s">
        <v>122</v>
      </c>
      <c r="F4616" t="s">
        <v>37</v>
      </c>
      <c r="G4616" s="1">
        <v>19614</v>
      </c>
      <c r="H4616" s="1">
        <v>33786</v>
      </c>
      <c r="I4616" t="str">
        <f>"03"</f>
        <v>03</v>
      </c>
      <c r="J4616" t="s">
        <v>70</v>
      </c>
      <c r="K4616" t="s">
        <v>98</v>
      </c>
      <c r="L4616" t="s">
        <v>37</v>
      </c>
      <c r="M4616" t="s">
        <v>257</v>
      </c>
      <c r="N4616" s="1">
        <v>41617</v>
      </c>
      <c r="O4616">
        <v>10753.08</v>
      </c>
      <c r="P4616">
        <v>2688.4</v>
      </c>
      <c r="Q4616" t="s">
        <v>28</v>
      </c>
      <c r="R4616" t="s">
        <v>38</v>
      </c>
      <c r="S4616" t="s">
        <v>2678</v>
      </c>
      <c r="T4616" t="s">
        <v>2679</v>
      </c>
    </row>
    <row r="4617" spans="1:20" x14ac:dyDescent="0.25">
      <c r="A4617" t="s">
        <v>10584</v>
      </c>
      <c r="B4617" t="str">
        <f>"7289"</f>
        <v>7289</v>
      </c>
      <c r="C4617" t="str">
        <f>"287747289"</f>
        <v>287747289</v>
      </c>
      <c r="D4617" t="s">
        <v>310</v>
      </c>
      <c r="E4617" t="s">
        <v>3070</v>
      </c>
      <c r="F4617" t="s">
        <v>282</v>
      </c>
      <c r="G4617" s="1">
        <v>23939</v>
      </c>
      <c r="H4617" s="1">
        <v>33786</v>
      </c>
      <c r="I4617" t="str">
        <f>"05"</f>
        <v>05</v>
      </c>
      <c r="J4617" t="s">
        <v>58</v>
      </c>
      <c r="K4617" t="s">
        <v>98</v>
      </c>
      <c r="L4617" t="s">
        <v>37</v>
      </c>
      <c r="M4617" t="s">
        <v>99</v>
      </c>
      <c r="N4617" s="1">
        <v>41617</v>
      </c>
      <c r="O4617">
        <v>14801.8</v>
      </c>
      <c r="P4617">
        <v>3700.32</v>
      </c>
      <c r="Q4617" t="s">
        <v>28</v>
      </c>
      <c r="R4617" t="s">
        <v>29</v>
      </c>
      <c r="S4617" t="s">
        <v>1173</v>
      </c>
      <c r="T4617" t="s">
        <v>1174</v>
      </c>
    </row>
    <row r="4618" spans="1:20" x14ac:dyDescent="0.25">
      <c r="A4618" t="s">
        <v>10585</v>
      </c>
      <c r="B4618" t="str">
        <f>"9890"</f>
        <v>9890</v>
      </c>
      <c r="C4618" t="str">
        <f>"274489890"</f>
        <v>274489890</v>
      </c>
      <c r="D4618" t="s">
        <v>10586</v>
      </c>
      <c r="E4618" t="s">
        <v>2070</v>
      </c>
      <c r="G4618" s="1">
        <v>18277</v>
      </c>
      <c r="H4618" s="1">
        <v>33777</v>
      </c>
      <c r="I4618" t="str">
        <f>"51"</f>
        <v>51</v>
      </c>
      <c r="J4618" t="s">
        <v>471</v>
      </c>
      <c r="K4618" t="s">
        <v>25</v>
      </c>
      <c r="L4618" t="s">
        <v>26</v>
      </c>
      <c r="M4618" t="s">
        <v>27</v>
      </c>
      <c r="N4618" s="1">
        <v>18629</v>
      </c>
      <c r="O4618">
        <v>0</v>
      </c>
      <c r="P4618">
        <v>0</v>
      </c>
      <c r="Q4618" t="s">
        <v>37</v>
      </c>
      <c r="R4618" t="s">
        <v>29</v>
      </c>
      <c r="S4618" t="s">
        <v>1707</v>
      </c>
      <c r="T4618" t="s">
        <v>1708</v>
      </c>
    </row>
    <row r="4619" spans="1:20" x14ac:dyDescent="0.25">
      <c r="A4619" t="s">
        <v>10587</v>
      </c>
      <c r="B4619" t="str">
        <f>"7320"</f>
        <v>7320</v>
      </c>
      <c r="C4619" t="str">
        <f>"270787320"</f>
        <v>270787320</v>
      </c>
      <c r="D4619" t="s">
        <v>10588</v>
      </c>
      <c r="E4619" t="s">
        <v>430</v>
      </c>
      <c r="F4619" t="s">
        <v>219</v>
      </c>
      <c r="G4619" s="1">
        <v>25431</v>
      </c>
      <c r="H4619" s="1">
        <v>33756</v>
      </c>
      <c r="I4619" t="str">
        <f>"42"</f>
        <v>42</v>
      </c>
      <c r="J4619" t="s">
        <v>367</v>
      </c>
      <c r="K4619" t="s">
        <v>25</v>
      </c>
      <c r="L4619" t="s">
        <v>26</v>
      </c>
      <c r="M4619" t="s">
        <v>27</v>
      </c>
      <c r="N4619" s="1">
        <v>18629</v>
      </c>
      <c r="O4619">
        <v>0</v>
      </c>
      <c r="P4619">
        <v>0</v>
      </c>
      <c r="Q4619" t="s">
        <v>28</v>
      </c>
      <c r="R4619" t="s">
        <v>71</v>
      </c>
      <c r="S4619" t="s">
        <v>570</v>
      </c>
      <c r="T4619" t="s">
        <v>571</v>
      </c>
    </row>
    <row r="4620" spans="1:20" x14ac:dyDescent="0.25">
      <c r="A4620" t="s">
        <v>10589</v>
      </c>
      <c r="B4620" t="str">
        <f>"9894"</f>
        <v>9894</v>
      </c>
      <c r="C4620" t="str">
        <f>"274549894"</f>
        <v>274549894</v>
      </c>
      <c r="D4620" t="s">
        <v>10590</v>
      </c>
      <c r="E4620" t="s">
        <v>1081</v>
      </c>
      <c r="F4620" t="s">
        <v>264</v>
      </c>
      <c r="G4620" s="1">
        <v>23459</v>
      </c>
      <c r="H4620" s="1">
        <v>33665</v>
      </c>
      <c r="I4620" t="str">
        <f>"05"</f>
        <v>05</v>
      </c>
      <c r="J4620" t="s">
        <v>58</v>
      </c>
      <c r="K4620" t="s">
        <v>175</v>
      </c>
      <c r="L4620" t="s">
        <v>37</v>
      </c>
      <c r="M4620" t="s">
        <v>257</v>
      </c>
      <c r="N4620" s="1">
        <v>41617</v>
      </c>
      <c r="O4620">
        <v>11847.94</v>
      </c>
      <c r="P4620">
        <v>2961.92</v>
      </c>
      <c r="Q4620" t="s">
        <v>28</v>
      </c>
      <c r="R4620" t="s">
        <v>29</v>
      </c>
      <c r="S4620" t="s">
        <v>1671</v>
      </c>
      <c r="T4620" t="s">
        <v>1672</v>
      </c>
    </row>
    <row r="4621" spans="1:20" x14ac:dyDescent="0.25">
      <c r="A4621" t="s">
        <v>10591</v>
      </c>
      <c r="B4621" t="str">
        <f>"6972"</f>
        <v>6972</v>
      </c>
      <c r="C4621" t="str">
        <f>"275706972"</f>
        <v>275706972</v>
      </c>
      <c r="D4621" t="s">
        <v>9649</v>
      </c>
      <c r="E4621" t="s">
        <v>10592</v>
      </c>
      <c r="F4621" t="s">
        <v>10593</v>
      </c>
      <c r="G4621" s="1">
        <v>23254</v>
      </c>
      <c r="H4621" s="1">
        <v>33511</v>
      </c>
      <c r="I4621" t="str">
        <f>"15"</f>
        <v>15</v>
      </c>
      <c r="J4621" t="s">
        <v>36</v>
      </c>
      <c r="K4621" t="s">
        <v>175</v>
      </c>
      <c r="L4621" t="s">
        <v>37</v>
      </c>
      <c r="M4621" t="s">
        <v>117</v>
      </c>
      <c r="N4621" s="1">
        <v>41617</v>
      </c>
      <c r="O4621">
        <v>5288.66</v>
      </c>
      <c r="P4621">
        <v>1322.1</v>
      </c>
      <c r="Q4621" t="s">
        <v>37</v>
      </c>
      <c r="R4621" t="s">
        <v>29</v>
      </c>
      <c r="S4621" t="s">
        <v>934</v>
      </c>
      <c r="T4621" t="s">
        <v>935</v>
      </c>
    </row>
    <row r="4622" spans="1:20" x14ac:dyDescent="0.25">
      <c r="A4622" t="s">
        <v>10594</v>
      </c>
      <c r="B4622" t="str">
        <f>"4471"</f>
        <v>4471</v>
      </c>
      <c r="C4622" t="str">
        <f>"284544471"</f>
        <v>284544471</v>
      </c>
      <c r="D4622" t="s">
        <v>5728</v>
      </c>
      <c r="E4622" t="s">
        <v>2152</v>
      </c>
      <c r="F4622" t="s">
        <v>44</v>
      </c>
      <c r="G4622" s="1">
        <v>19482</v>
      </c>
      <c r="H4622" s="1">
        <v>33500</v>
      </c>
      <c r="I4622" t="str">
        <f>"33"</f>
        <v>33</v>
      </c>
      <c r="J4622" t="s">
        <v>45</v>
      </c>
      <c r="K4622" t="s">
        <v>25</v>
      </c>
      <c r="L4622" t="s">
        <v>26</v>
      </c>
      <c r="M4622" t="s">
        <v>27</v>
      </c>
      <c r="N4622" s="1">
        <v>18629</v>
      </c>
      <c r="O4622">
        <v>0</v>
      </c>
      <c r="P4622">
        <v>0</v>
      </c>
      <c r="Q4622" t="s">
        <v>37</v>
      </c>
      <c r="R4622" t="s">
        <v>51</v>
      </c>
      <c r="S4622" t="s">
        <v>795</v>
      </c>
      <c r="T4622" t="s">
        <v>796</v>
      </c>
    </row>
    <row r="4623" spans="1:20" x14ac:dyDescent="0.25">
      <c r="A4623" t="s">
        <v>10595</v>
      </c>
      <c r="B4623" t="str">
        <f>"3172"</f>
        <v>3172</v>
      </c>
      <c r="C4623" t="str">
        <f>"275923172"</f>
        <v>275923172</v>
      </c>
      <c r="D4623" t="s">
        <v>10596</v>
      </c>
      <c r="E4623" t="s">
        <v>10597</v>
      </c>
      <c r="F4623" t="s">
        <v>93</v>
      </c>
      <c r="G4623" s="1">
        <v>18987</v>
      </c>
      <c r="H4623" s="1">
        <v>33484</v>
      </c>
      <c r="I4623" t="str">
        <f>"20"</f>
        <v>20</v>
      </c>
      <c r="J4623" t="s">
        <v>123</v>
      </c>
      <c r="K4623" t="s">
        <v>98</v>
      </c>
      <c r="L4623" t="s">
        <v>37</v>
      </c>
      <c r="M4623" t="s">
        <v>257</v>
      </c>
      <c r="N4623" s="1">
        <v>41631</v>
      </c>
      <c r="O4623">
        <v>10753.16</v>
      </c>
      <c r="P4623">
        <v>2688.4</v>
      </c>
      <c r="Q4623" t="s">
        <v>28</v>
      </c>
      <c r="R4623" t="s">
        <v>71</v>
      </c>
      <c r="S4623" t="s">
        <v>871</v>
      </c>
      <c r="T4623" t="s">
        <v>872</v>
      </c>
    </row>
    <row r="4624" spans="1:20" x14ac:dyDescent="0.25">
      <c r="A4624" t="s">
        <v>10598</v>
      </c>
      <c r="B4624" t="str">
        <f>"5061"</f>
        <v>5061</v>
      </c>
      <c r="C4624" t="str">
        <f>"293585061"</f>
        <v>293585061</v>
      </c>
      <c r="D4624" t="s">
        <v>2938</v>
      </c>
      <c r="E4624" t="s">
        <v>1808</v>
      </c>
      <c r="F4624" t="s">
        <v>44</v>
      </c>
      <c r="G4624" s="1">
        <v>20558</v>
      </c>
      <c r="H4624" s="1">
        <v>33484</v>
      </c>
      <c r="I4624" t="str">
        <f>"20"</f>
        <v>20</v>
      </c>
      <c r="J4624" t="s">
        <v>123</v>
      </c>
      <c r="K4624" t="s">
        <v>98</v>
      </c>
      <c r="L4624" t="s">
        <v>37</v>
      </c>
      <c r="M4624" t="s">
        <v>99</v>
      </c>
      <c r="N4624" s="1">
        <v>41631</v>
      </c>
      <c r="O4624">
        <v>14801.82</v>
      </c>
      <c r="P4624">
        <v>3700.4</v>
      </c>
      <c r="Q4624" t="s">
        <v>37</v>
      </c>
      <c r="R4624" t="s">
        <v>29</v>
      </c>
      <c r="S4624" t="s">
        <v>138</v>
      </c>
      <c r="T4624" t="s">
        <v>139</v>
      </c>
    </row>
    <row r="4625" spans="1:20" x14ac:dyDescent="0.25">
      <c r="A4625" t="s">
        <v>10599</v>
      </c>
      <c r="B4625" t="str">
        <f>"0965"</f>
        <v>0965</v>
      </c>
      <c r="C4625" t="str">
        <f>"464760965"</f>
        <v>464760965</v>
      </c>
      <c r="D4625" t="s">
        <v>10600</v>
      </c>
      <c r="E4625" t="s">
        <v>3605</v>
      </c>
      <c r="F4625" t="s">
        <v>276</v>
      </c>
      <c r="G4625" s="1">
        <v>18243</v>
      </c>
      <c r="H4625" s="1">
        <v>33484</v>
      </c>
      <c r="I4625" t="str">
        <f>"20"</f>
        <v>20</v>
      </c>
      <c r="J4625" t="s">
        <v>123</v>
      </c>
      <c r="K4625" t="s">
        <v>175</v>
      </c>
      <c r="L4625" t="s">
        <v>37</v>
      </c>
      <c r="M4625" t="s">
        <v>117</v>
      </c>
      <c r="N4625" s="1">
        <v>41631</v>
      </c>
      <c r="O4625">
        <v>5288.8</v>
      </c>
      <c r="P4625">
        <v>1322.2</v>
      </c>
      <c r="Q4625" t="s">
        <v>37</v>
      </c>
      <c r="R4625" t="s">
        <v>71</v>
      </c>
      <c r="S4625" t="s">
        <v>2634</v>
      </c>
      <c r="T4625" t="s">
        <v>2635</v>
      </c>
    </row>
    <row r="4626" spans="1:20" x14ac:dyDescent="0.25">
      <c r="A4626" t="s">
        <v>10601</v>
      </c>
      <c r="B4626" t="str">
        <f>"9164"</f>
        <v>9164</v>
      </c>
      <c r="C4626" t="str">
        <f>"298609164"</f>
        <v>298609164</v>
      </c>
      <c r="D4626" t="s">
        <v>10602</v>
      </c>
      <c r="E4626" t="s">
        <v>1026</v>
      </c>
      <c r="F4626" t="s">
        <v>37</v>
      </c>
      <c r="G4626" s="1">
        <v>18408</v>
      </c>
      <c r="H4626" s="1">
        <v>33483</v>
      </c>
      <c r="I4626" t="str">
        <f>"51"</f>
        <v>51</v>
      </c>
      <c r="J4626" t="s">
        <v>471</v>
      </c>
      <c r="K4626" t="s">
        <v>25</v>
      </c>
      <c r="L4626" t="s">
        <v>26</v>
      </c>
      <c r="M4626" t="s">
        <v>27</v>
      </c>
      <c r="N4626" s="1">
        <v>18629</v>
      </c>
      <c r="O4626">
        <v>0</v>
      </c>
      <c r="P4626">
        <v>0</v>
      </c>
      <c r="Q4626" t="s">
        <v>37</v>
      </c>
      <c r="R4626" t="s">
        <v>71</v>
      </c>
      <c r="S4626" t="s">
        <v>1504</v>
      </c>
      <c r="T4626" t="s">
        <v>1505</v>
      </c>
    </row>
    <row r="4627" spans="1:20" x14ac:dyDescent="0.25">
      <c r="A4627" t="s">
        <v>10603</v>
      </c>
      <c r="B4627" t="str">
        <f>"9084"</f>
        <v>9084</v>
      </c>
      <c r="C4627" t="str">
        <f>"278429084"</f>
        <v>278429084</v>
      </c>
      <c r="D4627" t="s">
        <v>10604</v>
      </c>
      <c r="E4627" t="s">
        <v>1589</v>
      </c>
      <c r="G4627" s="1">
        <v>18074</v>
      </c>
      <c r="H4627" s="1">
        <v>33483</v>
      </c>
      <c r="I4627" t="str">
        <f>"51"</f>
        <v>51</v>
      </c>
      <c r="J4627" t="s">
        <v>471</v>
      </c>
      <c r="K4627" t="s">
        <v>25</v>
      </c>
      <c r="L4627" t="s">
        <v>26</v>
      </c>
      <c r="M4627" t="s">
        <v>27</v>
      </c>
      <c r="N4627" s="1">
        <v>18629</v>
      </c>
      <c r="O4627">
        <v>0</v>
      </c>
      <c r="P4627">
        <v>0</v>
      </c>
      <c r="Q4627" t="s">
        <v>37</v>
      </c>
      <c r="R4627" t="s">
        <v>51</v>
      </c>
      <c r="S4627" s="2" t="s">
        <v>1568</v>
      </c>
      <c r="T4627" t="s">
        <v>1569</v>
      </c>
    </row>
    <row r="4628" spans="1:20" x14ac:dyDescent="0.25">
      <c r="A4628" t="s">
        <v>10605</v>
      </c>
      <c r="B4628" t="str">
        <f>"0080"</f>
        <v>0080</v>
      </c>
      <c r="C4628" t="str">
        <f>"297280080"</f>
        <v>297280080</v>
      </c>
      <c r="D4628" t="s">
        <v>10606</v>
      </c>
      <c r="E4628" t="s">
        <v>3181</v>
      </c>
      <c r="F4628" t="s">
        <v>97</v>
      </c>
      <c r="G4628" s="1">
        <v>12398</v>
      </c>
      <c r="H4628" s="1">
        <v>33371</v>
      </c>
      <c r="I4628" t="str">
        <f>"51"</f>
        <v>51</v>
      </c>
      <c r="J4628" t="s">
        <v>471</v>
      </c>
      <c r="K4628" t="s">
        <v>25</v>
      </c>
      <c r="L4628" t="s">
        <v>26</v>
      </c>
      <c r="M4628" t="s">
        <v>27</v>
      </c>
      <c r="N4628" s="1">
        <v>18629</v>
      </c>
      <c r="O4628">
        <v>0</v>
      </c>
      <c r="P4628">
        <v>0</v>
      </c>
      <c r="Q4628" t="s">
        <v>28</v>
      </c>
      <c r="R4628" t="s">
        <v>71</v>
      </c>
      <c r="S4628" t="s">
        <v>4000</v>
      </c>
      <c r="T4628" t="s">
        <v>4001</v>
      </c>
    </row>
    <row r="4629" spans="1:20" x14ac:dyDescent="0.25">
      <c r="A4629" t="s">
        <v>10607</v>
      </c>
      <c r="B4629" t="str">
        <f>"2010"</f>
        <v>2010</v>
      </c>
      <c r="C4629" t="str">
        <f>"268742010"</f>
        <v>268742010</v>
      </c>
      <c r="D4629" t="s">
        <v>7366</v>
      </c>
      <c r="E4629" t="s">
        <v>1465</v>
      </c>
      <c r="F4629" t="s">
        <v>165</v>
      </c>
      <c r="G4629" s="1">
        <v>23620</v>
      </c>
      <c r="H4629" s="1">
        <v>33343</v>
      </c>
      <c r="I4629" t="str">
        <f>"08"</f>
        <v>08</v>
      </c>
      <c r="J4629" t="s">
        <v>265</v>
      </c>
      <c r="K4629" t="s">
        <v>175</v>
      </c>
      <c r="L4629" t="s">
        <v>37</v>
      </c>
      <c r="M4629" t="s">
        <v>117</v>
      </c>
      <c r="N4629" s="1">
        <v>41617</v>
      </c>
      <c r="O4629">
        <v>5288.66</v>
      </c>
      <c r="P4629">
        <v>1322.1</v>
      </c>
      <c r="Q4629" t="s">
        <v>28</v>
      </c>
      <c r="R4629" t="s">
        <v>51</v>
      </c>
      <c r="S4629" t="s">
        <v>8900</v>
      </c>
      <c r="T4629" t="s">
        <v>8901</v>
      </c>
    </row>
    <row r="4630" spans="1:20" x14ac:dyDescent="0.25">
      <c r="A4630" t="s">
        <v>10608</v>
      </c>
      <c r="B4630" t="str">
        <f>"1015"</f>
        <v>1015</v>
      </c>
      <c r="C4630" t="str">
        <f>"269561015"</f>
        <v>269561015</v>
      </c>
      <c r="D4630" t="s">
        <v>10467</v>
      </c>
      <c r="E4630" t="s">
        <v>2617</v>
      </c>
      <c r="F4630" t="s">
        <v>219</v>
      </c>
      <c r="G4630" s="1">
        <v>24012</v>
      </c>
      <c r="H4630" s="1">
        <v>33343</v>
      </c>
      <c r="I4630" t="str">
        <f>"30"</f>
        <v>30</v>
      </c>
      <c r="J4630" t="s">
        <v>50</v>
      </c>
      <c r="K4630" t="s">
        <v>25</v>
      </c>
      <c r="L4630" t="s">
        <v>26</v>
      </c>
      <c r="M4630" t="s">
        <v>27</v>
      </c>
      <c r="N4630" s="1">
        <v>18629</v>
      </c>
      <c r="O4630">
        <v>0</v>
      </c>
      <c r="P4630">
        <v>0</v>
      </c>
      <c r="Q4630" t="s">
        <v>28</v>
      </c>
      <c r="R4630" t="s">
        <v>29</v>
      </c>
      <c r="S4630" t="s">
        <v>8399</v>
      </c>
      <c r="T4630" t="s">
        <v>8400</v>
      </c>
    </row>
    <row r="4631" spans="1:20" x14ac:dyDescent="0.25">
      <c r="A4631" t="s">
        <v>10609</v>
      </c>
      <c r="B4631" t="str">
        <f>"1105"</f>
        <v>1105</v>
      </c>
      <c r="C4631" t="str">
        <f>"295381105"</f>
        <v>295381105</v>
      </c>
      <c r="D4631" t="s">
        <v>1228</v>
      </c>
      <c r="E4631" t="s">
        <v>10610</v>
      </c>
      <c r="F4631" t="s">
        <v>93</v>
      </c>
      <c r="G4631" s="1">
        <v>15415</v>
      </c>
      <c r="H4631" s="1">
        <v>33329</v>
      </c>
      <c r="I4631" t="str">
        <f>"51"</f>
        <v>51</v>
      </c>
      <c r="J4631" t="s">
        <v>471</v>
      </c>
      <c r="K4631" t="s">
        <v>25</v>
      </c>
      <c r="L4631" t="s">
        <v>26</v>
      </c>
      <c r="M4631" t="s">
        <v>27</v>
      </c>
      <c r="N4631" s="1">
        <v>18629</v>
      </c>
      <c r="O4631">
        <v>0</v>
      </c>
      <c r="P4631">
        <v>0</v>
      </c>
      <c r="Q4631" t="s">
        <v>28</v>
      </c>
      <c r="R4631" t="s">
        <v>51</v>
      </c>
      <c r="S4631" s="2" t="s">
        <v>3778</v>
      </c>
      <c r="T4631" t="s">
        <v>3779</v>
      </c>
    </row>
    <row r="4632" spans="1:20" x14ac:dyDescent="0.25">
      <c r="A4632" t="s">
        <v>10611</v>
      </c>
      <c r="B4632" t="str">
        <f>"1880"</f>
        <v>1880</v>
      </c>
      <c r="C4632" t="str">
        <f>"269701880"</f>
        <v>269701880</v>
      </c>
      <c r="D4632" t="s">
        <v>9212</v>
      </c>
      <c r="E4632" t="s">
        <v>1813</v>
      </c>
      <c r="F4632" t="s">
        <v>44</v>
      </c>
      <c r="G4632" s="1">
        <v>21810</v>
      </c>
      <c r="H4632" s="1">
        <v>33329</v>
      </c>
      <c r="I4632" t="str">
        <f>"05"</f>
        <v>05</v>
      </c>
      <c r="J4632" t="s">
        <v>58</v>
      </c>
      <c r="K4632" t="s">
        <v>98</v>
      </c>
      <c r="L4632" t="s">
        <v>37</v>
      </c>
      <c r="M4632" t="s">
        <v>117</v>
      </c>
      <c r="N4632" s="1">
        <v>41617</v>
      </c>
      <c r="O4632">
        <v>4951.96</v>
      </c>
      <c r="P4632">
        <v>1237.8599999999999</v>
      </c>
      <c r="Q4632" t="s">
        <v>37</v>
      </c>
      <c r="R4632" t="s">
        <v>29</v>
      </c>
      <c r="S4632" t="s">
        <v>765</v>
      </c>
      <c r="T4632" t="s">
        <v>766</v>
      </c>
    </row>
    <row r="4633" spans="1:20" x14ac:dyDescent="0.25">
      <c r="A4633" t="s">
        <v>10612</v>
      </c>
      <c r="B4633" t="str">
        <f>"3263"</f>
        <v>3263</v>
      </c>
      <c r="C4633" t="str">
        <f>"279363263"</f>
        <v>279363263</v>
      </c>
      <c r="D4633" t="s">
        <v>10613</v>
      </c>
      <c r="E4633" t="s">
        <v>856</v>
      </c>
      <c r="F4633" t="s">
        <v>28</v>
      </c>
      <c r="G4633" s="1">
        <v>15100</v>
      </c>
      <c r="H4633" s="1">
        <v>33278</v>
      </c>
      <c r="I4633" t="str">
        <f>"52"</f>
        <v>52</v>
      </c>
      <c r="J4633" t="s">
        <v>330</v>
      </c>
      <c r="K4633" t="s">
        <v>25</v>
      </c>
      <c r="L4633" t="s">
        <v>26</v>
      </c>
      <c r="M4633" t="s">
        <v>27</v>
      </c>
      <c r="N4633" s="1">
        <v>18629</v>
      </c>
      <c r="O4633">
        <v>0</v>
      </c>
      <c r="P4633">
        <v>0</v>
      </c>
      <c r="Q4633" t="s">
        <v>37</v>
      </c>
      <c r="R4633" t="s">
        <v>29</v>
      </c>
      <c r="S4633" t="s">
        <v>1761</v>
      </c>
      <c r="T4633" t="s">
        <v>1762</v>
      </c>
    </row>
    <row r="4634" spans="1:20" x14ac:dyDescent="0.25">
      <c r="A4634" t="s">
        <v>10614</v>
      </c>
      <c r="B4634" t="str">
        <f>"9553"</f>
        <v>9553</v>
      </c>
      <c r="C4634" t="str">
        <f>"294429553"</f>
        <v>294429553</v>
      </c>
      <c r="D4634" t="s">
        <v>392</v>
      </c>
      <c r="E4634" t="s">
        <v>1353</v>
      </c>
      <c r="F4634" t="s">
        <v>219</v>
      </c>
      <c r="G4634" s="1">
        <v>15875</v>
      </c>
      <c r="H4634" s="1">
        <v>33245</v>
      </c>
      <c r="I4634" t="str">
        <f t="shared" ref="I4634:I4639" si="111">"51"</f>
        <v>51</v>
      </c>
      <c r="J4634" t="s">
        <v>471</v>
      </c>
      <c r="K4634" t="s">
        <v>25</v>
      </c>
      <c r="L4634" t="s">
        <v>26</v>
      </c>
      <c r="M4634" t="s">
        <v>27</v>
      </c>
      <c r="N4634" s="1">
        <v>18629</v>
      </c>
      <c r="O4634">
        <v>0</v>
      </c>
      <c r="P4634">
        <v>0</v>
      </c>
      <c r="Q4634" t="s">
        <v>37</v>
      </c>
      <c r="R4634" t="s">
        <v>71</v>
      </c>
      <c r="S4634" t="s">
        <v>871</v>
      </c>
      <c r="T4634" t="s">
        <v>872</v>
      </c>
    </row>
    <row r="4635" spans="1:20" x14ac:dyDescent="0.25">
      <c r="A4635" t="s">
        <v>10615</v>
      </c>
      <c r="B4635" t="str">
        <f>"9552"</f>
        <v>9552</v>
      </c>
      <c r="C4635" t="str">
        <f>"254709552"</f>
        <v>254709552</v>
      </c>
      <c r="D4635" t="s">
        <v>663</v>
      </c>
      <c r="E4635" t="s">
        <v>335</v>
      </c>
      <c r="F4635" t="s">
        <v>97</v>
      </c>
      <c r="G4635" s="1">
        <v>16863</v>
      </c>
      <c r="H4635" s="1">
        <v>33245</v>
      </c>
      <c r="I4635" t="str">
        <f t="shared" si="111"/>
        <v>51</v>
      </c>
      <c r="J4635" t="s">
        <v>471</v>
      </c>
      <c r="K4635" t="s">
        <v>25</v>
      </c>
      <c r="L4635" t="s">
        <v>26</v>
      </c>
      <c r="M4635" t="s">
        <v>27</v>
      </c>
      <c r="N4635" s="1">
        <v>18629</v>
      </c>
      <c r="O4635">
        <v>0</v>
      </c>
      <c r="P4635">
        <v>0</v>
      </c>
      <c r="Q4635" t="s">
        <v>28</v>
      </c>
      <c r="R4635" t="s">
        <v>71</v>
      </c>
      <c r="S4635" t="s">
        <v>157</v>
      </c>
      <c r="T4635" t="s">
        <v>158</v>
      </c>
    </row>
    <row r="4636" spans="1:20" x14ac:dyDescent="0.25">
      <c r="A4636" t="s">
        <v>10616</v>
      </c>
      <c r="B4636" t="str">
        <f>"9901"</f>
        <v>9901</v>
      </c>
      <c r="C4636" t="str">
        <f>"286429901"</f>
        <v>286429901</v>
      </c>
      <c r="D4636" t="s">
        <v>10617</v>
      </c>
      <c r="E4636" t="s">
        <v>2551</v>
      </c>
      <c r="F4636" t="s">
        <v>97</v>
      </c>
      <c r="G4636" s="1">
        <v>18362</v>
      </c>
      <c r="H4636" s="1">
        <v>33245</v>
      </c>
      <c r="I4636" t="str">
        <f t="shared" si="111"/>
        <v>51</v>
      </c>
      <c r="J4636" t="s">
        <v>471</v>
      </c>
      <c r="K4636" t="s">
        <v>25</v>
      </c>
      <c r="L4636" t="s">
        <v>26</v>
      </c>
      <c r="M4636" t="s">
        <v>27</v>
      </c>
      <c r="N4636" s="1">
        <v>18629</v>
      </c>
      <c r="O4636">
        <v>0</v>
      </c>
      <c r="P4636">
        <v>0</v>
      </c>
      <c r="Q4636" t="s">
        <v>37</v>
      </c>
      <c r="R4636" t="s">
        <v>71</v>
      </c>
      <c r="S4636" t="s">
        <v>305</v>
      </c>
      <c r="T4636" t="s">
        <v>306</v>
      </c>
    </row>
    <row r="4637" spans="1:20" x14ac:dyDescent="0.25">
      <c r="A4637" t="s">
        <v>10618</v>
      </c>
      <c r="B4637" t="str">
        <f>"3133"</f>
        <v>3133</v>
      </c>
      <c r="C4637" t="str">
        <f>"234903133"</f>
        <v>234903133</v>
      </c>
      <c r="D4637" t="s">
        <v>10619</v>
      </c>
      <c r="E4637" t="s">
        <v>381</v>
      </c>
      <c r="F4637" t="s">
        <v>3934</v>
      </c>
      <c r="G4637" s="1">
        <v>19637</v>
      </c>
      <c r="H4637" s="1">
        <v>33245</v>
      </c>
      <c r="I4637" t="str">
        <f t="shared" si="111"/>
        <v>51</v>
      </c>
      <c r="J4637" t="s">
        <v>471</v>
      </c>
      <c r="K4637" t="s">
        <v>25</v>
      </c>
      <c r="L4637" t="s">
        <v>26</v>
      </c>
      <c r="M4637" t="s">
        <v>27</v>
      </c>
      <c r="N4637" s="1">
        <v>18629</v>
      </c>
      <c r="O4637">
        <v>0</v>
      </c>
      <c r="P4637">
        <v>0</v>
      </c>
      <c r="Q4637" t="s">
        <v>37</v>
      </c>
      <c r="R4637" t="s">
        <v>71</v>
      </c>
      <c r="S4637" t="s">
        <v>72</v>
      </c>
      <c r="T4637" t="s">
        <v>73</v>
      </c>
    </row>
    <row r="4638" spans="1:20" x14ac:dyDescent="0.25">
      <c r="A4638" t="s">
        <v>10620</v>
      </c>
      <c r="B4638" t="str">
        <f>"3799"</f>
        <v>3799</v>
      </c>
      <c r="C4638" t="str">
        <f>"284303799"</f>
        <v>284303799</v>
      </c>
      <c r="D4638" t="s">
        <v>928</v>
      </c>
      <c r="E4638" t="s">
        <v>1981</v>
      </c>
      <c r="F4638" t="s">
        <v>219</v>
      </c>
      <c r="G4638" s="1">
        <v>11692</v>
      </c>
      <c r="H4638" s="1">
        <v>33245</v>
      </c>
      <c r="I4638" t="str">
        <f t="shared" si="111"/>
        <v>51</v>
      </c>
      <c r="J4638" t="s">
        <v>471</v>
      </c>
      <c r="K4638" t="s">
        <v>25</v>
      </c>
      <c r="L4638" t="s">
        <v>26</v>
      </c>
      <c r="M4638" t="s">
        <v>27</v>
      </c>
      <c r="N4638" s="1">
        <v>18629</v>
      </c>
      <c r="O4638">
        <v>0</v>
      </c>
      <c r="P4638">
        <v>0</v>
      </c>
      <c r="Q4638" t="s">
        <v>37</v>
      </c>
      <c r="R4638" t="s">
        <v>71</v>
      </c>
      <c r="S4638" t="s">
        <v>305</v>
      </c>
      <c r="T4638" t="s">
        <v>306</v>
      </c>
    </row>
    <row r="4639" spans="1:20" x14ac:dyDescent="0.25">
      <c r="A4639" t="s">
        <v>10621</v>
      </c>
      <c r="B4639" t="str">
        <f>"0129"</f>
        <v>0129</v>
      </c>
      <c r="C4639" t="str">
        <f>"294380129"</f>
        <v>294380129</v>
      </c>
      <c r="D4639" t="s">
        <v>10622</v>
      </c>
      <c r="E4639" t="s">
        <v>1981</v>
      </c>
      <c r="F4639" t="s">
        <v>93</v>
      </c>
      <c r="G4639" s="1">
        <v>16136</v>
      </c>
      <c r="H4639" s="1">
        <v>33245</v>
      </c>
      <c r="I4639" t="str">
        <f t="shared" si="111"/>
        <v>51</v>
      </c>
      <c r="J4639" t="s">
        <v>471</v>
      </c>
      <c r="K4639" t="s">
        <v>25</v>
      </c>
      <c r="L4639" t="s">
        <v>26</v>
      </c>
      <c r="M4639" t="s">
        <v>27</v>
      </c>
      <c r="N4639" s="1">
        <v>18629</v>
      </c>
      <c r="O4639">
        <v>0</v>
      </c>
      <c r="P4639">
        <v>0</v>
      </c>
      <c r="Q4639" t="s">
        <v>37</v>
      </c>
      <c r="R4639" t="s">
        <v>51</v>
      </c>
      <c r="S4639" t="s">
        <v>1517</v>
      </c>
      <c r="T4639" t="s">
        <v>1518</v>
      </c>
    </row>
    <row r="4640" spans="1:20" x14ac:dyDescent="0.25">
      <c r="A4640" t="s">
        <v>10623</v>
      </c>
      <c r="B4640" t="str">
        <f>"7300"</f>
        <v>7300</v>
      </c>
      <c r="C4640" t="str">
        <f>"281607300"</f>
        <v>281607300</v>
      </c>
      <c r="D4640" t="s">
        <v>5209</v>
      </c>
      <c r="E4640" t="s">
        <v>179</v>
      </c>
      <c r="G4640" s="1">
        <v>21509</v>
      </c>
      <c r="H4640" s="1">
        <v>33161</v>
      </c>
      <c r="I4640" t="str">
        <f>"08"</f>
        <v>08</v>
      </c>
      <c r="J4640" t="s">
        <v>265</v>
      </c>
      <c r="K4640" t="s">
        <v>98</v>
      </c>
      <c r="L4640" t="s">
        <v>37</v>
      </c>
      <c r="M4640" t="s">
        <v>117</v>
      </c>
      <c r="N4640" s="1">
        <v>41617</v>
      </c>
      <c r="O4640">
        <v>4951.96</v>
      </c>
      <c r="P4640">
        <v>1237.8599999999999</v>
      </c>
      <c r="Q4640" t="s">
        <v>28</v>
      </c>
      <c r="R4640" t="s">
        <v>71</v>
      </c>
      <c r="S4640" t="s">
        <v>5588</v>
      </c>
      <c r="T4640" t="s">
        <v>5589</v>
      </c>
    </row>
    <row r="4641" spans="1:20" x14ac:dyDescent="0.25">
      <c r="A4641" t="s">
        <v>10624</v>
      </c>
      <c r="B4641" t="str">
        <f>"9882"</f>
        <v>9882</v>
      </c>
      <c r="C4641" t="str">
        <f>"289509882"</f>
        <v>289509882</v>
      </c>
      <c r="D4641" t="s">
        <v>2062</v>
      </c>
      <c r="E4641" t="s">
        <v>959</v>
      </c>
      <c r="G4641" s="1">
        <v>18445</v>
      </c>
      <c r="H4641" s="1">
        <v>33161</v>
      </c>
      <c r="I4641" t="str">
        <f>"08"</f>
        <v>08</v>
      </c>
      <c r="J4641" t="s">
        <v>265</v>
      </c>
      <c r="K4641" t="s">
        <v>98</v>
      </c>
      <c r="L4641" t="s">
        <v>37</v>
      </c>
      <c r="M4641" t="s">
        <v>257</v>
      </c>
      <c r="N4641" s="1">
        <v>41617</v>
      </c>
      <c r="O4641">
        <v>10753.08</v>
      </c>
      <c r="P4641">
        <v>2688.4</v>
      </c>
      <c r="Q4641" t="s">
        <v>28</v>
      </c>
      <c r="R4641" t="s">
        <v>29</v>
      </c>
      <c r="S4641" t="s">
        <v>266</v>
      </c>
      <c r="T4641" t="s">
        <v>267</v>
      </c>
    </row>
    <row r="4642" spans="1:20" x14ac:dyDescent="0.25">
      <c r="A4642" t="s">
        <v>10625</v>
      </c>
      <c r="B4642" t="str">
        <f>"7176"</f>
        <v>7176</v>
      </c>
      <c r="C4642" t="str">
        <f>"273687176"</f>
        <v>273687176</v>
      </c>
      <c r="D4642" t="s">
        <v>10626</v>
      </c>
      <c r="E4642" t="s">
        <v>106</v>
      </c>
      <c r="F4642" t="s">
        <v>93</v>
      </c>
      <c r="G4642" s="1">
        <v>23238</v>
      </c>
      <c r="H4642" s="1">
        <v>33140</v>
      </c>
      <c r="I4642" t="str">
        <f>"42"</f>
        <v>42</v>
      </c>
      <c r="J4642" t="s">
        <v>367</v>
      </c>
      <c r="K4642" t="s">
        <v>25</v>
      </c>
      <c r="L4642" t="s">
        <v>26</v>
      </c>
      <c r="M4642" t="s">
        <v>27</v>
      </c>
      <c r="N4642" s="1">
        <v>18629</v>
      </c>
      <c r="O4642">
        <v>0</v>
      </c>
      <c r="P4642">
        <v>0</v>
      </c>
      <c r="Q4642" t="s">
        <v>28</v>
      </c>
      <c r="R4642" t="s">
        <v>71</v>
      </c>
      <c r="S4642" t="s">
        <v>2839</v>
      </c>
      <c r="T4642" t="s">
        <v>2591</v>
      </c>
    </row>
    <row r="4643" spans="1:20" x14ac:dyDescent="0.25">
      <c r="A4643" t="s">
        <v>10627</v>
      </c>
      <c r="B4643" t="str">
        <f>"5917"</f>
        <v>5917</v>
      </c>
      <c r="C4643" t="str">
        <f>"579605917"</f>
        <v>579605917</v>
      </c>
      <c r="D4643" t="s">
        <v>7794</v>
      </c>
      <c r="E4643" t="s">
        <v>764</v>
      </c>
      <c r="F4643" t="s">
        <v>9376</v>
      </c>
      <c r="G4643" s="1">
        <v>15068</v>
      </c>
      <c r="H4643" s="1">
        <v>33133</v>
      </c>
      <c r="I4643" t="str">
        <f>"51"</f>
        <v>51</v>
      </c>
      <c r="J4643" t="s">
        <v>471</v>
      </c>
      <c r="K4643" t="s">
        <v>25</v>
      </c>
      <c r="L4643" t="s">
        <v>26</v>
      </c>
      <c r="M4643" t="s">
        <v>27</v>
      </c>
      <c r="N4643" s="1">
        <v>18629</v>
      </c>
      <c r="O4643">
        <v>0</v>
      </c>
      <c r="P4643">
        <v>0</v>
      </c>
      <c r="Q4643" t="s">
        <v>37</v>
      </c>
      <c r="R4643" t="s">
        <v>51</v>
      </c>
      <c r="S4643" s="2" t="s">
        <v>3778</v>
      </c>
      <c r="T4643" t="s">
        <v>3779</v>
      </c>
    </row>
    <row r="4644" spans="1:20" x14ac:dyDescent="0.25">
      <c r="A4644" t="s">
        <v>10628</v>
      </c>
      <c r="B4644" t="str">
        <f>"4753"</f>
        <v>4753</v>
      </c>
      <c r="C4644" t="str">
        <f>"284824753"</f>
        <v>284824753</v>
      </c>
      <c r="D4644" t="s">
        <v>7877</v>
      </c>
      <c r="E4644" t="s">
        <v>10629</v>
      </c>
      <c r="G4644" s="1">
        <v>21675</v>
      </c>
      <c r="H4644" s="1">
        <v>33130</v>
      </c>
      <c r="I4644" t="str">
        <f>"33"</f>
        <v>33</v>
      </c>
      <c r="J4644" t="s">
        <v>45</v>
      </c>
      <c r="K4644" t="s">
        <v>25</v>
      </c>
      <c r="L4644" t="s">
        <v>26</v>
      </c>
      <c r="M4644" t="s">
        <v>27</v>
      </c>
      <c r="N4644" s="1">
        <v>18629</v>
      </c>
      <c r="O4644">
        <v>0</v>
      </c>
      <c r="P4644">
        <v>0</v>
      </c>
      <c r="Q4644" t="s">
        <v>28</v>
      </c>
      <c r="R4644" t="s">
        <v>29</v>
      </c>
      <c r="S4644" t="s">
        <v>594</v>
      </c>
      <c r="T4644" t="s">
        <v>595</v>
      </c>
    </row>
    <row r="4645" spans="1:20" x14ac:dyDescent="0.25">
      <c r="A4645" t="s">
        <v>10630</v>
      </c>
      <c r="B4645" t="str">
        <f>"2448"</f>
        <v>2448</v>
      </c>
      <c r="C4645" t="str">
        <f>"286682448"</f>
        <v>286682448</v>
      </c>
      <c r="D4645" t="s">
        <v>10631</v>
      </c>
      <c r="E4645" t="s">
        <v>275</v>
      </c>
      <c r="F4645" t="s">
        <v>44</v>
      </c>
      <c r="G4645" s="1">
        <v>22308</v>
      </c>
      <c r="H4645" s="1">
        <v>33120</v>
      </c>
      <c r="I4645" t="str">
        <f>"20"</f>
        <v>20</v>
      </c>
      <c r="J4645" t="s">
        <v>123</v>
      </c>
      <c r="K4645" t="s">
        <v>98</v>
      </c>
      <c r="L4645" t="s">
        <v>37</v>
      </c>
      <c r="M4645" t="s">
        <v>117</v>
      </c>
      <c r="N4645" s="1">
        <v>41631</v>
      </c>
      <c r="O4645">
        <v>4951.9799999999996</v>
      </c>
      <c r="P4645">
        <v>1237.94</v>
      </c>
      <c r="Q4645" t="s">
        <v>37</v>
      </c>
      <c r="R4645" t="s">
        <v>29</v>
      </c>
      <c r="S4645" t="s">
        <v>151</v>
      </c>
      <c r="T4645" t="s">
        <v>152</v>
      </c>
    </row>
    <row r="4646" spans="1:20" x14ac:dyDescent="0.25">
      <c r="A4646" t="s">
        <v>10632</v>
      </c>
      <c r="B4646" t="str">
        <f>"9396"</f>
        <v>9396</v>
      </c>
      <c r="C4646" t="str">
        <f>"259689396"</f>
        <v>259689396</v>
      </c>
      <c r="D4646" t="s">
        <v>5230</v>
      </c>
      <c r="E4646" t="s">
        <v>10633</v>
      </c>
      <c r="F4646" t="s">
        <v>165</v>
      </c>
      <c r="G4646" s="1">
        <v>15935</v>
      </c>
      <c r="H4646" s="1">
        <v>33119</v>
      </c>
      <c r="I4646" t="str">
        <f>"05"</f>
        <v>05</v>
      </c>
      <c r="J4646" t="s">
        <v>58</v>
      </c>
      <c r="K4646" t="s">
        <v>98</v>
      </c>
      <c r="L4646" t="s">
        <v>37</v>
      </c>
      <c r="M4646" t="s">
        <v>117</v>
      </c>
      <c r="N4646" s="1">
        <v>41617</v>
      </c>
      <c r="O4646">
        <v>4951.96</v>
      </c>
      <c r="P4646">
        <v>1237.8599999999999</v>
      </c>
      <c r="Q4646" t="s">
        <v>37</v>
      </c>
      <c r="R4646" t="s">
        <v>29</v>
      </c>
      <c r="S4646" t="s">
        <v>1443</v>
      </c>
      <c r="T4646" t="s">
        <v>1444</v>
      </c>
    </row>
    <row r="4647" spans="1:20" x14ac:dyDescent="0.25">
      <c r="A4647" t="s">
        <v>10634</v>
      </c>
      <c r="B4647" t="str">
        <f>"1861"</f>
        <v>1861</v>
      </c>
      <c r="C4647" t="str">
        <f>"270521861"</f>
        <v>270521861</v>
      </c>
      <c r="D4647" t="s">
        <v>10635</v>
      </c>
      <c r="E4647" t="s">
        <v>1981</v>
      </c>
      <c r="F4647" t="s">
        <v>93</v>
      </c>
      <c r="G4647" s="1">
        <v>18656</v>
      </c>
      <c r="H4647" s="1">
        <v>33086</v>
      </c>
      <c r="I4647" t="str">
        <f>"05"</f>
        <v>05</v>
      </c>
      <c r="J4647" t="s">
        <v>58</v>
      </c>
      <c r="K4647" t="s">
        <v>98</v>
      </c>
      <c r="L4647" t="s">
        <v>37</v>
      </c>
      <c r="M4647" t="s">
        <v>257</v>
      </c>
      <c r="N4647" s="1">
        <v>41617</v>
      </c>
      <c r="O4647">
        <v>10753.08</v>
      </c>
      <c r="P4647">
        <v>2688.4</v>
      </c>
      <c r="Q4647" t="s">
        <v>37</v>
      </c>
      <c r="R4647" t="s">
        <v>71</v>
      </c>
      <c r="S4647" t="s">
        <v>209</v>
      </c>
      <c r="T4647" t="s">
        <v>210</v>
      </c>
    </row>
    <row r="4648" spans="1:20" x14ac:dyDescent="0.25">
      <c r="A4648" t="s">
        <v>10636</v>
      </c>
      <c r="B4648" t="str">
        <f>"1365"</f>
        <v>1365</v>
      </c>
      <c r="C4648" t="str">
        <f>"584501365"</f>
        <v>584501365</v>
      </c>
      <c r="D4648" t="s">
        <v>10637</v>
      </c>
      <c r="E4648" t="s">
        <v>10638</v>
      </c>
      <c r="F4648" t="s">
        <v>44</v>
      </c>
      <c r="G4648" s="1">
        <v>19379</v>
      </c>
      <c r="H4648" s="1">
        <v>32881</v>
      </c>
      <c r="I4648" t="str">
        <f>"03"</f>
        <v>03</v>
      </c>
      <c r="J4648" t="s">
        <v>70</v>
      </c>
      <c r="K4648" t="s">
        <v>98</v>
      </c>
      <c r="L4648" t="s">
        <v>37</v>
      </c>
      <c r="M4648" t="s">
        <v>99</v>
      </c>
      <c r="N4648" s="1">
        <v>41617</v>
      </c>
      <c r="O4648">
        <v>14801.8</v>
      </c>
      <c r="P4648">
        <v>3700.32</v>
      </c>
      <c r="Q4648" t="s">
        <v>28</v>
      </c>
      <c r="R4648" t="s">
        <v>29</v>
      </c>
      <c r="S4648" t="s">
        <v>801</v>
      </c>
      <c r="T4648" t="s">
        <v>802</v>
      </c>
    </row>
    <row r="4649" spans="1:20" x14ac:dyDescent="0.25">
      <c r="A4649" t="s">
        <v>10639</v>
      </c>
      <c r="B4649" t="str">
        <f>"3900"</f>
        <v>3900</v>
      </c>
      <c r="C4649" t="str">
        <f>"290543900"</f>
        <v>290543900</v>
      </c>
      <c r="D4649" t="s">
        <v>10640</v>
      </c>
      <c r="E4649" t="s">
        <v>10641</v>
      </c>
      <c r="G4649" s="1">
        <v>20770</v>
      </c>
      <c r="H4649" s="1">
        <v>32875</v>
      </c>
      <c r="I4649" t="str">
        <f>"20"</f>
        <v>20</v>
      </c>
      <c r="J4649" t="s">
        <v>123</v>
      </c>
      <c r="K4649" t="s">
        <v>510</v>
      </c>
      <c r="L4649" t="s">
        <v>37</v>
      </c>
      <c r="M4649" t="s">
        <v>117</v>
      </c>
      <c r="N4649" s="1">
        <v>41631</v>
      </c>
      <c r="O4649">
        <v>6477.24</v>
      </c>
      <c r="P4649">
        <v>1619.2</v>
      </c>
      <c r="Q4649" t="s">
        <v>37</v>
      </c>
      <c r="R4649" t="s">
        <v>29</v>
      </c>
      <c r="S4649" t="s">
        <v>138</v>
      </c>
      <c r="T4649" t="s">
        <v>139</v>
      </c>
    </row>
    <row r="4650" spans="1:20" x14ac:dyDescent="0.25">
      <c r="A4650" t="s">
        <v>10642</v>
      </c>
      <c r="B4650" t="str">
        <f>"8770"</f>
        <v>8770</v>
      </c>
      <c r="C4650" t="str">
        <f>"286528770"</f>
        <v>286528770</v>
      </c>
      <c r="D4650" t="s">
        <v>10643</v>
      </c>
      <c r="E4650" t="s">
        <v>1233</v>
      </c>
      <c r="F4650" t="s">
        <v>7216</v>
      </c>
      <c r="G4650" s="1">
        <v>19192</v>
      </c>
      <c r="H4650" s="1">
        <v>32790</v>
      </c>
      <c r="I4650" t="str">
        <f>"51"</f>
        <v>51</v>
      </c>
      <c r="J4650" t="s">
        <v>471</v>
      </c>
      <c r="K4650" t="s">
        <v>25</v>
      </c>
      <c r="L4650" t="s">
        <v>26</v>
      </c>
      <c r="M4650" t="s">
        <v>27</v>
      </c>
      <c r="N4650" s="1">
        <v>18629</v>
      </c>
      <c r="O4650">
        <v>0</v>
      </c>
      <c r="P4650">
        <v>0</v>
      </c>
      <c r="Q4650" t="s">
        <v>28</v>
      </c>
      <c r="R4650" t="s">
        <v>71</v>
      </c>
      <c r="S4650" t="s">
        <v>923</v>
      </c>
      <c r="T4650" t="s">
        <v>924</v>
      </c>
    </row>
    <row r="4651" spans="1:20" x14ac:dyDescent="0.25">
      <c r="A4651" t="s">
        <v>10644</v>
      </c>
      <c r="B4651" t="str">
        <f>"6311"</f>
        <v>6311</v>
      </c>
      <c r="C4651" t="str">
        <f>"292446311"</f>
        <v>292446311</v>
      </c>
      <c r="D4651" t="s">
        <v>10645</v>
      </c>
      <c r="E4651" t="s">
        <v>1639</v>
      </c>
      <c r="F4651" t="s">
        <v>69</v>
      </c>
      <c r="G4651" s="1">
        <v>17614</v>
      </c>
      <c r="H4651" s="1">
        <v>32769</v>
      </c>
      <c r="I4651" t="str">
        <f>"51"</f>
        <v>51</v>
      </c>
      <c r="J4651" t="s">
        <v>471</v>
      </c>
      <c r="K4651" t="s">
        <v>25</v>
      </c>
      <c r="L4651" t="s">
        <v>26</v>
      </c>
      <c r="M4651" t="s">
        <v>27</v>
      </c>
      <c r="N4651" s="1">
        <v>18629</v>
      </c>
      <c r="O4651">
        <v>0</v>
      </c>
      <c r="P4651">
        <v>0</v>
      </c>
      <c r="Q4651" t="s">
        <v>28</v>
      </c>
      <c r="R4651" t="s">
        <v>71</v>
      </c>
      <c r="S4651" t="s">
        <v>157</v>
      </c>
      <c r="T4651" t="s">
        <v>158</v>
      </c>
    </row>
    <row r="4652" spans="1:20" x14ac:dyDescent="0.25">
      <c r="A4652" t="s">
        <v>10646</v>
      </c>
      <c r="B4652" t="str">
        <f>"0410"</f>
        <v>0410</v>
      </c>
      <c r="C4652" t="str">
        <f>"272600410"</f>
        <v>272600410</v>
      </c>
      <c r="D4652" t="s">
        <v>10647</v>
      </c>
      <c r="E4652" t="s">
        <v>2519</v>
      </c>
      <c r="F4652" t="s">
        <v>93</v>
      </c>
      <c r="G4652" s="1">
        <v>22594</v>
      </c>
      <c r="H4652" s="1">
        <v>32769</v>
      </c>
      <c r="I4652" t="str">
        <f>"51"</f>
        <v>51</v>
      </c>
      <c r="J4652" t="s">
        <v>471</v>
      </c>
      <c r="K4652" t="s">
        <v>25</v>
      </c>
      <c r="L4652" t="s">
        <v>26</v>
      </c>
      <c r="M4652" t="s">
        <v>27</v>
      </c>
      <c r="N4652" s="1">
        <v>18629</v>
      </c>
      <c r="O4652">
        <v>0</v>
      </c>
      <c r="P4652">
        <v>0</v>
      </c>
      <c r="Q4652" t="s">
        <v>37</v>
      </c>
      <c r="R4652" t="s">
        <v>71</v>
      </c>
      <c r="S4652" t="s">
        <v>3750</v>
      </c>
      <c r="T4652" t="s">
        <v>3751</v>
      </c>
    </row>
    <row r="4653" spans="1:20" x14ac:dyDescent="0.25">
      <c r="A4653" t="s">
        <v>10648</v>
      </c>
      <c r="B4653" t="str">
        <f>"5180"</f>
        <v>5180</v>
      </c>
      <c r="C4653" t="str">
        <f>"285585180"</f>
        <v>285585180</v>
      </c>
      <c r="D4653" t="s">
        <v>10649</v>
      </c>
      <c r="E4653" t="s">
        <v>10650</v>
      </c>
      <c r="F4653" t="s">
        <v>28</v>
      </c>
      <c r="G4653" s="1">
        <v>20187</v>
      </c>
      <c r="H4653" s="1">
        <v>32769</v>
      </c>
      <c r="I4653" t="str">
        <f>"50"</f>
        <v>50</v>
      </c>
      <c r="J4653" t="s">
        <v>208</v>
      </c>
      <c r="K4653" t="s">
        <v>25</v>
      </c>
      <c r="L4653" t="s">
        <v>26</v>
      </c>
      <c r="M4653" t="s">
        <v>27</v>
      </c>
      <c r="N4653" s="1">
        <v>18629</v>
      </c>
      <c r="O4653">
        <v>0</v>
      </c>
      <c r="P4653">
        <v>0</v>
      </c>
      <c r="Q4653" t="s">
        <v>37</v>
      </c>
      <c r="R4653" t="s">
        <v>71</v>
      </c>
      <c r="S4653" t="s">
        <v>209</v>
      </c>
      <c r="T4653" t="s">
        <v>210</v>
      </c>
    </row>
    <row r="4654" spans="1:20" x14ac:dyDescent="0.25">
      <c r="A4654" t="s">
        <v>10651</v>
      </c>
      <c r="B4654" t="str">
        <f>"0387"</f>
        <v>0387</v>
      </c>
      <c r="C4654" t="str">
        <f>"279340387"</f>
        <v>279340387</v>
      </c>
      <c r="D4654" t="s">
        <v>10025</v>
      </c>
      <c r="E4654" t="s">
        <v>6585</v>
      </c>
      <c r="G4654" s="1">
        <v>13609</v>
      </c>
      <c r="H4654" s="1">
        <v>32769</v>
      </c>
      <c r="I4654" t="str">
        <f>"51"</f>
        <v>51</v>
      </c>
      <c r="J4654" t="s">
        <v>471</v>
      </c>
      <c r="K4654" t="s">
        <v>25</v>
      </c>
      <c r="L4654" t="s">
        <v>26</v>
      </c>
      <c r="M4654" t="s">
        <v>27</v>
      </c>
      <c r="N4654" s="1">
        <v>18629</v>
      </c>
      <c r="O4654">
        <v>0</v>
      </c>
      <c r="P4654">
        <v>0</v>
      </c>
      <c r="Q4654" t="s">
        <v>37</v>
      </c>
      <c r="R4654" t="s">
        <v>29</v>
      </c>
      <c r="S4654" t="s">
        <v>240</v>
      </c>
      <c r="T4654" t="s">
        <v>241</v>
      </c>
    </row>
    <row r="4655" spans="1:20" x14ac:dyDescent="0.25">
      <c r="A4655" t="s">
        <v>10652</v>
      </c>
      <c r="B4655" t="str">
        <f>"5472"</f>
        <v>5472</v>
      </c>
      <c r="C4655" t="str">
        <f>"279625472"</f>
        <v>279625472</v>
      </c>
      <c r="D4655" t="s">
        <v>10653</v>
      </c>
      <c r="E4655" t="s">
        <v>933</v>
      </c>
      <c r="F4655" t="s">
        <v>165</v>
      </c>
      <c r="G4655" s="1">
        <v>21799</v>
      </c>
      <c r="H4655" s="1">
        <v>32629</v>
      </c>
      <c r="I4655" t="str">
        <f>"12"</f>
        <v>12</v>
      </c>
      <c r="J4655" t="s">
        <v>245</v>
      </c>
      <c r="K4655" t="s">
        <v>98</v>
      </c>
      <c r="L4655" t="s">
        <v>37</v>
      </c>
      <c r="M4655" t="s">
        <v>257</v>
      </c>
      <c r="N4655" s="1">
        <v>41617</v>
      </c>
      <c r="O4655">
        <v>10753.08</v>
      </c>
      <c r="P4655">
        <v>2688.4</v>
      </c>
      <c r="Q4655" t="s">
        <v>28</v>
      </c>
      <c r="R4655" t="s">
        <v>71</v>
      </c>
      <c r="S4655" t="s">
        <v>2602</v>
      </c>
      <c r="T4655" t="s">
        <v>2603</v>
      </c>
    </row>
    <row r="4656" spans="1:20" x14ac:dyDescent="0.25">
      <c r="A4656" t="s">
        <v>10654</v>
      </c>
      <c r="B4656" t="str">
        <f>"5058"</f>
        <v>5058</v>
      </c>
      <c r="C4656" t="str">
        <f>"277525058"</f>
        <v>277525058</v>
      </c>
      <c r="D4656" t="s">
        <v>10655</v>
      </c>
      <c r="E4656" t="s">
        <v>197</v>
      </c>
      <c r="G4656" s="1">
        <v>22073</v>
      </c>
      <c r="H4656" s="1">
        <v>32559</v>
      </c>
      <c r="I4656" t="str">
        <f>"08"</f>
        <v>08</v>
      </c>
      <c r="J4656" t="s">
        <v>265</v>
      </c>
      <c r="K4656" t="s">
        <v>98</v>
      </c>
      <c r="L4656" t="s">
        <v>37</v>
      </c>
      <c r="M4656" t="s">
        <v>99</v>
      </c>
      <c r="N4656" s="1">
        <v>41617</v>
      </c>
      <c r="O4656">
        <v>14801.8</v>
      </c>
      <c r="P4656">
        <v>3700.32</v>
      </c>
      <c r="Q4656" t="s">
        <v>28</v>
      </c>
      <c r="R4656" t="s">
        <v>51</v>
      </c>
      <c r="S4656" t="s">
        <v>650</v>
      </c>
      <c r="T4656" t="s">
        <v>651</v>
      </c>
    </row>
    <row r="4657" spans="1:20" x14ac:dyDescent="0.25">
      <c r="A4657" t="s">
        <v>10656</v>
      </c>
      <c r="B4657" t="str">
        <f>"2932"</f>
        <v>2932</v>
      </c>
      <c r="C4657" t="str">
        <f>"277462932"</f>
        <v>277462932</v>
      </c>
      <c r="D4657" t="s">
        <v>10657</v>
      </c>
      <c r="E4657" t="s">
        <v>3747</v>
      </c>
      <c r="F4657" t="s">
        <v>26</v>
      </c>
      <c r="G4657" s="1">
        <v>18488</v>
      </c>
      <c r="H4657" s="1">
        <v>32559</v>
      </c>
      <c r="I4657" t="str">
        <f>"08"</f>
        <v>08</v>
      </c>
      <c r="J4657" t="s">
        <v>265</v>
      </c>
      <c r="K4657" t="s">
        <v>98</v>
      </c>
      <c r="L4657" t="s">
        <v>37</v>
      </c>
      <c r="M4657" t="s">
        <v>117</v>
      </c>
      <c r="N4657" s="1">
        <v>41617</v>
      </c>
      <c r="O4657">
        <v>4951.96</v>
      </c>
      <c r="P4657">
        <v>1237.8599999999999</v>
      </c>
      <c r="Q4657" t="s">
        <v>28</v>
      </c>
      <c r="R4657" t="s">
        <v>51</v>
      </c>
      <c r="S4657" t="s">
        <v>650</v>
      </c>
      <c r="T4657" t="s">
        <v>651</v>
      </c>
    </row>
    <row r="4658" spans="1:20" x14ac:dyDescent="0.25">
      <c r="A4658" t="s">
        <v>10658</v>
      </c>
      <c r="B4658" t="str">
        <f>"3269"</f>
        <v>3269</v>
      </c>
      <c r="C4658" t="str">
        <f>"272403269"</f>
        <v>272403269</v>
      </c>
      <c r="D4658" t="s">
        <v>9647</v>
      </c>
      <c r="E4658" t="s">
        <v>7721</v>
      </c>
      <c r="F4658" t="s">
        <v>28</v>
      </c>
      <c r="G4658" s="1">
        <v>15624</v>
      </c>
      <c r="H4658" s="1">
        <v>32531</v>
      </c>
      <c r="I4658" t="str">
        <f>"01"</f>
        <v>01</v>
      </c>
      <c r="J4658" t="s">
        <v>116</v>
      </c>
      <c r="K4658" t="s">
        <v>510</v>
      </c>
      <c r="L4658" t="s">
        <v>37</v>
      </c>
      <c r="M4658" t="s">
        <v>257</v>
      </c>
      <c r="N4658" s="1">
        <v>41617</v>
      </c>
      <c r="O4658">
        <v>14110.72</v>
      </c>
      <c r="P4658">
        <v>3527.68</v>
      </c>
      <c r="Q4658" t="s">
        <v>37</v>
      </c>
      <c r="R4658" t="s">
        <v>51</v>
      </c>
      <c r="S4658" s="2" t="s">
        <v>683</v>
      </c>
      <c r="T4658" t="s">
        <v>684</v>
      </c>
    </row>
    <row r="4659" spans="1:20" x14ac:dyDescent="0.25">
      <c r="A4659" t="s">
        <v>10659</v>
      </c>
      <c r="B4659" t="str">
        <f>"2938"</f>
        <v>2938</v>
      </c>
      <c r="C4659" t="str">
        <f>"297502938"</f>
        <v>297502938</v>
      </c>
      <c r="D4659" t="s">
        <v>10660</v>
      </c>
      <c r="E4659" t="s">
        <v>56</v>
      </c>
      <c r="G4659" s="1">
        <v>18790</v>
      </c>
      <c r="H4659" s="1">
        <v>32511</v>
      </c>
      <c r="I4659" t="str">
        <f>"50"</f>
        <v>50</v>
      </c>
      <c r="J4659" t="s">
        <v>208</v>
      </c>
      <c r="K4659" t="s">
        <v>25</v>
      </c>
      <c r="L4659" t="s">
        <v>26</v>
      </c>
      <c r="M4659" t="s">
        <v>27</v>
      </c>
      <c r="N4659" s="1">
        <v>18629</v>
      </c>
      <c r="O4659">
        <v>0</v>
      </c>
      <c r="P4659">
        <v>0</v>
      </c>
      <c r="Q4659" t="s">
        <v>28</v>
      </c>
      <c r="R4659" t="s">
        <v>71</v>
      </c>
      <c r="S4659" t="s">
        <v>209</v>
      </c>
      <c r="T4659" t="s">
        <v>210</v>
      </c>
    </row>
    <row r="4660" spans="1:20" x14ac:dyDescent="0.25">
      <c r="A4660" t="s">
        <v>10661</v>
      </c>
      <c r="B4660" t="str">
        <f>"7208"</f>
        <v>7208</v>
      </c>
      <c r="C4660" t="str">
        <f>"485707208"</f>
        <v>485707208</v>
      </c>
      <c r="D4660" t="s">
        <v>10662</v>
      </c>
      <c r="E4660" t="s">
        <v>2290</v>
      </c>
      <c r="F4660" t="s">
        <v>329</v>
      </c>
      <c r="G4660" s="1">
        <v>20544</v>
      </c>
      <c r="H4660" s="1">
        <v>32511</v>
      </c>
      <c r="I4660" t="str">
        <f>"01"</f>
        <v>01</v>
      </c>
      <c r="J4660" t="s">
        <v>116</v>
      </c>
      <c r="K4660" t="s">
        <v>510</v>
      </c>
      <c r="L4660" t="s">
        <v>37</v>
      </c>
      <c r="M4660" t="s">
        <v>117</v>
      </c>
      <c r="N4660" s="1">
        <v>41617</v>
      </c>
      <c r="O4660">
        <v>6477.12</v>
      </c>
      <c r="P4660">
        <v>1619.28</v>
      </c>
      <c r="Q4660" t="s">
        <v>28</v>
      </c>
      <c r="R4660" t="s">
        <v>51</v>
      </c>
      <c r="S4660" s="2" t="s">
        <v>198</v>
      </c>
      <c r="T4660" t="s">
        <v>199</v>
      </c>
    </row>
    <row r="4661" spans="1:20" x14ac:dyDescent="0.25">
      <c r="A4661" t="s">
        <v>10663</v>
      </c>
      <c r="B4661" t="str">
        <f>"4689"</f>
        <v>4689</v>
      </c>
      <c r="C4661" t="str">
        <f>"274424689"</f>
        <v>274424689</v>
      </c>
      <c r="D4661" t="s">
        <v>10664</v>
      </c>
      <c r="E4661" t="s">
        <v>609</v>
      </c>
      <c r="F4661" t="s">
        <v>97</v>
      </c>
      <c r="G4661" s="1">
        <v>15746</v>
      </c>
      <c r="H4661" s="1">
        <v>32405</v>
      </c>
      <c r="I4661" t="str">
        <f>"20"</f>
        <v>20</v>
      </c>
      <c r="J4661" t="s">
        <v>123</v>
      </c>
      <c r="K4661" t="s">
        <v>510</v>
      </c>
      <c r="L4661" t="s">
        <v>37</v>
      </c>
      <c r="M4661" t="s">
        <v>117</v>
      </c>
      <c r="N4661" s="1">
        <v>41631</v>
      </c>
      <c r="O4661">
        <v>6477.24</v>
      </c>
      <c r="P4661">
        <v>1619.2</v>
      </c>
      <c r="Q4661" t="s">
        <v>28</v>
      </c>
      <c r="R4661" t="s">
        <v>51</v>
      </c>
      <c r="S4661" s="2" t="s">
        <v>1568</v>
      </c>
      <c r="T4661" t="s">
        <v>1569</v>
      </c>
    </row>
    <row r="4662" spans="1:20" x14ac:dyDescent="0.25">
      <c r="A4662" t="s">
        <v>10665</v>
      </c>
      <c r="B4662" t="str">
        <f>"5470"</f>
        <v>5470</v>
      </c>
      <c r="C4662" t="str">
        <f>"277465470"</f>
        <v>277465470</v>
      </c>
      <c r="D4662" t="s">
        <v>10666</v>
      </c>
      <c r="E4662" t="s">
        <v>10667</v>
      </c>
      <c r="G4662" s="1">
        <v>17486</v>
      </c>
      <c r="H4662" s="1">
        <v>32405</v>
      </c>
      <c r="I4662" t="str">
        <f>"20"</f>
        <v>20</v>
      </c>
      <c r="J4662" t="s">
        <v>123</v>
      </c>
      <c r="K4662" t="s">
        <v>175</v>
      </c>
      <c r="L4662" t="s">
        <v>37</v>
      </c>
      <c r="M4662" t="s">
        <v>257</v>
      </c>
      <c r="N4662" s="1">
        <v>41631</v>
      </c>
      <c r="O4662">
        <v>11847.88</v>
      </c>
      <c r="P4662">
        <v>2962.08</v>
      </c>
      <c r="Q4662" t="s">
        <v>28</v>
      </c>
      <c r="R4662" t="s">
        <v>51</v>
      </c>
      <c r="S4662" s="2" t="s">
        <v>1568</v>
      </c>
      <c r="T4662" t="s">
        <v>1569</v>
      </c>
    </row>
    <row r="4663" spans="1:20" x14ac:dyDescent="0.25">
      <c r="A4663" t="s">
        <v>10668</v>
      </c>
      <c r="B4663" t="str">
        <f>"4683"</f>
        <v>4683</v>
      </c>
      <c r="C4663" t="str">
        <f>"294364683"</f>
        <v>294364683</v>
      </c>
      <c r="D4663" t="s">
        <v>706</v>
      </c>
      <c r="E4663" t="s">
        <v>565</v>
      </c>
      <c r="G4663" s="1">
        <v>16248</v>
      </c>
      <c r="H4663" s="1">
        <v>32405</v>
      </c>
      <c r="I4663" t="str">
        <f>"20"</f>
        <v>20</v>
      </c>
      <c r="J4663" t="s">
        <v>123</v>
      </c>
      <c r="K4663" t="s">
        <v>98</v>
      </c>
      <c r="L4663" t="s">
        <v>37</v>
      </c>
      <c r="M4663" t="s">
        <v>117</v>
      </c>
      <c r="N4663" s="1">
        <v>41631</v>
      </c>
      <c r="O4663">
        <v>4951.9799999999996</v>
      </c>
      <c r="P4663">
        <v>1237.94</v>
      </c>
      <c r="Q4663" t="s">
        <v>37</v>
      </c>
      <c r="R4663" t="s">
        <v>71</v>
      </c>
      <c r="S4663" t="s">
        <v>4234</v>
      </c>
      <c r="T4663" t="s">
        <v>4235</v>
      </c>
    </row>
    <row r="4664" spans="1:20" x14ac:dyDescent="0.25">
      <c r="A4664" t="s">
        <v>10669</v>
      </c>
      <c r="B4664" t="str">
        <f>"1979"</f>
        <v>1979</v>
      </c>
      <c r="C4664" t="str">
        <f>"492521979"</f>
        <v>492521979</v>
      </c>
      <c r="D4664" t="s">
        <v>1049</v>
      </c>
      <c r="E4664" t="s">
        <v>335</v>
      </c>
      <c r="G4664" s="1">
        <v>19810</v>
      </c>
      <c r="H4664" s="1">
        <v>32405</v>
      </c>
      <c r="I4664" t="str">
        <f>"20"</f>
        <v>20</v>
      </c>
      <c r="J4664" t="s">
        <v>123</v>
      </c>
      <c r="K4664" t="s">
        <v>175</v>
      </c>
      <c r="L4664" t="s">
        <v>37</v>
      </c>
      <c r="M4664" t="s">
        <v>99</v>
      </c>
      <c r="N4664" s="1">
        <v>41631</v>
      </c>
      <c r="O4664">
        <v>16411.78</v>
      </c>
      <c r="P4664">
        <v>4103</v>
      </c>
      <c r="Q4664" t="s">
        <v>28</v>
      </c>
      <c r="R4664" t="s">
        <v>71</v>
      </c>
      <c r="S4664" t="s">
        <v>3963</v>
      </c>
      <c r="T4664" t="s">
        <v>3964</v>
      </c>
    </row>
    <row r="4665" spans="1:20" x14ac:dyDescent="0.25">
      <c r="A4665" t="s">
        <v>10670</v>
      </c>
      <c r="B4665" t="str">
        <f>"0419"</f>
        <v>0419</v>
      </c>
      <c r="C4665" t="str">
        <f>"299460419"</f>
        <v>299460419</v>
      </c>
      <c r="D4665" t="s">
        <v>10671</v>
      </c>
      <c r="E4665" t="s">
        <v>1247</v>
      </c>
      <c r="F4665" t="s">
        <v>219</v>
      </c>
      <c r="G4665" s="1">
        <v>18181</v>
      </c>
      <c r="H4665" s="1">
        <v>32405</v>
      </c>
      <c r="I4665" t="str">
        <f>"51"</f>
        <v>51</v>
      </c>
      <c r="J4665" t="s">
        <v>471</v>
      </c>
      <c r="K4665" t="s">
        <v>25</v>
      </c>
      <c r="L4665" t="s">
        <v>26</v>
      </c>
      <c r="M4665" t="s">
        <v>27</v>
      </c>
      <c r="N4665" s="1">
        <v>18629</v>
      </c>
      <c r="O4665">
        <v>0</v>
      </c>
      <c r="P4665">
        <v>0</v>
      </c>
      <c r="Q4665" t="s">
        <v>28</v>
      </c>
      <c r="R4665" t="s">
        <v>71</v>
      </c>
      <c r="S4665" t="s">
        <v>10672</v>
      </c>
      <c r="T4665" t="s">
        <v>10673</v>
      </c>
    </row>
    <row r="4666" spans="1:20" x14ac:dyDescent="0.25">
      <c r="A4666" t="s">
        <v>10674</v>
      </c>
      <c r="B4666" t="str">
        <f>"3678"</f>
        <v>3678</v>
      </c>
      <c r="C4666" t="str">
        <f>"289423678"</f>
        <v>289423678</v>
      </c>
      <c r="D4666" t="s">
        <v>539</v>
      </c>
      <c r="E4666" t="s">
        <v>3490</v>
      </c>
      <c r="F4666" t="s">
        <v>44</v>
      </c>
      <c r="G4666" s="1">
        <v>16287</v>
      </c>
      <c r="H4666" s="1">
        <v>32405</v>
      </c>
      <c r="I4666" t="str">
        <f>"51"</f>
        <v>51</v>
      </c>
      <c r="J4666" t="s">
        <v>471</v>
      </c>
      <c r="K4666" t="s">
        <v>25</v>
      </c>
      <c r="L4666" t="s">
        <v>26</v>
      </c>
      <c r="M4666" t="s">
        <v>27</v>
      </c>
      <c r="N4666" s="1">
        <v>18629</v>
      </c>
      <c r="O4666">
        <v>0</v>
      </c>
      <c r="P4666">
        <v>0</v>
      </c>
      <c r="Q4666" t="s">
        <v>28</v>
      </c>
      <c r="R4666" t="s">
        <v>71</v>
      </c>
      <c r="S4666" t="s">
        <v>3750</v>
      </c>
      <c r="T4666" t="s">
        <v>3751</v>
      </c>
    </row>
    <row r="4667" spans="1:20" x14ac:dyDescent="0.25">
      <c r="A4667" t="s">
        <v>10675</v>
      </c>
      <c r="B4667" t="str">
        <f>"8772"</f>
        <v>8772</v>
      </c>
      <c r="C4667" t="str">
        <f>"273528772"</f>
        <v>273528772</v>
      </c>
      <c r="D4667" t="s">
        <v>9768</v>
      </c>
      <c r="E4667" t="s">
        <v>2786</v>
      </c>
      <c r="F4667" t="s">
        <v>93</v>
      </c>
      <c r="G4667" s="1">
        <v>18766</v>
      </c>
      <c r="H4667" s="1">
        <v>32405</v>
      </c>
      <c r="I4667" t="str">
        <f>"20"</f>
        <v>20</v>
      </c>
      <c r="J4667" t="s">
        <v>123</v>
      </c>
      <c r="L4667" t="s">
        <v>37</v>
      </c>
      <c r="M4667" t="s">
        <v>143</v>
      </c>
      <c r="N4667" s="1">
        <v>41631</v>
      </c>
      <c r="O4667">
        <v>185.9</v>
      </c>
      <c r="P4667">
        <v>-185.9</v>
      </c>
      <c r="Q4667" t="s">
        <v>37</v>
      </c>
      <c r="R4667" t="s">
        <v>51</v>
      </c>
      <c r="S4667" s="2" t="s">
        <v>1568</v>
      </c>
      <c r="T4667" t="s">
        <v>1569</v>
      </c>
    </row>
    <row r="4668" spans="1:20" x14ac:dyDescent="0.25">
      <c r="A4668" t="s">
        <v>10676</v>
      </c>
      <c r="B4668" t="str">
        <f>"8521"</f>
        <v>8521</v>
      </c>
      <c r="C4668" t="str">
        <f>"302628521"</f>
        <v>302628521</v>
      </c>
      <c r="D4668" t="s">
        <v>10677</v>
      </c>
      <c r="E4668" t="s">
        <v>2450</v>
      </c>
      <c r="F4668" t="s">
        <v>438</v>
      </c>
      <c r="G4668" s="1">
        <v>21831</v>
      </c>
      <c r="H4668" s="1">
        <v>32405</v>
      </c>
      <c r="I4668" t="str">
        <f>"41"</f>
        <v>41</v>
      </c>
      <c r="J4668" t="s">
        <v>24</v>
      </c>
      <c r="K4668" t="s">
        <v>25</v>
      </c>
      <c r="L4668" t="s">
        <v>26</v>
      </c>
      <c r="M4668" t="s">
        <v>27</v>
      </c>
      <c r="N4668" s="1">
        <v>18629</v>
      </c>
      <c r="O4668">
        <v>0</v>
      </c>
      <c r="P4668">
        <v>0</v>
      </c>
      <c r="Q4668" t="s">
        <v>37</v>
      </c>
      <c r="R4668" t="s">
        <v>71</v>
      </c>
      <c r="S4668" t="s">
        <v>4743</v>
      </c>
      <c r="T4668" t="s">
        <v>4744</v>
      </c>
    </row>
    <row r="4669" spans="1:20" x14ac:dyDescent="0.25">
      <c r="A4669" t="s">
        <v>10678</v>
      </c>
      <c r="B4669" t="str">
        <f>"5609"</f>
        <v>5609</v>
      </c>
      <c r="C4669" t="str">
        <f>"273605609"</f>
        <v>273605609</v>
      </c>
      <c r="D4669" t="s">
        <v>10679</v>
      </c>
      <c r="E4669" t="s">
        <v>35</v>
      </c>
      <c r="F4669" t="s">
        <v>37</v>
      </c>
      <c r="G4669" s="1">
        <v>19833</v>
      </c>
      <c r="H4669" s="1">
        <v>32336</v>
      </c>
      <c r="I4669" t="str">
        <f>"05"</f>
        <v>05</v>
      </c>
      <c r="J4669" t="s">
        <v>58</v>
      </c>
      <c r="K4669" t="s">
        <v>510</v>
      </c>
      <c r="L4669" t="s">
        <v>37</v>
      </c>
      <c r="M4669" t="s">
        <v>257</v>
      </c>
      <c r="N4669" s="1">
        <v>41617</v>
      </c>
      <c r="O4669">
        <v>14110.72</v>
      </c>
      <c r="P4669">
        <v>3527.68</v>
      </c>
      <c r="Q4669" t="s">
        <v>28</v>
      </c>
      <c r="R4669" t="s">
        <v>29</v>
      </c>
      <c r="S4669" t="s">
        <v>9015</v>
      </c>
      <c r="T4669" t="s">
        <v>9016</v>
      </c>
    </row>
    <row r="4670" spans="1:20" x14ac:dyDescent="0.25">
      <c r="A4670" t="s">
        <v>10680</v>
      </c>
      <c r="B4670" t="str">
        <f>"5617"</f>
        <v>5617</v>
      </c>
      <c r="C4670" t="str">
        <f>"516705617"</f>
        <v>516705617</v>
      </c>
      <c r="D4670" t="s">
        <v>10681</v>
      </c>
      <c r="E4670" t="s">
        <v>10682</v>
      </c>
      <c r="G4670" s="1">
        <v>19821</v>
      </c>
      <c r="H4670" s="1">
        <v>32294</v>
      </c>
      <c r="I4670" t="str">
        <f>"08"</f>
        <v>08</v>
      </c>
      <c r="J4670" t="s">
        <v>265</v>
      </c>
      <c r="K4670" t="s">
        <v>98</v>
      </c>
      <c r="L4670" t="s">
        <v>37</v>
      </c>
      <c r="M4670" t="s">
        <v>117</v>
      </c>
      <c r="N4670" s="1">
        <v>41617</v>
      </c>
      <c r="O4670">
        <v>4951.96</v>
      </c>
      <c r="P4670">
        <v>1237.8599999999999</v>
      </c>
      <c r="Q4670" t="s">
        <v>28</v>
      </c>
      <c r="R4670" t="s">
        <v>71</v>
      </c>
      <c r="S4670" t="s">
        <v>5588</v>
      </c>
      <c r="T4670" t="s">
        <v>5589</v>
      </c>
    </row>
    <row r="4671" spans="1:20" x14ac:dyDescent="0.25">
      <c r="A4671" t="s">
        <v>10683</v>
      </c>
      <c r="B4671" t="str">
        <f>"1053"</f>
        <v>1053</v>
      </c>
      <c r="C4671" t="str">
        <f>"108341053"</f>
        <v>108341053</v>
      </c>
      <c r="D4671" t="s">
        <v>10684</v>
      </c>
      <c r="E4671" t="s">
        <v>583</v>
      </c>
      <c r="F4671" t="s">
        <v>5245</v>
      </c>
      <c r="G4671" s="1">
        <v>15987</v>
      </c>
      <c r="H4671" s="1">
        <v>32237</v>
      </c>
      <c r="I4671" t="str">
        <f>"51"</f>
        <v>51</v>
      </c>
      <c r="J4671" t="s">
        <v>471</v>
      </c>
      <c r="K4671" t="s">
        <v>25</v>
      </c>
      <c r="L4671" t="s">
        <v>26</v>
      </c>
      <c r="M4671" t="s">
        <v>27</v>
      </c>
      <c r="N4671" s="1">
        <v>18629</v>
      </c>
      <c r="O4671">
        <v>0</v>
      </c>
      <c r="P4671">
        <v>0</v>
      </c>
      <c r="Q4671" t="s">
        <v>37</v>
      </c>
      <c r="R4671" t="s">
        <v>51</v>
      </c>
      <c r="S4671" s="2" t="s">
        <v>1568</v>
      </c>
      <c r="T4671" t="s">
        <v>1569</v>
      </c>
    </row>
    <row r="4672" spans="1:20" x14ac:dyDescent="0.25">
      <c r="A4672" t="s">
        <v>10685</v>
      </c>
      <c r="B4672" t="str">
        <f>"9749"</f>
        <v>9749</v>
      </c>
      <c r="C4672" t="str">
        <f>"279489749"</f>
        <v>279489749</v>
      </c>
      <c r="D4672" t="s">
        <v>4946</v>
      </c>
      <c r="E4672" t="s">
        <v>56</v>
      </c>
      <c r="G4672" s="1">
        <v>23472</v>
      </c>
      <c r="H4672" s="1">
        <v>32181</v>
      </c>
      <c r="I4672" t="str">
        <f>"08"</f>
        <v>08</v>
      </c>
      <c r="J4672" t="s">
        <v>265</v>
      </c>
      <c r="K4672" t="s">
        <v>98</v>
      </c>
      <c r="L4672" t="s">
        <v>37</v>
      </c>
      <c r="M4672" t="s">
        <v>99</v>
      </c>
      <c r="N4672" s="1">
        <v>41617</v>
      </c>
      <c r="O4672">
        <v>14801.8</v>
      </c>
      <c r="P4672">
        <v>3700.32</v>
      </c>
      <c r="Q4672" t="s">
        <v>28</v>
      </c>
      <c r="R4672" t="s">
        <v>71</v>
      </c>
      <c r="S4672" t="s">
        <v>5588</v>
      </c>
      <c r="T4672" t="s">
        <v>5589</v>
      </c>
    </row>
    <row r="4673" spans="1:20" x14ac:dyDescent="0.25">
      <c r="A4673" t="s">
        <v>10686</v>
      </c>
      <c r="B4673" t="str">
        <f>"9906"</f>
        <v>9906</v>
      </c>
      <c r="C4673" t="str">
        <f>"273529906"</f>
        <v>273529906</v>
      </c>
      <c r="D4673" t="s">
        <v>2421</v>
      </c>
      <c r="E4673" t="s">
        <v>10687</v>
      </c>
      <c r="F4673" t="s">
        <v>438</v>
      </c>
      <c r="G4673" s="1">
        <v>18925</v>
      </c>
      <c r="H4673" s="1">
        <v>32153</v>
      </c>
      <c r="I4673" t="str">
        <f>"33"</f>
        <v>33</v>
      </c>
      <c r="J4673" t="s">
        <v>45</v>
      </c>
      <c r="K4673" t="s">
        <v>25</v>
      </c>
      <c r="L4673" t="s">
        <v>26</v>
      </c>
      <c r="M4673" t="s">
        <v>27</v>
      </c>
      <c r="N4673" s="1">
        <v>18629</v>
      </c>
      <c r="O4673">
        <v>0</v>
      </c>
      <c r="P4673">
        <v>0</v>
      </c>
      <c r="Q4673" t="s">
        <v>37</v>
      </c>
      <c r="R4673" t="s">
        <v>51</v>
      </c>
      <c r="S4673" s="2" t="s">
        <v>1568</v>
      </c>
      <c r="T4673" t="s">
        <v>1569</v>
      </c>
    </row>
    <row r="4674" spans="1:20" x14ac:dyDescent="0.25">
      <c r="A4674" t="s">
        <v>10688</v>
      </c>
      <c r="B4674" t="str">
        <f>"8797"</f>
        <v>8797</v>
      </c>
      <c r="C4674" t="str">
        <f>"298528797"</f>
        <v>298528797</v>
      </c>
      <c r="D4674" t="s">
        <v>10689</v>
      </c>
      <c r="E4674" t="s">
        <v>682</v>
      </c>
      <c r="F4674" t="s">
        <v>165</v>
      </c>
      <c r="G4674" s="1">
        <v>23276</v>
      </c>
      <c r="H4674" s="1">
        <v>32146</v>
      </c>
      <c r="I4674" t="str">
        <f>"51"</f>
        <v>51</v>
      </c>
      <c r="J4674" t="s">
        <v>471</v>
      </c>
      <c r="K4674" t="s">
        <v>25</v>
      </c>
      <c r="L4674" t="s">
        <v>26</v>
      </c>
      <c r="M4674" t="s">
        <v>27</v>
      </c>
      <c r="N4674" s="1">
        <v>18629</v>
      </c>
      <c r="O4674">
        <v>0</v>
      </c>
      <c r="P4674">
        <v>0</v>
      </c>
      <c r="Q4674" t="s">
        <v>37</v>
      </c>
      <c r="R4674" t="s">
        <v>71</v>
      </c>
      <c r="S4674" t="s">
        <v>157</v>
      </c>
      <c r="T4674" t="s">
        <v>158</v>
      </c>
    </row>
    <row r="4675" spans="1:20" x14ac:dyDescent="0.25">
      <c r="A4675" t="s">
        <v>10690</v>
      </c>
      <c r="B4675" t="str">
        <f>"0047"</f>
        <v>0047</v>
      </c>
      <c r="C4675" t="str">
        <f>"272460047"</f>
        <v>272460047</v>
      </c>
      <c r="D4675" t="s">
        <v>10691</v>
      </c>
      <c r="E4675" t="s">
        <v>672</v>
      </c>
      <c r="F4675" t="s">
        <v>97</v>
      </c>
      <c r="G4675" s="1">
        <v>18805</v>
      </c>
      <c r="H4675" s="1">
        <v>32146</v>
      </c>
      <c r="I4675" t="str">
        <f>"51"</f>
        <v>51</v>
      </c>
      <c r="J4675" t="s">
        <v>471</v>
      </c>
      <c r="K4675" t="s">
        <v>25</v>
      </c>
      <c r="L4675" t="s">
        <v>26</v>
      </c>
      <c r="M4675" t="s">
        <v>27</v>
      </c>
      <c r="N4675" s="1">
        <v>18629</v>
      </c>
      <c r="O4675">
        <v>0</v>
      </c>
      <c r="P4675">
        <v>0</v>
      </c>
      <c r="Q4675" t="s">
        <v>28</v>
      </c>
      <c r="R4675" t="s">
        <v>71</v>
      </c>
      <c r="S4675" t="s">
        <v>4234</v>
      </c>
      <c r="T4675" t="s">
        <v>4235</v>
      </c>
    </row>
    <row r="4676" spans="1:20" x14ac:dyDescent="0.25">
      <c r="A4676" t="s">
        <v>10692</v>
      </c>
      <c r="B4676" t="str">
        <f>"9347"</f>
        <v>9347</v>
      </c>
      <c r="C4676" t="str">
        <f>"275669347"</f>
        <v>275669347</v>
      </c>
      <c r="D4676" t="s">
        <v>10693</v>
      </c>
      <c r="E4676" t="s">
        <v>10694</v>
      </c>
      <c r="F4676" t="s">
        <v>93</v>
      </c>
      <c r="G4676" s="1">
        <v>21669</v>
      </c>
      <c r="H4676" s="1">
        <v>32119</v>
      </c>
      <c r="I4676" t="str">
        <f>"30"</f>
        <v>30</v>
      </c>
      <c r="J4676" t="s">
        <v>50</v>
      </c>
      <c r="K4676" t="s">
        <v>25</v>
      </c>
      <c r="L4676" t="s">
        <v>26</v>
      </c>
      <c r="M4676" t="s">
        <v>27</v>
      </c>
      <c r="N4676" s="1">
        <v>18629</v>
      </c>
      <c r="O4676">
        <v>0</v>
      </c>
      <c r="P4676">
        <v>0</v>
      </c>
      <c r="Q4676" t="s">
        <v>37</v>
      </c>
      <c r="R4676" t="s">
        <v>29</v>
      </c>
      <c r="S4676" t="s">
        <v>1795</v>
      </c>
      <c r="T4676" t="s">
        <v>1796</v>
      </c>
    </row>
    <row r="4677" spans="1:20" x14ac:dyDescent="0.25">
      <c r="A4677" t="s">
        <v>10695</v>
      </c>
      <c r="B4677" t="str">
        <f>"3245"</f>
        <v>3245</v>
      </c>
      <c r="C4677" t="str">
        <f>"233823245"</f>
        <v>233823245</v>
      </c>
      <c r="D4677" t="s">
        <v>860</v>
      </c>
      <c r="E4677" t="s">
        <v>2385</v>
      </c>
      <c r="F4677" t="s">
        <v>97</v>
      </c>
      <c r="G4677" s="1">
        <v>18314</v>
      </c>
      <c r="H4677" s="1">
        <v>32083</v>
      </c>
      <c r="I4677" t="str">
        <f>"05"</f>
        <v>05</v>
      </c>
      <c r="J4677" t="s">
        <v>58</v>
      </c>
      <c r="K4677" t="s">
        <v>98</v>
      </c>
      <c r="L4677" t="s">
        <v>37</v>
      </c>
      <c r="M4677" t="s">
        <v>117</v>
      </c>
      <c r="N4677" s="1">
        <v>41617</v>
      </c>
      <c r="O4677">
        <v>4951.96</v>
      </c>
      <c r="P4677">
        <v>1237.8599999999999</v>
      </c>
      <c r="Q4677" t="s">
        <v>37</v>
      </c>
      <c r="R4677" t="s">
        <v>110</v>
      </c>
      <c r="S4677" t="s">
        <v>4457</v>
      </c>
      <c r="T4677" t="s">
        <v>4458</v>
      </c>
    </row>
    <row r="4678" spans="1:20" x14ac:dyDescent="0.25">
      <c r="A4678" t="s">
        <v>10696</v>
      </c>
      <c r="B4678" t="str">
        <f>"7397"</f>
        <v>7397</v>
      </c>
      <c r="C4678" t="str">
        <f>"301507397"</f>
        <v>301507397</v>
      </c>
      <c r="D4678" t="s">
        <v>9050</v>
      </c>
      <c r="E4678" t="s">
        <v>3674</v>
      </c>
      <c r="F4678" t="s">
        <v>44</v>
      </c>
      <c r="G4678" s="1">
        <v>22224</v>
      </c>
      <c r="H4678" s="1">
        <v>32041</v>
      </c>
      <c r="I4678" t="str">
        <f>"51"</f>
        <v>51</v>
      </c>
      <c r="J4678" t="s">
        <v>471</v>
      </c>
      <c r="K4678" t="s">
        <v>25</v>
      </c>
      <c r="L4678" t="s">
        <v>26</v>
      </c>
      <c r="M4678" t="s">
        <v>27</v>
      </c>
      <c r="N4678" s="1">
        <v>18629</v>
      </c>
      <c r="O4678">
        <v>0</v>
      </c>
      <c r="P4678">
        <v>0</v>
      </c>
      <c r="Q4678" t="s">
        <v>37</v>
      </c>
      <c r="R4678" t="s">
        <v>71</v>
      </c>
      <c r="S4678" t="s">
        <v>305</v>
      </c>
      <c r="T4678" t="s">
        <v>306</v>
      </c>
    </row>
    <row r="4679" spans="1:20" x14ac:dyDescent="0.25">
      <c r="A4679" t="s">
        <v>10697</v>
      </c>
      <c r="B4679" t="str">
        <f>"9951"</f>
        <v>9951</v>
      </c>
      <c r="C4679" t="str">
        <f>"276449951"</f>
        <v>276449951</v>
      </c>
      <c r="D4679" t="s">
        <v>10698</v>
      </c>
      <c r="E4679" t="s">
        <v>56</v>
      </c>
      <c r="F4679" t="s">
        <v>219</v>
      </c>
      <c r="G4679" s="1">
        <v>17578</v>
      </c>
      <c r="H4679" s="1">
        <v>32041</v>
      </c>
      <c r="I4679" t="str">
        <f>"51"</f>
        <v>51</v>
      </c>
      <c r="J4679" t="s">
        <v>471</v>
      </c>
      <c r="K4679" t="s">
        <v>25</v>
      </c>
      <c r="L4679" t="s">
        <v>26</v>
      </c>
      <c r="M4679" t="s">
        <v>27</v>
      </c>
      <c r="N4679" s="1">
        <v>18629</v>
      </c>
      <c r="O4679">
        <v>0</v>
      </c>
      <c r="P4679">
        <v>0</v>
      </c>
      <c r="Q4679" t="s">
        <v>28</v>
      </c>
      <c r="R4679" t="s">
        <v>71</v>
      </c>
      <c r="S4679" t="s">
        <v>157</v>
      </c>
      <c r="T4679" t="s">
        <v>158</v>
      </c>
    </row>
    <row r="4680" spans="1:20" x14ac:dyDescent="0.25">
      <c r="A4680" t="s">
        <v>10699</v>
      </c>
      <c r="B4680" t="str">
        <f>"0660"</f>
        <v>0660</v>
      </c>
      <c r="C4680" t="str">
        <f>"283440660"</f>
        <v>283440660</v>
      </c>
      <c r="D4680" t="s">
        <v>4357</v>
      </c>
      <c r="E4680" t="s">
        <v>5742</v>
      </c>
      <c r="F4680" t="s">
        <v>282</v>
      </c>
      <c r="G4680" s="1">
        <v>16725</v>
      </c>
      <c r="H4680" s="1">
        <v>31789</v>
      </c>
      <c r="I4680" t="str">
        <f>"20"</f>
        <v>20</v>
      </c>
      <c r="J4680" t="s">
        <v>123</v>
      </c>
      <c r="K4680" t="s">
        <v>98</v>
      </c>
      <c r="L4680" t="s">
        <v>37</v>
      </c>
      <c r="M4680" t="s">
        <v>117</v>
      </c>
      <c r="N4680" s="1">
        <v>41631</v>
      </c>
      <c r="O4680">
        <v>4951.9799999999996</v>
      </c>
      <c r="P4680">
        <v>1237.94</v>
      </c>
      <c r="Q4680" t="s">
        <v>37</v>
      </c>
      <c r="R4680" t="s">
        <v>51</v>
      </c>
      <c r="S4680" s="2" t="s">
        <v>683</v>
      </c>
      <c r="T4680" t="s">
        <v>684</v>
      </c>
    </row>
    <row r="4681" spans="1:20" x14ac:dyDescent="0.25">
      <c r="A4681" t="s">
        <v>10700</v>
      </c>
      <c r="B4681" t="str">
        <f>"6656"</f>
        <v>6656</v>
      </c>
      <c r="C4681" t="str">
        <f>"286546656"</f>
        <v>286546656</v>
      </c>
      <c r="D4681" t="s">
        <v>7170</v>
      </c>
      <c r="E4681" t="s">
        <v>1372</v>
      </c>
      <c r="F4681" t="s">
        <v>44</v>
      </c>
      <c r="G4681" s="1">
        <v>19483</v>
      </c>
      <c r="H4681" s="1">
        <v>31754</v>
      </c>
      <c r="I4681" t="str">
        <f>"03"</f>
        <v>03</v>
      </c>
      <c r="J4681" t="s">
        <v>70</v>
      </c>
      <c r="K4681" t="s">
        <v>98</v>
      </c>
      <c r="L4681" t="s">
        <v>37</v>
      </c>
      <c r="M4681" t="s">
        <v>99</v>
      </c>
      <c r="N4681" s="1">
        <v>41617</v>
      </c>
      <c r="O4681">
        <v>14801.8</v>
      </c>
      <c r="P4681">
        <v>3700.32</v>
      </c>
      <c r="Q4681" t="s">
        <v>37</v>
      </c>
      <c r="R4681" t="s">
        <v>29</v>
      </c>
      <c r="S4681" t="s">
        <v>818</v>
      </c>
      <c r="T4681" t="s">
        <v>819</v>
      </c>
    </row>
    <row r="4682" spans="1:20" x14ac:dyDescent="0.25">
      <c r="A4682" t="s">
        <v>10701</v>
      </c>
      <c r="B4682" t="str">
        <f>"9469"</f>
        <v>9469</v>
      </c>
      <c r="C4682" t="str">
        <f>"269689469"</f>
        <v>269689469</v>
      </c>
      <c r="D4682" t="s">
        <v>10702</v>
      </c>
      <c r="E4682" t="s">
        <v>933</v>
      </c>
      <c r="G4682" s="1">
        <v>21662</v>
      </c>
      <c r="H4682" s="1">
        <v>31719</v>
      </c>
      <c r="I4682" t="str">
        <f>"08"</f>
        <v>08</v>
      </c>
      <c r="J4682" t="s">
        <v>265</v>
      </c>
      <c r="L4682" t="s">
        <v>37</v>
      </c>
      <c r="M4682" t="s">
        <v>143</v>
      </c>
      <c r="N4682" s="1">
        <v>41617</v>
      </c>
      <c r="O4682">
        <v>185.9</v>
      </c>
      <c r="P4682">
        <v>-185.9</v>
      </c>
      <c r="Q4682" t="s">
        <v>28</v>
      </c>
      <c r="R4682" t="s">
        <v>29</v>
      </c>
      <c r="S4682" t="s">
        <v>368</v>
      </c>
      <c r="T4682" t="s">
        <v>369</v>
      </c>
    </row>
    <row r="4683" spans="1:20" x14ac:dyDescent="0.25">
      <c r="A4683" t="s">
        <v>10703</v>
      </c>
      <c r="B4683" t="str">
        <f>"2832"</f>
        <v>2832</v>
      </c>
      <c r="C4683" t="str">
        <f>"123422832"</f>
        <v>123422832</v>
      </c>
      <c r="D4683" t="s">
        <v>10704</v>
      </c>
      <c r="E4683" t="s">
        <v>490</v>
      </c>
      <c r="G4683" s="1">
        <v>18971</v>
      </c>
      <c r="H4683" s="1">
        <v>31712</v>
      </c>
      <c r="I4683" t="str">
        <f>"50"</f>
        <v>50</v>
      </c>
      <c r="J4683" t="s">
        <v>208</v>
      </c>
      <c r="K4683" t="s">
        <v>25</v>
      </c>
      <c r="L4683" t="s">
        <v>26</v>
      </c>
      <c r="M4683" t="s">
        <v>27</v>
      </c>
      <c r="N4683" s="1">
        <v>18629</v>
      </c>
      <c r="O4683">
        <v>0</v>
      </c>
      <c r="P4683">
        <v>0</v>
      </c>
      <c r="Q4683" t="s">
        <v>28</v>
      </c>
      <c r="R4683" t="s">
        <v>29</v>
      </c>
      <c r="S4683" t="s">
        <v>185</v>
      </c>
      <c r="T4683" t="s">
        <v>186</v>
      </c>
    </row>
    <row r="4684" spans="1:20" x14ac:dyDescent="0.25">
      <c r="A4684" t="s">
        <v>10705</v>
      </c>
      <c r="B4684" t="str">
        <f>"6239"</f>
        <v>6239</v>
      </c>
      <c r="C4684" t="str">
        <f>"275526239"</f>
        <v>275526239</v>
      </c>
      <c r="D4684" t="s">
        <v>10706</v>
      </c>
      <c r="E4684" t="s">
        <v>35</v>
      </c>
      <c r="G4684" s="1">
        <v>19487</v>
      </c>
      <c r="H4684" s="1">
        <v>31677</v>
      </c>
      <c r="I4684" t="str">
        <f>"20"</f>
        <v>20</v>
      </c>
      <c r="J4684" t="s">
        <v>123</v>
      </c>
      <c r="K4684" t="s">
        <v>98</v>
      </c>
      <c r="L4684" t="s">
        <v>37</v>
      </c>
      <c r="M4684" t="s">
        <v>257</v>
      </c>
      <c r="N4684" s="1">
        <v>41631</v>
      </c>
      <c r="O4684">
        <v>10753.16</v>
      </c>
      <c r="P4684">
        <v>2688.4</v>
      </c>
      <c r="Q4684" t="s">
        <v>28</v>
      </c>
      <c r="R4684" t="s">
        <v>51</v>
      </c>
      <c r="S4684" s="2" t="s">
        <v>4118</v>
      </c>
      <c r="T4684" t="s">
        <v>4119</v>
      </c>
    </row>
    <row r="4685" spans="1:20" x14ac:dyDescent="0.25">
      <c r="A4685" t="s">
        <v>10707</v>
      </c>
      <c r="B4685" t="str">
        <f>"5265"</f>
        <v>5265</v>
      </c>
      <c r="C4685" t="str">
        <f>"278505265"</f>
        <v>278505265</v>
      </c>
      <c r="D4685" t="s">
        <v>10708</v>
      </c>
      <c r="E4685" t="s">
        <v>82</v>
      </c>
      <c r="F4685" t="s">
        <v>93</v>
      </c>
      <c r="G4685" s="1">
        <v>19645</v>
      </c>
      <c r="H4685" s="1">
        <v>31677</v>
      </c>
      <c r="I4685" t="str">
        <f>"51"</f>
        <v>51</v>
      </c>
      <c r="J4685" t="s">
        <v>471</v>
      </c>
      <c r="K4685" t="s">
        <v>25</v>
      </c>
      <c r="L4685" t="s">
        <v>26</v>
      </c>
      <c r="M4685" t="s">
        <v>27</v>
      </c>
      <c r="N4685" s="1">
        <v>18629</v>
      </c>
      <c r="O4685">
        <v>0</v>
      </c>
      <c r="P4685">
        <v>0</v>
      </c>
      <c r="Q4685" t="s">
        <v>37</v>
      </c>
      <c r="R4685" t="s">
        <v>71</v>
      </c>
      <c r="S4685" t="s">
        <v>305</v>
      </c>
      <c r="T4685" t="s">
        <v>306</v>
      </c>
    </row>
    <row r="4686" spans="1:20" x14ac:dyDescent="0.25">
      <c r="A4686" t="s">
        <v>10709</v>
      </c>
      <c r="B4686" t="str">
        <f>"4036"</f>
        <v>4036</v>
      </c>
      <c r="C4686" t="str">
        <f>"269564036"</f>
        <v>269564036</v>
      </c>
      <c r="D4686" t="s">
        <v>3355</v>
      </c>
      <c r="E4686" t="s">
        <v>33</v>
      </c>
      <c r="F4686" t="s">
        <v>3934</v>
      </c>
      <c r="G4686" s="1">
        <v>21643</v>
      </c>
      <c r="H4686" s="1">
        <v>31511</v>
      </c>
      <c r="I4686" t="str">
        <f>"51"</f>
        <v>51</v>
      </c>
      <c r="J4686" t="s">
        <v>471</v>
      </c>
      <c r="K4686" t="s">
        <v>25</v>
      </c>
      <c r="L4686" t="s">
        <v>26</v>
      </c>
      <c r="M4686" t="s">
        <v>27</v>
      </c>
      <c r="N4686" s="1">
        <v>18629</v>
      </c>
      <c r="O4686">
        <v>0</v>
      </c>
      <c r="P4686">
        <v>0</v>
      </c>
      <c r="Q4686" t="s">
        <v>28</v>
      </c>
      <c r="R4686" t="s">
        <v>51</v>
      </c>
      <c r="S4686" s="2" t="s">
        <v>1656</v>
      </c>
      <c r="T4686" t="s">
        <v>1657</v>
      </c>
    </row>
    <row r="4687" spans="1:20" x14ac:dyDescent="0.25">
      <c r="A4687" t="s">
        <v>10710</v>
      </c>
      <c r="B4687" t="str">
        <f>"3558"</f>
        <v>3558</v>
      </c>
      <c r="C4687" t="str">
        <f>"393483558"</f>
        <v>393483558</v>
      </c>
      <c r="D4687" t="s">
        <v>10461</v>
      </c>
      <c r="E4687" t="s">
        <v>944</v>
      </c>
      <c r="G4687" s="1">
        <v>20817</v>
      </c>
      <c r="H4687" s="1">
        <v>31502</v>
      </c>
      <c r="I4687" t="str">
        <f>"52"</f>
        <v>52</v>
      </c>
      <c r="J4687" t="s">
        <v>330</v>
      </c>
      <c r="K4687" t="s">
        <v>25</v>
      </c>
      <c r="L4687" t="s">
        <v>26</v>
      </c>
      <c r="M4687" t="s">
        <v>27</v>
      </c>
      <c r="N4687" s="1">
        <v>18629</v>
      </c>
      <c r="O4687">
        <v>0</v>
      </c>
      <c r="P4687">
        <v>0</v>
      </c>
      <c r="Q4687" t="s">
        <v>28</v>
      </c>
      <c r="R4687" t="s">
        <v>71</v>
      </c>
      <c r="S4687" t="s">
        <v>377</v>
      </c>
      <c r="T4687" t="s">
        <v>378</v>
      </c>
    </row>
    <row r="4688" spans="1:20" x14ac:dyDescent="0.25">
      <c r="A4688" t="s">
        <v>10711</v>
      </c>
      <c r="B4688" t="str">
        <f>"6233"</f>
        <v>6233</v>
      </c>
      <c r="C4688" t="str">
        <f>"294786233"</f>
        <v>294786233</v>
      </c>
      <c r="D4688" t="s">
        <v>10712</v>
      </c>
      <c r="E4688" t="s">
        <v>2574</v>
      </c>
      <c r="G4688" s="1">
        <v>18771</v>
      </c>
      <c r="H4688" s="1">
        <v>31418</v>
      </c>
      <c r="I4688" t="str">
        <f>"33"</f>
        <v>33</v>
      </c>
      <c r="J4688" t="s">
        <v>45</v>
      </c>
      <c r="K4688" t="s">
        <v>25</v>
      </c>
      <c r="L4688" t="s">
        <v>26</v>
      </c>
      <c r="M4688" t="s">
        <v>27</v>
      </c>
      <c r="N4688" s="1">
        <v>18629</v>
      </c>
      <c r="O4688">
        <v>0</v>
      </c>
      <c r="P4688">
        <v>0</v>
      </c>
      <c r="Q4688" t="s">
        <v>28</v>
      </c>
      <c r="R4688" t="s">
        <v>29</v>
      </c>
      <c r="S4688" t="s">
        <v>594</v>
      </c>
      <c r="T4688" t="s">
        <v>595</v>
      </c>
    </row>
    <row r="4689" spans="1:20" x14ac:dyDescent="0.25">
      <c r="A4689" t="s">
        <v>10713</v>
      </c>
      <c r="B4689" t="str">
        <f>"1387"</f>
        <v>1387</v>
      </c>
      <c r="C4689" t="str">
        <f>"297301387"</f>
        <v>297301387</v>
      </c>
      <c r="D4689" t="s">
        <v>10714</v>
      </c>
      <c r="E4689" t="s">
        <v>609</v>
      </c>
      <c r="F4689" t="s">
        <v>5245</v>
      </c>
      <c r="G4689" s="1">
        <v>14066</v>
      </c>
      <c r="H4689" s="1">
        <v>31173</v>
      </c>
      <c r="I4689" t="str">
        <f>"50"</f>
        <v>50</v>
      </c>
      <c r="J4689" t="s">
        <v>208</v>
      </c>
      <c r="K4689" t="s">
        <v>25</v>
      </c>
      <c r="L4689" t="s">
        <v>26</v>
      </c>
      <c r="M4689" t="s">
        <v>27</v>
      </c>
      <c r="N4689" s="1">
        <v>18629</v>
      </c>
      <c r="O4689">
        <v>0</v>
      </c>
      <c r="P4689">
        <v>0</v>
      </c>
      <c r="Q4689" t="s">
        <v>28</v>
      </c>
      <c r="R4689" t="s">
        <v>51</v>
      </c>
      <c r="S4689" s="2" t="s">
        <v>683</v>
      </c>
      <c r="T4689" t="s">
        <v>684</v>
      </c>
    </row>
    <row r="4690" spans="1:20" x14ac:dyDescent="0.25">
      <c r="A4690" t="s">
        <v>10715</v>
      </c>
      <c r="B4690" t="str">
        <f>"4987"</f>
        <v>4987</v>
      </c>
      <c r="C4690" t="str">
        <f>"298544987"</f>
        <v>298544987</v>
      </c>
      <c r="D4690" t="s">
        <v>10716</v>
      </c>
      <c r="E4690" t="s">
        <v>2450</v>
      </c>
      <c r="F4690" t="s">
        <v>28</v>
      </c>
      <c r="G4690" s="1">
        <v>19950</v>
      </c>
      <c r="H4690" s="1">
        <v>31138</v>
      </c>
      <c r="I4690" t="str">
        <f>"33"</f>
        <v>33</v>
      </c>
      <c r="J4690" t="s">
        <v>45</v>
      </c>
      <c r="K4690" t="s">
        <v>25</v>
      </c>
      <c r="L4690" t="s">
        <v>26</v>
      </c>
      <c r="M4690" t="s">
        <v>27</v>
      </c>
      <c r="N4690" s="1">
        <v>18629</v>
      </c>
      <c r="O4690">
        <v>0</v>
      </c>
      <c r="P4690">
        <v>0</v>
      </c>
      <c r="Q4690" t="s">
        <v>37</v>
      </c>
      <c r="R4690" t="s">
        <v>29</v>
      </c>
      <c r="S4690" t="s">
        <v>594</v>
      </c>
      <c r="T4690" t="s">
        <v>595</v>
      </c>
    </row>
    <row r="4691" spans="1:20" x14ac:dyDescent="0.25">
      <c r="A4691" t="s">
        <v>10717</v>
      </c>
      <c r="B4691" t="str">
        <f>"3730"</f>
        <v>3730</v>
      </c>
      <c r="C4691" t="str">
        <f>"274403730"</f>
        <v>274403730</v>
      </c>
      <c r="D4691" t="s">
        <v>7231</v>
      </c>
      <c r="E4691" t="s">
        <v>22</v>
      </c>
      <c r="F4691" t="s">
        <v>219</v>
      </c>
      <c r="G4691" s="1">
        <v>16711</v>
      </c>
      <c r="H4691" s="1">
        <v>31131</v>
      </c>
      <c r="I4691" t="str">
        <f>"51"</f>
        <v>51</v>
      </c>
      <c r="J4691" t="s">
        <v>471</v>
      </c>
      <c r="K4691" t="s">
        <v>25</v>
      </c>
      <c r="L4691" t="s">
        <v>26</v>
      </c>
      <c r="M4691" t="s">
        <v>27</v>
      </c>
      <c r="N4691" s="1">
        <v>18629</v>
      </c>
      <c r="O4691">
        <v>0</v>
      </c>
      <c r="P4691">
        <v>0</v>
      </c>
      <c r="Q4691" t="s">
        <v>28</v>
      </c>
      <c r="R4691" t="s">
        <v>346</v>
      </c>
      <c r="S4691" t="s">
        <v>2190</v>
      </c>
      <c r="T4691" t="s">
        <v>2191</v>
      </c>
    </row>
    <row r="4692" spans="1:20" x14ac:dyDescent="0.25">
      <c r="A4692" t="s">
        <v>10718</v>
      </c>
      <c r="B4692" t="str">
        <f>"3201"</f>
        <v>3201</v>
      </c>
      <c r="C4692" t="str">
        <f>"158363201"</f>
        <v>158363201</v>
      </c>
      <c r="D4692" t="s">
        <v>10719</v>
      </c>
      <c r="E4692" t="s">
        <v>4190</v>
      </c>
      <c r="G4692" s="1">
        <v>16990</v>
      </c>
      <c r="H4692" s="1">
        <v>31131</v>
      </c>
      <c r="I4692" t="str">
        <f>"51"</f>
        <v>51</v>
      </c>
      <c r="J4692" t="s">
        <v>471</v>
      </c>
      <c r="K4692" t="s">
        <v>25</v>
      </c>
      <c r="L4692" t="s">
        <v>26</v>
      </c>
      <c r="M4692" t="s">
        <v>27</v>
      </c>
      <c r="N4692" s="1">
        <v>18629</v>
      </c>
      <c r="O4692">
        <v>0</v>
      </c>
      <c r="P4692">
        <v>0</v>
      </c>
      <c r="Q4692" t="s">
        <v>28</v>
      </c>
      <c r="R4692" t="s">
        <v>51</v>
      </c>
      <c r="S4692" s="2" t="s">
        <v>1538</v>
      </c>
      <c r="T4692" t="s">
        <v>1539</v>
      </c>
    </row>
    <row r="4693" spans="1:20" x14ac:dyDescent="0.25">
      <c r="A4693" t="s">
        <v>10720</v>
      </c>
      <c r="B4693" t="str">
        <f>"9542"</f>
        <v>9542</v>
      </c>
      <c r="C4693" t="str">
        <f>"277769542"</f>
        <v>277769542</v>
      </c>
      <c r="D4693" t="s">
        <v>10721</v>
      </c>
      <c r="E4693" t="s">
        <v>3181</v>
      </c>
      <c r="G4693" s="1">
        <v>23705</v>
      </c>
      <c r="H4693" s="1">
        <v>31087</v>
      </c>
      <c r="I4693" t="str">
        <f>"42"</f>
        <v>42</v>
      </c>
      <c r="J4693" t="s">
        <v>367</v>
      </c>
      <c r="K4693" t="s">
        <v>25</v>
      </c>
      <c r="L4693" t="s">
        <v>26</v>
      </c>
      <c r="M4693" t="s">
        <v>27</v>
      </c>
      <c r="N4693" s="1">
        <v>18629</v>
      </c>
      <c r="O4693">
        <v>0</v>
      </c>
      <c r="P4693">
        <v>0</v>
      </c>
      <c r="Q4693" t="s">
        <v>28</v>
      </c>
      <c r="R4693" t="s">
        <v>29</v>
      </c>
      <c r="S4693" t="s">
        <v>982</v>
      </c>
      <c r="T4693" t="s">
        <v>983</v>
      </c>
    </row>
    <row r="4694" spans="1:20" x14ac:dyDescent="0.25">
      <c r="A4694" t="s">
        <v>10722</v>
      </c>
      <c r="B4694" t="str">
        <f>"1139"</f>
        <v>1139</v>
      </c>
      <c r="C4694" t="str">
        <f>"288301139"</f>
        <v>288301139</v>
      </c>
      <c r="D4694" t="s">
        <v>10723</v>
      </c>
      <c r="E4694" t="s">
        <v>794</v>
      </c>
      <c r="F4694" t="s">
        <v>329</v>
      </c>
      <c r="G4694" s="1">
        <v>13572</v>
      </c>
      <c r="H4694" s="1">
        <v>31054</v>
      </c>
      <c r="I4694" t="str">
        <f>"51"</f>
        <v>51</v>
      </c>
      <c r="J4694" t="s">
        <v>471</v>
      </c>
      <c r="K4694" t="s">
        <v>25</v>
      </c>
      <c r="L4694" t="s">
        <v>26</v>
      </c>
      <c r="M4694" t="s">
        <v>27</v>
      </c>
      <c r="N4694" s="1">
        <v>18629</v>
      </c>
      <c r="O4694">
        <v>0</v>
      </c>
      <c r="P4694">
        <v>0</v>
      </c>
      <c r="Q4694" t="s">
        <v>28</v>
      </c>
      <c r="R4694" t="s">
        <v>71</v>
      </c>
      <c r="S4694" t="s">
        <v>180</v>
      </c>
      <c r="T4694" t="s">
        <v>181</v>
      </c>
    </row>
    <row r="4695" spans="1:20" x14ac:dyDescent="0.25">
      <c r="A4695" t="s">
        <v>10724</v>
      </c>
      <c r="B4695" t="str">
        <f>"0076"</f>
        <v>0076</v>
      </c>
      <c r="C4695" t="str">
        <f>"299460076"</f>
        <v>299460076</v>
      </c>
      <c r="D4695" t="s">
        <v>10725</v>
      </c>
      <c r="E4695" t="s">
        <v>4512</v>
      </c>
      <c r="F4695" t="s">
        <v>28</v>
      </c>
      <c r="G4695" s="1">
        <v>17576</v>
      </c>
      <c r="H4695" s="1">
        <v>30929</v>
      </c>
      <c r="I4695" t="str">
        <f>"20"</f>
        <v>20</v>
      </c>
      <c r="J4695" t="s">
        <v>123</v>
      </c>
      <c r="K4695" t="s">
        <v>98</v>
      </c>
      <c r="L4695" t="s">
        <v>37</v>
      </c>
      <c r="M4695" t="s">
        <v>99</v>
      </c>
      <c r="N4695" s="1">
        <v>41631</v>
      </c>
      <c r="O4695">
        <v>14801.82</v>
      </c>
      <c r="P4695">
        <v>3700.4</v>
      </c>
      <c r="Q4695" t="s">
        <v>28</v>
      </c>
      <c r="R4695" t="s">
        <v>346</v>
      </c>
      <c r="S4695" t="s">
        <v>166</v>
      </c>
      <c r="T4695" t="s">
        <v>167</v>
      </c>
    </row>
    <row r="4696" spans="1:20" x14ac:dyDescent="0.25">
      <c r="A4696" t="s">
        <v>10726</v>
      </c>
      <c r="B4696" t="str">
        <f>"5169"</f>
        <v>5169</v>
      </c>
      <c r="C4696" t="str">
        <f>"300585169"</f>
        <v>300585169</v>
      </c>
      <c r="D4696" t="s">
        <v>10727</v>
      </c>
      <c r="E4696" t="s">
        <v>3558</v>
      </c>
      <c r="F4696" t="s">
        <v>10728</v>
      </c>
      <c r="G4696" s="1">
        <v>22517</v>
      </c>
      <c r="H4696" s="1">
        <v>30865</v>
      </c>
      <c r="I4696" t="str">
        <f>"08"</f>
        <v>08</v>
      </c>
      <c r="J4696" t="s">
        <v>265</v>
      </c>
      <c r="K4696" t="s">
        <v>510</v>
      </c>
      <c r="L4696" t="s">
        <v>37</v>
      </c>
      <c r="M4696" t="s">
        <v>257</v>
      </c>
      <c r="N4696" s="1">
        <v>41617</v>
      </c>
      <c r="O4696">
        <v>14110.72</v>
      </c>
      <c r="P4696">
        <v>3527.68</v>
      </c>
      <c r="Q4696" t="s">
        <v>28</v>
      </c>
      <c r="R4696" t="s">
        <v>71</v>
      </c>
      <c r="S4696" t="s">
        <v>2839</v>
      </c>
      <c r="T4696" t="s">
        <v>2591</v>
      </c>
    </row>
    <row r="4697" spans="1:20" x14ac:dyDescent="0.25">
      <c r="A4697" t="s">
        <v>10729</v>
      </c>
      <c r="B4697" t="str">
        <f>"7327"</f>
        <v>7327</v>
      </c>
      <c r="C4697" t="str">
        <f>"272567327"</f>
        <v>272567327</v>
      </c>
      <c r="D4697" t="s">
        <v>10730</v>
      </c>
      <c r="E4697" t="s">
        <v>1478</v>
      </c>
      <c r="F4697" t="s">
        <v>556</v>
      </c>
      <c r="G4697" s="1">
        <v>19135</v>
      </c>
      <c r="H4697" s="1">
        <v>30865</v>
      </c>
      <c r="I4697" t="str">
        <f>"03"</f>
        <v>03</v>
      </c>
      <c r="J4697" t="s">
        <v>70</v>
      </c>
      <c r="K4697" t="s">
        <v>98</v>
      </c>
      <c r="L4697" t="s">
        <v>37</v>
      </c>
      <c r="M4697" t="s">
        <v>257</v>
      </c>
      <c r="N4697" s="1">
        <v>41617</v>
      </c>
      <c r="O4697">
        <v>10753.08</v>
      </c>
      <c r="P4697">
        <v>2688.4</v>
      </c>
      <c r="Q4697" t="s">
        <v>37</v>
      </c>
      <c r="R4697" t="s">
        <v>71</v>
      </c>
      <c r="S4697" t="s">
        <v>2297</v>
      </c>
      <c r="T4697" t="s">
        <v>2298</v>
      </c>
    </row>
    <row r="4698" spans="1:20" x14ac:dyDescent="0.25">
      <c r="A4698" t="s">
        <v>10731</v>
      </c>
      <c r="B4698" t="str">
        <f>"8595"</f>
        <v>8595</v>
      </c>
      <c r="C4698" t="str">
        <f>"274408595"</f>
        <v>274408595</v>
      </c>
      <c r="D4698" t="s">
        <v>10732</v>
      </c>
      <c r="E4698" t="s">
        <v>197</v>
      </c>
      <c r="F4698" t="s">
        <v>93</v>
      </c>
      <c r="G4698" s="1">
        <v>15923</v>
      </c>
      <c r="H4698" s="1">
        <v>30682</v>
      </c>
      <c r="I4698" t="str">
        <f>"51"</f>
        <v>51</v>
      </c>
      <c r="J4698" t="s">
        <v>471</v>
      </c>
      <c r="K4698" t="s">
        <v>25</v>
      </c>
      <c r="L4698" t="s">
        <v>26</v>
      </c>
      <c r="M4698" t="s">
        <v>27</v>
      </c>
      <c r="N4698" s="1">
        <v>18629</v>
      </c>
      <c r="O4698">
        <v>0</v>
      </c>
      <c r="P4698">
        <v>0</v>
      </c>
      <c r="Q4698" t="s">
        <v>28</v>
      </c>
      <c r="R4698" t="s">
        <v>71</v>
      </c>
      <c r="S4698" t="s">
        <v>2458</v>
      </c>
      <c r="T4698" t="s">
        <v>2459</v>
      </c>
    </row>
    <row r="4699" spans="1:20" x14ac:dyDescent="0.25">
      <c r="A4699" t="s">
        <v>10733</v>
      </c>
      <c r="B4699" t="str">
        <f>"0289"</f>
        <v>0289</v>
      </c>
      <c r="C4699" t="str">
        <f>"282480289"</f>
        <v>282480289</v>
      </c>
      <c r="D4699" t="s">
        <v>10734</v>
      </c>
      <c r="E4699" t="s">
        <v>2786</v>
      </c>
      <c r="F4699" t="s">
        <v>93</v>
      </c>
      <c r="G4699" s="1">
        <v>18280</v>
      </c>
      <c r="H4699" s="1">
        <v>30565</v>
      </c>
      <c r="I4699" t="str">
        <f>"50"</f>
        <v>50</v>
      </c>
      <c r="J4699" t="s">
        <v>208</v>
      </c>
      <c r="K4699" t="s">
        <v>25</v>
      </c>
      <c r="L4699" t="s">
        <v>26</v>
      </c>
      <c r="M4699" t="s">
        <v>27</v>
      </c>
      <c r="N4699" s="1">
        <v>18629</v>
      </c>
      <c r="O4699">
        <v>0</v>
      </c>
      <c r="P4699">
        <v>0</v>
      </c>
      <c r="Q4699" t="s">
        <v>37</v>
      </c>
      <c r="R4699" t="s">
        <v>71</v>
      </c>
      <c r="S4699" t="s">
        <v>209</v>
      </c>
      <c r="T4699" t="s">
        <v>210</v>
      </c>
    </row>
    <row r="4700" spans="1:20" x14ac:dyDescent="0.25">
      <c r="A4700" t="s">
        <v>10735</v>
      </c>
      <c r="B4700" t="str">
        <f>"8508"</f>
        <v>8508</v>
      </c>
      <c r="C4700" t="str">
        <f>"290208508"</f>
        <v>290208508</v>
      </c>
      <c r="D4700" t="s">
        <v>47</v>
      </c>
      <c r="E4700" t="s">
        <v>179</v>
      </c>
      <c r="F4700" t="s">
        <v>26</v>
      </c>
      <c r="G4700" s="1">
        <v>9822</v>
      </c>
      <c r="H4700" s="1">
        <v>30403</v>
      </c>
      <c r="I4700" t="str">
        <f>"51"</f>
        <v>51</v>
      </c>
      <c r="J4700" t="s">
        <v>471</v>
      </c>
      <c r="K4700" t="s">
        <v>25</v>
      </c>
      <c r="L4700" t="s">
        <v>26</v>
      </c>
      <c r="M4700" t="s">
        <v>27</v>
      </c>
      <c r="N4700" s="1">
        <v>18629</v>
      </c>
      <c r="O4700">
        <v>0</v>
      </c>
      <c r="P4700">
        <v>0</v>
      </c>
      <c r="Q4700" t="s">
        <v>28</v>
      </c>
      <c r="R4700" t="s">
        <v>71</v>
      </c>
      <c r="S4700" t="s">
        <v>5022</v>
      </c>
      <c r="T4700" t="s">
        <v>5023</v>
      </c>
    </row>
    <row r="4701" spans="1:20" x14ac:dyDescent="0.25">
      <c r="A4701" t="s">
        <v>10736</v>
      </c>
      <c r="B4701" t="str">
        <f>"5206"</f>
        <v>5206</v>
      </c>
      <c r="C4701" t="str">
        <f>"185405206"</f>
        <v>185405206</v>
      </c>
      <c r="D4701" t="s">
        <v>10737</v>
      </c>
      <c r="E4701" t="s">
        <v>10332</v>
      </c>
      <c r="F4701" t="s">
        <v>44</v>
      </c>
      <c r="G4701" s="1">
        <v>16705</v>
      </c>
      <c r="H4701" s="1">
        <v>30403</v>
      </c>
      <c r="I4701" t="str">
        <f>"51"</f>
        <v>51</v>
      </c>
      <c r="J4701" t="s">
        <v>471</v>
      </c>
      <c r="K4701" t="s">
        <v>25</v>
      </c>
      <c r="L4701" t="s">
        <v>26</v>
      </c>
      <c r="M4701" t="s">
        <v>27</v>
      </c>
      <c r="N4701" s="1">
        <v>18629</v>
      </c>
      <c r="O4701">
        <v>0</v>
      </c>
      <c r="P4701">
        <v>0</v>
      </c>
      <c r="Q4701" t="s">
        <v>28</v>
      </c>
      <c r="R4701" t="s">
        <v>71</v>
      </c>
      <c r="S4701" t="s">
        <v>770</v>
      </c>
      <c r="T4701" t="s">
        <v>771</v>
      </c>
    </row>
    <row r="4702" spans="1:20" x14ac:dyDescent="0.25">
      <c r="A4702" t="s">
        <v>10738</v>
      </c>
      <c r="B4702" t="str">
        <f>"4596"</f>
        <v>4596</v>
      </c>
      <c r="C4702" t="str">
        <f>"295504596"</f>
        <v>295504596</v>
      </c>
      <c r="D4702" t="s">
        <v>5981</v>
      </c>
      <c r="E4702" t="s">
        <v>1808</v>
      </c>
      <c r="F4702" t="s">
        <v>28</v>
      </c>
      <c r="G4702" s="1">
        <v>21034</v>
      </c>
      <c r="H4702" s="1">
        <v>30403</v>
      </c>
      <c r="I4702" t="str">
        <f>"51"</f>
        <v>51</v>
      </c>
      <c r="J4702" t="s">
        <v>471</v>
      </c>
      <c r="K4702" t="s">
        <v>25</v>
      </c>
      <c r="L4702" t="s">
        <v>26</v>
      </c>
      <c r="M4702" t="s">
        <v>27</v>
      </c>
      <c r="N4702" s="1">
        <v>18629</v>
      </c>
      <c r="O4702">
        <v>0</v>
      </c>
      <c r="P4702">
        <v>0</v>
      </c>
      <c r="Q4702" t="s">
        <v>37</v>
      </c>
      <c r="R4702" t="s">
        <v>71</v>
      </c>
      <c r="S4702" t="s">
        <v>3750</v>
      </c>
      <c r="T4702" t="s">
        <v>3751</v>
      </c>
    </row>
    <row r="4703" spans="1:20" x14ac:dyDescent="0.25">
      <c r="A4703" t="s">
        <v>10739</v>
      </c>
      <c r="B4703" t="str">
        <f>"6739"</f>
        <v>6739</v>
      </c>
      <c r="C4703" t="str">
        <f>"289346739"</f>
        <v>289346739</v>
      </c>
      <c r="D4703" t="s">
        <v>10740</v>
      </c>
      <c r="E4703" t="s">
        <v>304</v>
      </c>
      <c r="F4703" t="s">
        <v>7606</v>
      </c>
      <c r="G4703" s="1">
        <v>14488</v>
      </c>
      <c r="H4703" s="1">
        <v>30319</v>
      </c>
      <c r="I4703" t="str">
        <f>"51"</f>
        <v>51</v>
      </c>
      <c r="J4703" t="s">
        <v>471</v>
      </c>
      <c r="K4703" t="s">
        <v>25</v>
      </c>
      <c r="L4703" t="s">
        <v>26</v>
      </c>
      <c r="M4703" t="s">
        <v>27</v>
      </c>
      <c r="N4703" s="1">
        <v>18629</v>
      </c>
      <c r="O4703">
        <v>0</v>
      </c>
      <c r="P4703">
        <v>0</v>
      </c>
      <c r="Q4703" t="s">
        <v>28</v>
      </c>
      <c r="R4703" t="s">
        <v>71</v>
      </c>
      <c r="S4703" t="s">
        <v>4234</v>
      </c>
      <c r="T4703" t="s">
        <v>4235</v>
      </c>
    </row>
    <row r="4704" spans="1:20" x14ac:dyDescent="0.25">
      <c r="A4704" t="s">
        <v>10741</v>
      </c>
      <c r="B4704" t="str">
        <f>"8166"</f>
        <v>8166</v>
      </c>
      <c r="C4704" t="str">
        <f>"289348166"</f>
        <v>289348166</v>
      </c>
      <c r="D4704" t="s">
        <v>10742</v>
      </c>
      <c r="E4704" t="s">
        <v>10743</v>
      </c>
      <c r="G4704" s="1">
        <v>14125</v>
      </c>
      <c r="H4704" s="1">
        <v>30214</v>
      </c>
      <c r="I4704" t="str">
        <f>"41"</f>
        <v>41</v>
      </c>
      <c r="J4704" t="s">
        <v>24</v>
      </c>
      <c r="K4704" t="s">
        <v>25</v>
      </c>
      <c r="L4704" t="s">
        <v>26</v>
      </c>
      <c r="M4704" t="s">
        <v>27</v>
      </c>
      <c r="N4704" s="1">
        <v>18629</v>
      </c>
      <c r="O4704">
        <v>0</v>
      </c>
      <c r="P4704">
        <v>0</v>
      </c>
      <c r="Q4704" t="s">
        <v>37</v>
      </c>
      <c r="R4704" t="s">
        <v>29</v>
      </c>
      <c r="S4704" t="s">
        <v>4743</v>
      </c>
      <c r="T4704" t="s">
        <v>4744</v>
      </c>
    </row>
    <row r="4705" spans="1:20" x14ac:dyDescent="0.25">
      <c r="A4705" t="s">
        <v>10744</v>
      </c>
      <c r="B4705" t="str">
        <f>"3567"</f>
        <v>3567</v>
      </c>
      <c r="C4705" t="str">
        <f>"299423567"</f>
        <v>299423567</v>
      </c>
      <c r="D4705" t="s">
        <v>10745</v>
      </c>
      <c r="E4705" t="s">
        <v>381</v>
      </c>
      <c r="F4705" t="s">
        <v>93</v>
      </c>
      <c r="G4705" s="1">
        <v>18354</v>
      </c>
      <c r="H4705" s="1">
        <v>30214</v>
      </c>
      <c r="I4705" t="str">
        <f>"52"</f>
        <v>52</v>
      </c>
      <c r="J4705" t="s">
        <v>330</v>
      </c>
      <c r="K4705" t="s">
        <v>25</v>
      </c>
      <c r="L4705" t="s">
        <v>26</v>
      </c>
      <c r="M4705" t="s">
        <v>27</v>
      </c>
      <c r="N4705" s="1">
        <v>18629</v>
      </c>
      <c r="O4705">
        <v>0</v>
      </c>
      <c r="P4705">
        <v>0</v>
      </c>
      <c r="Q4705" t="s">
        <v>37</v>
      </c>
      <c r="R4705" t="s">
        <v>29</v>
      </c>
      <c r="S4705" t="s">
        <v>678</v>
      </c>
      <c r="T4705" t="s">
        <v>679</v>
      </c>
    </row>
    <row r="4706" spans="1:20" x14ac:dyDescent="0.25">
      <c r="A4706" t="s">
        <v>10746</v>
      </c>
      <c r="B4706" t="str">
        <f>"6617"</f>
        <v>6617</v>
      </c>
      <c r="C4706" t="str">
        <f>"276446617"</f>
        <v>276446617</v>
      </c>
      <c r="D4706" t="s">
        <v>10747</v>
      </c>
      <c r="E4706" t="s">
        <v>304</v>
      </c>
      <c r="F4706" t="s">
        <v>329</v>
      </c>
      <c r="G4706" s="1">
        <v>19505</v>
      </c>
      <c r="H4706" s="1">
        <v>29976</v>
      </c>
      <c r="I4706" t="str">
        <f>"51"</f>
        <v>51</v>
      </c>
      <c r="J4706" t="s">
        <v>471</v>
      </c>
      <c r="K4706" t="s">
        <v>25</v>
      </c>
      <c r="L4706" t="s">
        <v>26</v>
      </c>
      <c r="M4706" t="s">
        <v>27</v>
      </c>
      <c r="N4706" s="1">
        <v>18629</v>
      </c>
      <c r="O4706">
        <v>0</v>
      </c>
      <c r="P4706">
        <v>0</v>
      </c>
      <c r="Q4706" t="s">
        <v>28</v>
      </c>
      <c r="R4706" t="s">
        <v>51</v>
      </c>
      <c r="S4706" s="2" t="s">
        <v>774</v>
      </c>
      <c r="T4706" t="s">
        <v>775</v>
      </c>
    </row>
    <row r="4707" spans="1:20" x14ac:dyDescent="0.25">
      <c r="A4707" t="s">
        <v>10748</v>
      </c>
      <c r="B4707" t="str">
        <f>"1913"</f>
        <v>1913</v>
      </c>
      <c r="C4707" t="str">
        <f>"269421913"</f>
        <v>269421913</v>
      </c>
      <c r="D4707" t="s">
        <v>2053</v>
      </c>
      <c r="E4707" t="s">
        <v>9595</v>
      </c>
      <c r="G4707" s="1">
        <v>17528</v>
      </c>
      <c r="H4707" s="1">
        <v>29955</v>
      </c>
      <c r="I4707" t="str">
        <f>"51"</f>
        <v>51</v>
      </c>
      <c r="J4707" t="s">
        <v>471</v>
      </c>
      <c r="K4707" t="s">
        <v>25</v>
      </c>
      <c r="L4707" t="s">
        <v>26</v>
      </c>
      <c r="M4707" t="s">
        <v>27</v>
      </c>
      <c r="N4707" s="1">
        <v>18629</v>
      </c>
      <c r="O4707">
        <v>0</v>
      </c>
      <c r="P4707">
        <v>0</v>
      </c>
      <c r="Q4707" t="s">
        <v>28</v>
      </c>
      <c r="R4707" t="s">
        <v>51</v>
      </c>
      <c r="S4707" s="2" t="s">
        <v>1538</v>
      </c>
      <c r="T4707" t="s">
        <v>1539</v>
      </c>
    </row>
    <row r="4708" spans="1:20" x14ac:dyDescent="0.25">
      <c r="A4708" t="s">
        <v>10749</v>
      </c>
      <c r="B4708" t="str">
        <f>"3498"</f>
        <v>3498</v>
      </c>
      <c r="C4708" t="str">
        <f>"290263498"</f>
        <v>290263498</v>
      </c>
      <c r="D4708" t="s">
        <v>10750</v>
      </c>
      <c r="E4708" t="s">
        <v>813</v>
      </c>
      <c r="G4708" s="1">
        <v>11560</v>
      </c>
      <c r="H4708" s="1">
        <v>29955</v>
      </c>
      <c r="I4708" t="str">
        <f>"33"</f>
        <v>33</v>
      </c>
      <c r="J4708" t="s">
        <v>45</v>
      </c>
      <c r="K4708" t="s">
        <v>25</v>
      </c>
      <c r="L4708" t="s">
        <v>26</v>
      </c>
      <c r="M4708" t="s">
        <v>27</v>
      </c>
      <c r="N4708" s="1">
        <v>18629</v>
      </c>
      <c r="O4708">
        <v>0</v>
      </c>
      <c r="P4708">
        <v>0</v>
      </c>
      <c r="Q4708" t="s">
        <v>37</v>
      </c>
      <c r="R4708" t="s">
        <v>51</v>
      </c>
      <c r="S4708" s="2" t="s">
        <v>1568</v>
      </c>
      <c r="T4708" t="s">
        <v>1569</v>
      </c>
    </row>
    <row r="4709" spans="1:20" x14ac:dyDescent="0.25">
      <c r="A4709" t="s">
        <v>10751</v>
      </c>
      <c r="B4709" t="str">
        <f>"9136"</f>
        <v>9136</v>
      </c>
      <c r="C4709" t="str">
        <f>"282609136"</f>
        <v>282609136</v>
      </c>
      <c r="D4709" t="s">
        <v>9018</v>
      </c>
      <c r="E4709" t="s">
        <v>33</v>
      </c>
      <c r="F4709" t="s">
        <v>69</v>
      </c>
      <c r="G4709" s="1">
        <v>20747</v>
      </c>
      <c r="H4709" s="1">
        <v>29857</v>
      </c>
      <c r="I4709" t="str">
        <f>"05"</f>
        <v>05</v>
      </c>
      <c r="J4709" t="s">
        <v>58</v>
      </c>
      <c r="K4709" t="s">
        <v>98</v>
      </c>
      <c r="L4709" t="s">
        <v>37</v>
      </c>
      <c r="M4709" t="s">
        <v>99</v>
      </c>
      <c r="N4709" s="1">
        <v>41617</v>
      </c>
      <c r="O4709">
        <v>14801.8</v>
      </c>
      <c r="P4709">
        <v>3700.32</v>
      </c>
      <c r="Q4709" t="s">
        <v>28</v>
      </c>
      <c r="R4709" t="s">
        <v>29</v>
      </c>
      <c r="S4709" t="s">
        <v>8399</v>
      </c>
      <c r="T4709" t="s">
        <v>8400</v>
      </c>
    </row>
    <row r="4710" spans="1:20" x14ac:dyDescent="0.25">
      <c r="A4710" t="s">
        <v>10752</v>
      </c>
      <c r="B4710" t="str">
        <f>"8195"</f>
        <v>8195</v>
      </c>
      <c r="C4710" t="str">
        <f>"302488195"</f>
        <v>302488195</v>
      </c>
      <c r="D4710" t="s">
        <v>10753</v>
      </c>
      <c r="E4710" t="s">
        <v>33</v>
      </c>
      <c r="F4710" t="s">
        <v>69</v>
      </c>
      <c r="G4710" s="1">
        <v>18378</v>
      </c>
      <c r="H4710" s="1">
        <v>29591</v>
      </c>
      <c r="I4710" t="str">
        <f>"51"</f>
        <v>51</v>
      </c>
      <c r="J4710" t="s">
        <v>471</v>
      </c>
      <c r="K4710" t="s">
        <v>25</v>
      </c>
      <c r="L4710" t="s">
        <v>26</v>
      </c>
      <c r="M4710" t="s">
        <v>27</v>
      </c>
      <c r="N4710" s="1">
        <v>18629</v>
      </c>
      <c r="O4710">
        <v>0</v>
      </c>
      <c r="P4710">
        <v>0</v>
      </c>
      <c r="Q4710" t="s">
        <v>28</v>
      </c>
      <c r="R4710" t="s">
        <v>71</v>
      </c>
      <c r="S4710" t="s">
        <v>1474</v>
      </c>
      <c r="T4710" t="s">
        <v>1475</v>
      </c>
    </row>
    <row r="4711" spans="1:20" x14ac:dyDescent="0.25">
      <c r="A4711" t="s">
        <v>10754</v>
      </c>
      <c r="B4711" t="str">
        <f>"4590"</f>
        <v>4590</v>
      </c>
      <c r="C4711" t="str">
        <f>"302484590"</f>
        <v>302484590</v>
      </c>
      <c r="D4711" t="s">
        <v>553</v>
      </c>
      <c r="E4711" t="s">
        <v>1722</v>
      </c>
      <c r="F4711" t="s">
        <v>438</v>
      </c>
      <c r="G4711" s="1">
        <v>19077</v>
      </c>
      <c r="H4711" s="1">
        <v>29111</v>
      </c>
      <c r="I4711" t="str">
        <f>"20"</f>
        <v>20</v>
      </c>
      <c r="J4711" t="s">
        <v>123</v>
      </c>
      <c r="K4711" t="s">
        <v>510</v>
      </c>
      <c r="L4711" t="s">
        <v>37</v>
      </c>
      <c r="M4711" t="s">
        <v>257</v>
      </c>
      <c r="N4711" s="1">
        <v>41631</v>
      </c>
      <c r="O4711">
        <v>14110.8</v>
      </c>
      <c r="P4711">
        <v>3527.7</v>
      </c>
      <c r="Q4711" t="s">
        <v>37</v>
      </c>
      <c r="R4711" t="s">
        <v>29</v>
      </c>
      <c r="S4711" t="s">
        <v>3682</v>
      </c>
      <c r="T4711" t="s">
        <v>3683</v>
      </c>
    </row>
    <row r="4712" spans="1:20" x14ac:dyDescent="0.25">
      <c r="A4712" t="s">
        <v>10755</v>
      </c>
      <c r="B4712" t="str">
        <f>"8400"</f>
        <v>8400</v>
      </c>
      <c r="C4712" t="str">
        <f>"275408400"</f>
        <v>275408400</v>
      </c>
      <c r="D4712" t="s">
        <v>10756</v>
      </c>
      <c r="E4712" t="s">
        <v>463</v>
      </c>
      <c r="F4712" t="s">
        <v>26</v>
      </c>
      <c r="G4712" s="1">
        <v>17261</v>
      </c>
      <c r="H4712" s="1">
        <v>28763</v>
      </c>
      <c r="I4712" t="str">
        <f>"51"</f>
        <v>51</v>
      </c>
      <c r="J4712" t="s">
        <v>471</v>
      </c>
      <c r="K4712" t="s">
        <v>25</v>
      </c>
      <c r="L4712" t="s">
        <v>26</v>
      </c>
      <c r="M4712" t="s">
        <v>27</v>
      </c>
      <c r="N4712" s="1">
        <v>18629</v>
      </c>
      <c r="O4712">
        <v>0</v>
      </c>
      <c r="P4712">
        <v>0</v>
      </c>
      <c r="Q4712" t="s">
        <v>28</v>
      </c>
      <c r="R4712" t="s">
        <v>71</v>
      </c>
      <c r="S4712" t="s">
        <v>808</v>
      </c>
      <c r="T4712" t="s">
        <v>809</v>
      </c>
    </row>
    <row r="4713" spans="1:20" x14ac:dyDescent="0.25">
      <c r="A4713" t="s">
        <v>10757</v>
      </c>
      <c r="B4713" t="str">
        <f>"6141"</f>
        <v>6141</v>
      </c>
      <c r="C4713" t="str">
        <f>"209406141"</f>
        <v>209406141</v>
      </c>
      <c r="D4713" t="s">
        <v>1798</v>
      </c>
      <c r="E4713" t="s">
        <v>822</v>
      </c>
      <c r="F4713" t="s">
        <v>97</v>
      </c>
      <c r="G4713" s="1">
        <v>18821</v>
      </c>
      <c r="H4713" s="1">
        <v>28580</v>
      </c>
      <c r="I4713" t="str">
        <f>"51"</f>
        <v>51</v>
      </c>
      <c r="J4713" t="s">
        <v>471</v>
      </c>
      <c r="K4713" t="s">
        <v>25</v>
      </c>
      <c r="L4713" t="s">
        <v>26</v>
      </c>
      <c r="M4713" t="s">
        <v>27</v>
      </c>
      <c r="N4713" s="1">
        <v>18629</v>
      </c>
      <c r="O4713">
        <v>0</v>
      </c>
      <c r="P4713">
        <v>0</v>
      </c>
      <c r="Q4713" t="s">
        <v>37</v>
      </c>
      <c r="R4713" t="s">
        <v>51</v>
      </c>
      <c r="S4713" s="2" t="s">
        <v>1656</v>
      </c>
      <c r="T4713" t="s">
        <v>1657</v>
      </c>
    </row>
    <row r="4714" spans="1:20" x14ac:dyDescent="0.25">
      <c r="A4714" t="s">
        <v>10758</v>
      </c>
      <c r="B4714" t="str">
        <f>"7408"</f>
        <v>7408</v>
      </c>
      <c r="C4714" t="str">
        <f>"300647408"</f>
        <v>300647408</v>
      </c>
      <c r="D4714" t="s">
        <v>1742</v>
      </c>
      <c r="E4714" t="s">
        <v>381</v>
      </c>
      <c r="F4714" t="s">
        <v>219</v>
      </c>
      <c r="G4714" s="1">
        <v>20717</v>
      </c>
      <c r="H4714" s="1">
        <v>28408</v>
      </c>
      <c r="I4714" t="str">
        <f>"30"</f>
        <v>30</v>
      </c>
      <c r="J4714" t="s">
        <v>50</v>
      </c>
      <c r="K4714" t="s">
        <v>25</v>
      </c>
      <c r="L4714" t="s">
        <v>26</v>
      </c>
      <c r="M4714" t="s">
        <v>27</v>
      </c>
      <c r="N4714" s="1">
        <v>18629</v>
      </c>
      <c r="O4714">
        <v>0</v>
      </c>
      <c r="P4714">
        <v>0</v>
      </c>
      <c r="Q4714" t="s">
        <v>37</v>
      </c>
      <c r="R4714" t="s">
        <v>51</v>
      </c>
      <c r="S4714" s="2" t="s">
        <v>198</v>
      </c>
      <c r="T4714" t="s">
        <v>199</v>
      </c>
    </row>
    <row r="4715" spans="1:20" x14ac:dyDescent="0.25">
      <c r="A4715" t="s">
        <v>10759</v>
      </c>
      <c r="B4715" t="str">
        <f>"8241"</f>
        <v>8241</v>
      </c>
      <c r="C4715" t="str">
        <f>"285448241"</f>
        <v>285448241</v>
      </c>
      <c r="D4715" t="s">
        <v>10760</v>
      </c>
      <c r="E4715" t="s">
        <v>609</v>
      </c>
      <c r="F4715" t="s">
        <v>438</v>
      </c>
      <c r="G4715" s="1">
        <v>19585</v>
      </c>
      <c r="H4715" s="1">
        <v>28405</v>
      </c>
      <c r="I4715" t="str">
        <f>"41"</f>
        <v>41</v>
      </c>
      <c r="J4715" t="s">
        <v>24</v>
      </c>
      <c r="K4715" t="s">
        <v>25</v>
      </c>
      <c r="L4715" t="s">
        <v>26</v>
      </c>
      <c r="M4715" t="s">
        <v>27</v>
      </c>
      <c r="N4715" s="1">
        <v>18629</v>
      </c>
      <c r="O4715">
        <v>0</v>
      </c>
      <c r="P4715">
        <v>0</v>
      </c>
      <c r="Q4715" t="s">
        <v>28</v>
      </c>
      <c r="R4715" t="s">
        <v>71</v>
      </c>
      <c r="S4715" t="s">
        <v>7809</v>
      </c>
      <c r="T4715" t="s">
        <v>7810</v>
      </c>
    </row>
    <row r="4716" spans="1:20" x14ac:dyDescent="0.25">
      <c r="A4716" t="s">
        <v>10761</v>
      </c>
      <c r="B4716" t="str">
        <f>"4083"</f>
        <v>4083</v>
      </c>
      <c r="C4716" t="str">
        <f>"269504083"</f>
        <v>269504083</v>
      </c>
      <c r="D4716" t="s">
        <v>10762</v>
      </c>
      <c r="E4716" t="s">
        <v>82</v>
      </c>
      <c r="F4716" t="s">
        <v>93</v>
      </c>
      <c r="G4716" s="1">
        <v>17726</v>
      </c>
      <c r="H4716" s="1">
        <v>28023</v>
      </c>
      <c r="I4716" t="str">
        <f>"51"</f>
        <v>51</v>
      </c>
      <c r="J4716" t="s">
        <v>471</v>
      </c>
      <c r="K4716" t="s">
        <v>25</v>
      </c>
      <c r="L4716" t="s">
        <v>26</v>
      </c>
      <c r="M4716" t="s">
        <v>27</v>
      </c>
      <c r="N4716" s="1">
        <v>18629</v>
      </c>
      <c r="O4716">
        <v>0</v>
      </c>
      <c r="P4716">
        <v>0</v>
      </c>
      <c r="Q4716" t="s">
        <v>37</v>
      </c>
      <c r="R4716" t="s">
        <v>51</v>
      </c>
      <c r="S4716" s="2" t="s">
        <v>5402</v>
      </c>
      <c r="T4716" t="s">
        <v>5403</v>
      </c>
    </row>
    <row r="4717" spans="1:20" x14ac:dyDescent="0.25">
      <c r="A4717" t="s">
        <v>10763</v>
      </c>
      <c r="B4717" t="str">
        <f>"9683"</f>
        <v>9683</v>
      </c>
      <c r="C4717" t="str">
        <f>"299289683"</f>
        <v>299289683</v>
      </c>
      <c r="D4717" t="s">
        <v>10764</v>
      </c>
      <c r="E4717" t="s">
        <v>214</v>
      </c>
      <c r="G4717" s="1">
        <v>13932</v>
      </c>
      <c r="H4717" s="1">
        <v>28023</v>
      </c>
      <c r="I4717" t="str">
        <f>"51"</f>
        <v>51</v>
      </c>
      <c r="J4717" t="s">
        <v>471</v>
      </c>
      <c r="K4717" t="s">
        <v>25</v>
      </c>
      <c r="L4717" t="s">
        <v>26</v>
      </c>
      <c r="M4717" t="s">
        <v>27</v>
      </c>
      <c r="N4717" s="1">
        <v>18629</v>
      </c>
      <c r="O4717">
        <v>0</v>
      </c>
      <c r="P4717">
        <v>0</v>
      </c>
      <c r="Q4717" t="s">
        <v>28</v>
      </c>
      <c r="R4717" t="s">
        <v>51</v>
      </c>
      <c r="S4717" s="2" t="s">
        <v>2333</v>
      </c>
      <c r="T4717" t="s">
        <v>2334</v>
      </c>
    </row>
    <row r="4718" spans="1:20" x14ac:dyDescent="0.25">
      <c r="A4718" t="s">
        <v>10765</v>
      </c>
      <c r="B4718" t="str">
        <f>"6706"</f>
        <v>6706</v>
      </c>
      <c r="C4718" t="str">
        <f>"288306706"</f>
        <v>288306706</v>
      </c>
      <c r="D4718" t="s">
        <v>122</v>
      </c>
      <c r="E4718" t="s">
        <v>33</v>
      </c>
      <c r="F4718" t="s">
        <v>28</v>
      </c>
      <c r="G4718" s="1">
        <v>14245</v>
      </c>
      <c r="H4718" s="1">
        <v>27661</v>
      </c>
      <c r="I4718" t="str">
        <f>"51"</f>
        <v>51</v>
      </c>
      <c r="J4718" t="s">
        <v>471</v>
      </c>
      <c r="K4718" t="s">
        <v>25</v>
      </c>
      <c r="L4718" t="s">
        <v>26</v>
      </c>
      <c r="M4718" t="s">
        <v>27</v>
      </c>
      <c r="N4718" s="1">
        <v>18629</v>
      </c>
      <c r="O4718">
        <v>0</v>
      </c>
      <c r="P4718">
        <v>0</v>
      </c>
      <c r="Q4718" t="s">
        <v>28</v>
      </c>
      <c r="R4718" t="s">
        <v>71</v>
      </c>
      <c r="S4718" s="2" t="s">
        <v>1538</v>
      </c>
      <c r="T4718" t="s">
        <v>1539</v>
      </c>
    </row>
    <row r="4719" spans="1:20" x14ac:dyDescent="0.25">
      <c r="A4719" t="s">
        <v>10766</v>
      </c>
      <c r="B4719" t="str">
        <f>"6880"</f>
        <v>6880</v>
      </c>
      <c r="C4719" t="str">
        <f>"282266880"</f>
        <v>282266880</v>
      </c>
      <c r="D4719" t="s">
        <v>597</v>
      </c>
      <c r="E4719" t="s">
        <v>304</v>
      </c>
      <c r="F4719" t="s">
        <v>69</v>
      </c>
      <c r="G4719" s="1">
        <v>11519</v>
      </c>
      <c r="H4719" s="1">
        <v>26560</v>
      </c>
      <c r="I4719" t="str">
        <f>"20"</f>
        <v>20</v>
      </c>
      <c r="J4719" t="s">
        <v>123</v>
      </c>
      <c r="K4719" t="s">
        <v>175</v>
      </c>
      <c r="L4719" t="s">
        <v>37</v>
      </c>
      <c r="M4719" t="s">
        <v>257</v>
      </c>
      <c r="N4719" s="1">
        <v>41631</v>
      </c>
      <c r="O4719">
        <v>11847.88</v>
      </c>
      <c r="P4719">
        <v>2962.08</v>
      </c>
      <c r="Q4719" t="s">
        <v>28</v>
      </c>
      <c r="R4719" t="s">
        <v>29</v>
      </c>
      <c r="S4719" t="s">
        <v>6040</v>
      </c>
      <c r="T4719" t="s">
        <v>6041</v>
      </c>
    </row>
    <row r="4720" spans="1:20" x14ac:dyDescent="0.25">
      <c r="A4720" t="s">
        <v>10767</v>
      </c>
      <c r="B4720" t="str">
        <f>"5989"</f>
        <v>5989</v>
      </c>
      <c r="C4720" t="str">
        <f>"284345989"</f>
        <v>284345989</v>
      </c>
      <c r="D4720" t="s">
        <v>10768</v>
      </c>
      <c r="E4720" t="s">
        <v>197</v>
      </c>
      <c r="G4720" s="1">
        <v>14744</v>
      </c>
      <c r="H4720" s="1">
        <v>26308</v>
      </c>
      <c r="I4720" t="str">
        <f>"51"</f>
        <v>51</v>
      </c>
      <c r="J4720" t="s">
        <v>471</v>
      </c>
      <c r="K4720" t="s">
        <v>25</v>
      </c>
      <c r="L4720" t="s">
        <v>26</v>
      </c>
      <c r="M4720" t="s">
        <v>27</v>
      </c>
      <c r="N4720" s="1">
        <v>18629</v>
      </c>
      <c r="O4720">
        <v>0</v>
      </c>
      <c r="P4720">
        <v>0</v>
      </c>
      <c r="Q4720" t="s">
        <v>28</v>
      </c>
      <c r="R4720" t="s">
        <v>71</v>
      </c>
      <c r="S4720" t="s">
        <v>1681</v>
      </c>
      <c r="T4720" t="s">
        <v>1682</v>
      </c>
    </row>
    <row r="4721" spans="1:20" x14ac:dyDescent="0.25">
      <c r="A4721" t="s">
        <v>10769</v>
      </c>
      <c r="B4721" t="str">
        <f>"5490"</f>
        <v>5490</v>
      </c>
      <c r="C4721" t="str">
        <f>"132285490"</f>
        <v>132285490</v>
      </c>
      <c r="D4721" t="s">
        <v>10770</v>
      </c>
      <c r="E4721" t="s">
        <v>7328</v>
      </c>
      <c r="F4721" t="s">
        <v>28</v>
      </c>
      <c r="G4721" s="1">
        <v>13883</v>
      </c>
      <c r="H4721" s="1">
        <v>26193</v>
      </c>
      <c r="I4721" t="str">
        <f>"20"</f>
        <v>20</v>
      </c>
      <c r="J4721" t="s">
        <v>123</v>
      </c>
      <c r="K4721" t="s">
        <v>98</v>
      </c>
      <c r="L4721" t="s">
        <v>37</v>
      </c>
      <c r="M4721" t="s">
        <v>257</v>
      </c>
      <c r="N4721" s="1">
        <v>41631</v>
      </c>
      <c r="O4721">
        <v>10753.16</v>
      </c>
      <c r="P4721">
        <v>2688.4</v>
      </c>
      <c r="Q4721" t="s">
        <v>28</v>
      </c>
      <c r="R4721" t="s">
        <v>29</v>
      </c>
      <c r="S4721" t="s">
        <v>1160</v>
      </c>
      <c r="T4721" t="s">
        <v>1161</v>
      </c>
    </row>
    <row r="4722" spans="1:20" x14ac:dyDescent="0.25">
      <c r="A4722" t="s">
        <v>10771</v>
      </c>
      <c r="B4722" t="str">
        <f>"6241"</f>
        <v>6241</v>
      </c>
      <c r="C4722" t="str">
        <f>"294326241"</f>
        <v>294326241</v>
      </c>
      <c r="D4722" t="s">
        <v>1565</v>
      </c>
      <c r="E4722" t="s">
        <v>10772</v>
      </c>
      <c r="G4722" s="1">
        <v>13940</v>
      </c>
      <c r="H4722" s="1">
        <v>25933</v>
      </c>
      <c r="I4722" t="str">
        <f>"51"</f>
        <v>51</v>
      </c>
      <c r="J4722" t="s">
        <v>471</v>
      </c>
      <c r="K4722" t="s">
        <v>25</v>
      </c>
      <c r="L4722" t="s">
        <v>26</v>
      </c>
      <c r="M4722" t="s">
        <v>27</v>
      </c>
      <c r="N4722" s="1">
        <v>18629</v>
      </c>
      <c r="O4722">
        <v>0</v>
      </c>
      <c r="P4722">
        <v>0</v>
      </c>
      <c r="Q4722" t="s">
        <v>28</v>
      </c>
      <c r="R4722" t="s">
        <v>71</v>
      </c>
      <c r="S4722" t="s">
        <v>4234</v>
      </c>
      <c r="T4722" t="s">
        <v>4235</v>
      </c>
    </row>
    <row r="4723" spans="1:20" x14ac:dyDescent="0.25">
      <c r="A4723" t="s">
        <v>10773</v>
      </c>
      <c r="B4723" t="str">
        <f>"9577"</f>
        <v>9577</v>
      </c>
      <c r="C4723" t="str">
        <f>"301309577"</f>
        <v>301309577</v>
      </c>
      <c r="D4723" t="s">
        <v>10774</v>
      </c>
      <c r="E4723" t="s">
        <v>4797</v>
      </c>
      <c r="F4723" t="s">
        <v>165</v>
      </c>
      <c r="G4723" s="1">
        <v>12800</v>
      </c>
      <c r="H4723" s="1">
        <v>25659</v>
      </c>
      <c r="I4723" t="str">
        <f>"51"</f>
        <v>51</v>
      </c>
      <c r="J4723" t="s">
        <v>471</v>
      </c>
      <c r="K4723" t="s">
        <v>25</v>
      </c>
      <c r="L4723" t="s">
        <v>26</v>
      </c>
      <c r="M4723" t="s">
        <v>27</v>
      </c>
      <c r="N4723" s="1">
        <v>18629</v>
      </c>
      <c r="O4723">
        <v>0</v>
      </c>
      <c r="P4723">
        <v>0</v>
      </c>
      <c r="Q4723" t="s">
        <v>28</v>
      </c>
      <c r="R4723" t="s">
        <v>71</v>
      </c>
      <c r="S4723" t="s">
        <v>157</v>
      </c>
      <c r="T4723" t="s">
        <v>158</v>
      </c>
    </row>
    <row r="4724" spans="1:20" x14ac:dyDescent="0.25">
      <c r="A4724" t="s">
        <v>10775</v>
      </c>
      <c r="B4724" t="str">
        <f>"7159"</f>
        <v>7159</v>
      </c>
      <c r="C4724" t="str">
        <f>"280307159"</f>
        <v>280307159</v>
      </c>
      <c r="D4724" t="s">
        <v>10776</v>
      </c>
      <c r="E4724" t="s">
        <v>179</v>
      </c>
      <c r="F4724" t="s">
        <v>329</v>
      </c>
      <c r="G4724" s="1">
        <v>13345</v>
      </c>
      <c r="H4724" s="1">
        <v>25575</v>
      </c>
      <c r="I4724" t="str">
        <f>"20"</f>
        <v>20</v>
      </c>
      <c r="J4724" t="s">
        <v>123</v>
      </c>
      <c r="K4724" t="s">
        <v>510</v>
      </c>
      <c r="L4724" t="s">
        <v>37</v>
      </c>
      <c r="M4724" t="s">
        <v>117</v>
      </c>
      <c r="N4724" s="1">
        <v>41631</v>
      </c>
      <c r="O4724">
        <v>6477.24</v>
      </c>
      <c r="P4724">
        <v>1619.2</v>
      </c>
      <c r="Q4724" t="s">
        <v>28</v>
      </c>
      <c r="R4724" t="s">
        <v>29</v>
      </c>
      <c r="S4724" t="s">
        <v>765</v>
      </c>
      <c r="T4724" t="s">
        <v>766</v>
      </c>
    </row>
    <row r="4725" spans="1:20" x14ac:dyDescent="0.25">
      <c r="A4725" t="s">
        <v>10777</v>
      </c>
      <c r="B4725" t="str">
        <f>"9265"</f>
        <v>9265</v>
      </c>
      <c r="C4725" t="str">
        <f>"270369265"</f>
        <v>270369265</v>
      </c>
      <c r="D4725" t="s">
        <v>10778</v>
      </c>
      <c r="E4725" t="s">
        <v>197</v>
      </c>
      <c r="F4725" t="s">
        <v>264</v>
      </c>
      <c r="G4725" s="1">
        <v>14658</v>
      </c>
      <c r="H4725" s="1">
        <v>24362</v>
      </c>
      <c r="I4725" t="str">
        <f>"51"</f>
        <v>51</v>
      </c>
      <c r="J4725" t="s">
        <v>471</v>
      </c>
      <c r="K4725" t="s">
        <v>25</v>
      </c>
      <c r="L4725" t="s">
        <v>26</v>
      </c>
      <c r="M4725" t="s">
        <v>27</v>
      </c>
      <c r="N4725" s="1">
        <v>18629</v>
      </c>
      <c r="O4725">
        <v>0</v>
      </c>
      <c r="P4725">
        <v>0</v>
      </c>
      <c r="Q4725" t="s">
        <v>28</v>
      </c>
      <c r="R4725" t="s">
        <v>71</v>
      </c>
      <c r="S4725" t="s">
        <v>180</v>
      </c>
      <c r="T4725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Census Report_20140820_1128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Pflaum, Marvin</dc:creator>
  <cp:lastModifiedBy>Pflaum, Marvin</cp:lastModifiedBy>
  <dcterms:created xsi:type="dcterms:W3CDTF">2014-08-20T15:30:00Z</dcterms:created>
  <dcterms:modified xsi:type="dcterms:W3CDTF">2014-08-20T15:30:00Z</dcterms:modified>
</cp:coreProperties>
</file>