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\Desktop\ECEN5224\HW\HW10\"/>
    </mc:Choice>
  </mc:AlternateContent>
  <bookViews>
    <workbookView xWindow="0" yWindow="0" windowWidth="19368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2" i="1"/>
  <c r="H151" i="1"/>
  <c r="H134" i="1"/>
  <c r="H133" i="1"/>
  <c r="H132" i="1"/>
  <c r="H131" i="1"/>
  <c r="H130" i="1"/>
  <c r="H129" i="1"/>
  <c r="H128" i="1"/>
  <c r="H127" i="1"/>
  <c r="H126" i="1"/>
  <c r="C163" i="1"/>
  <c r="C162" i="1"/>
  <c r="C161" i="1"/>
  <c r="D159" i="1"/>
  <c r="F159" i="1" s="1"/>
  <c r="G159" i="1" s="1"/>
  <c r="D158" i="1"/>
  <c r="F158" i="1" s="1"/>
  <c r="G158" i="1" s="1"/>
  <c r="D157" i="1"/>
  <c r="F157" i="1" s="1"/>
  <c r="G157" i="1" s="1"/>
  <c r="D156" i="1"/>
  <c r="F156" i="1" s="1"/>
  <c r="G156" i="1" s="1"/>
  <c r="D155" i="1"/>
  <c r="F155" i="1" s="1"/>
  <c r="G155" i="1" s="1"/>
  <c r="D154" i="1"/>
  <c r="F154" i="1" s="1"/>
  <c r="G154" i="1" s="1"/>
  <c r="D153" i="1"/>
  <c r="F153" i="1" s="1"/>
  <c r="G153" i="1" s="1"/>
  <c r="H153" i="1" s="1"/>
  <c r="D152" i="1"/>
  <c r="F152" i="1" s="1"/>
  <c r="G152" i="1" s="1"/>
  <c r="D151" i="1"/>
  <c r="F151" i="1" s="1"/>
  <c r="H150" i="1"/>
  <c r="E150" i="1"/>
  <c r="D150" i="1"/>
  <c r="F150" i="1" s="1"/>
  <c r="G150" i="1" s="1"/>
  <c r="C145" i="1"/>
  <c r="C143" i="1"/>
  <c r="C142" i="1"/>
  <c r="D127" i="1"/>
  <c r="D128" i="1"/>
  <c r="D129" i="1"/>
  <c r="D130" i="1"/>
  <c r="D131" i="1"/>
  <c r="D132" i="1"/>
  <c r="D133" i="1"/>
  <c r="D134" i="1"/>
  <c r="D126" i="1"/>
  <c r="D125" i="1"/>
  <c r="C120" i="1"/>
  <c r="C118" i="1"/>
  <c r="C117" i="1"/>
  <c r="C136" i="1" s="1"/>
  <c r="C96" i="1"/>
  <c r="C95" i="1"/>
  <c r="C111" i="1" s="1"/>
  <c r="C94" i="1"/>
  <c r="C74" i="1"/>
  <c r="C73" i="1"/>
  <c r="C72" i="1"/>
  <c r="E125" i="1" l="1"/>
  <c r="F128" i="1" s="1"/>
  <c r="G128" i="1" s="1"/>
  <c r="C146" i="1"/>
  <c r="G151" i="1"/>
  <c r="C84" i="1"/>
  <c r="C85" i="1"/>
  <c r="C89" i="1"/>
  <c r="C90" i="1" s="1"/>
  <c r="C91" i="1" s="1"/>
  <c r="C109" i="1"/>
  <c r="C112" i="1"/>
  <c r="C113" i="1" s="1"/>
  <c r="C81" i="1"/>
  <c r="C78" i="1"/>
  <c r="C82" i="1"/>
  <c r="C86" i="1"/>
  <c r="C105" i="1"/>
  <c r="C107" i="1"/>
  <c r="C79" i="1"/>
  <c r="C83" i="1"/>
  <c r="C87" i="1"/>
  <c r="C100" i="1"/>
  <c r="C103" i="1"/>
  <c r="C108" i="1"/>
  <c r="C102" i="1"/>
  <c r="C106" i="1"/>
  <c r="C80" i="1"/>
  <c r="C101" i="1"/>
  <c r="C104" i="1"/>
  <c r="C64" i="1"/>
  <c r="C47" i="1"/>
  <c r="C29" i="1"/>
  <c r="C14" i="1"/>
  <c r="F125" i="1" l="1"/>
  <c r="G125" i="1" s="1"/>
  <c r="H125" i="1" s="1"/>
  <c r="F134" i="1"/>
  <c r="G134" i="1" s="1"/>
  <c r="F133" i="1"/>
  <c r="G133" i="1" s="1"/>
  <c r="F129" i="1"/>
  <c r="G129" i="1" s="1"/>
  <c r="F132" i="1"/>
  <c r="G132" i="1" s="1"/>
  <c r="F131" i="1"/>
  <c r="G131" i="1" s="1"/>
  <c r="F127" i="1"/>
  <c r="G127" i="1" s="1"/>
  <c r="F130" i="1"/>
  <c r="G130" i="1" s="1"/>
  <c r="F126" i="1"/>
  <c r="G126" i="1" s="1"/>
  <c r="C137" i="1" l="1"/>
  <c r="C138" i="1" s="1"/>
  <c r="C121" i="1"/>
</calcChain>
</file>

<file path=xl/sharedStrings.xml><?xml version="1.0" encoding="utf-8"?>
<sst xmlns="http://schemas.openxmlformats.org/spreadsheetml/2006/main" count="71" uniqueCount="25">
  <si>
    <t xml:space="preserve">Width (mil) </t>
  </si>
  <si>
    <t>Dielectric thickness (mil)</t>
  </si>
  <si>
    <t>Microstrip</t>
  </si>
  <si>
    <t>Stripline</t>
  </si>
  <si>
    <t>Slope</t>
  </si>
  <si>
    <t>Differential Microstrip</t>
  </si>
  <si>
    <t>IPC calculated Analytical Impedance</t>
  </si>
  <si>
    <t>Z0 (ohm)</t>
  </si>
  <si>
    <t>Dk</t>
  </si>
  <si>
    <t>t (mil)</t>
  </si>
  <si>
    <t>Differential Stripline</t>
  </si>
  <si>
    <t>Length (in)</t>
  </si>
  <si>
    <t>C0(pF)</t>
  </si>
  <si>
    <t>L0(nF)</t>
  </si>
  <si>
    <t>tpd (ps)</t>
  </si>
  <si>
    <t xml:space="preserve">Spacing (mil) </t>
  </si>
  <si>
    <t>Zdiff (ohm)</t>
  </si>
  <si>
    <t>Zeven(ohm)</t>
  </si>
  <si>
    <t>Zodd (ohm)</t>
  </si>
  <si>
    <t xml:space="preserve">Zo (ohm) </t>
  </si>
  <si>
    <t>Zdiff(sqrt(Dk+1)</t>
  </si>
  <si>
    <t>exp(Zdiff(sqrt(Dk+1))/2*87*x</t>
  </si>
  <si>
    <t>x=1-0.48*exp(-0.96*s/h)</t>
  </si>
  <si>
    <t>x=1-0.374*exp(-2.9*s/h)</t>
  </si>
  <si>
    <t>Zdiff(sqrt(Dk)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</si>
</sst>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Ended Microstrip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Width (mil)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3.13</c:v>
                </c:pt>
                <c:pt idx="1">
                  <c:v>5.82</c:v>
                </c:pt>
                <c:pt idx="2">
                  <c:v>8.4499999999999993</c:v>
                </c:pt>
                <c:pt idx="3">
                  <c:v>11.05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21.3</c:v>
                </c:pt>
                <c:pt idx="8">
                  <c:v>23.8</c:v>
                </c:pt>
                <c:pt idx="9">
                  <c:v>26.3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4AA3-AEF1-D7EA5C0256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985592"/>
        <c:axId val="514985920"/>
      </c:scatterChart>
      <c:valAx>
        <c:axId val="5149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Dielectric thickness (mil)</a:t>
                </a:r>
              </a:p>
            </c:rich>
          </c:tx>
          <c:layout>
            <c:manualLayout>
              <c:xMode val="edge"/>
              <c:yMode val="edge"/>
              <c:x val="0.4600612423447069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5920"/>
        <c:crosses val="autoZero"/>
        <c:crossBetween val="midCat"/>
      </c:valAx>
      <c:valAx>
        <c:axId val="514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(mil)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Ended Stripline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Width (mil)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Sheet1!$B$19:$B$28</c:f>
              <c:numCache>
                <c:formatCode>General</c:formatCode>
                <c:ptCount val="10"/>
                <c:pt idx="0">
                  <c:v>13.6</c:v>
                </c:pt>
                <c:pt idx="1">
                  <c:v>25.5</c:v>
                </c:pt>
                <c:pt idx="2">
                  <c:v>37.299999999999997</c:v>
                </c:pt>
                <c:pt idx="3">
                  <c:v>49</c:v>
                </c:pt>
                <c:pt idx="4">
                  <c:v>61</c:v>
                </c:pt>
                <c:pt idx="5">
                  <c:v>73</c:v>
                </c:pt>
                <c:pt idx="6">
                  <c:v>84.7</c:v>
                </c:pt>
                <c:pt idx="7">
                  <c:v>96.7</c:v>
                </c:pt>
                <c:pt idx="8">
                  <c:v>108.8</c:v>
                </c:pt>
                <c:pt idx="9">
                  <c:v>120.2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D-4235-A2F4-9C8239D68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435528"/>
        <c:axId val="514439464"/>
      </c:scatterChart>
      <c:valAx>
        <c:axId val="5144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Dielectric thickness (mil)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9464"/>
        <c:crosses val="autoZero"/>
        <c:crossBetween val="midCat"/>
      </c:valAx>
      <c:valAx>
        <c:axId val="5144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(mil)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Width (mil)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Sheet1!$B$37:$B$46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21.5</c:v>
                </c:pt>
                <c:pt idx="7">
                  <c:v>24.3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Sheet1!$C$37:$C$46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1-4A8C-BC8C-8FF6372208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0495784"/>
        <c:axId val="570501360"/>
      </c:scatterChart>
      <c:valAx>
        <c:axId val="5704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Dielectric thickness (mil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1360"/>
        <c:crosses val="autoZero"/>
        <c:crossBetween val="midCat"/>
      </c:valAx>
      <c:valAx>
        <c:axId val="570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(mil)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68555092532467E-2"/>
          <c:y val="0.11996353509246459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Width (mil)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Sheet1!$B$54:$B$63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38</c:v>
                </c:pt>
                <c:pt idx="5">
                  <c:v>45</c:v>
                </c:pt>
                <c:pt idx="6">
                  <c:v>55</c:v>
                </c:pt>
                <c:pt idx="7">
                  <c:v>60</c:v>
                </c:pt>
                <c:pt idx="8">
                  <c:v>66</c:v>
                </c:pt>
                <c:pt idx="9">
                  <c:v>72</c:v>
                </c:pt>
              </c:numCache>
            </c:numRef>
          </c:xVal>
          <c:yVal>
            <c:numRef>
              <c:f>Sheet1!$C$54:$C$63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E-40D3-9D66-EBDFF6F83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92152"/>
        <c:axId val="514989856"/>
      </c:scatterChart>
      <c:valAx>
        <c:axId val="51499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Dielectric thickness (mil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9856"/>
        <c:crosses val="autoZero"/>
        <c:crossBetween val="midCat"/>
      </c:valAx>
      <c:valAx>
        <c:axId val="5149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Width (mil)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9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152400</xdr:rowOff>
    </xdr:from>
    <xdr:to>
      <xdr:col>11</xdr:col>
      <xdr:colOff>213360</xdr:colOff>
      <xdr:row>15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0E11C2-DEEE-4113-9030-F81A4CEF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17</xdr:row>
      <xdr:rowOff>7620</xdr:rowOff>
    </xdr:from>
    <xdr:to>
      <xdr:col>11</xdr:col>
      <xdr:colOff>228600</xdr:colOff>
      <xdr:row>32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693072-1297-4029-AB96-8D14731D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144780</xdr:colOff>
      <xdr:row>34</xdr:row>
      <xdr:rowOff>167640</xdr:rowOff>
    </xdr:from>
    <xdr:to>
      <xdr:col>10</xdr:col>
      <xdr:colOff>449580</xdr:colOff>
      <xdr:row>49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2A3C24-A8EB-4D84-ADBA-72995D6A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</xdr:colOff>
      <xdr:row>51</xdr:row>
      <xdr:rowOff>167640</xdr:rowOff>
    </xdr:from>
    <xdr:to>
      <xdr:col>11</xdr:col>
      <xdr:colOff>251460</xdr:colOff>
      <xdr:row>68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DB08C7-3147-4C53-A13D-9874648C1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53341</xdr:colOff>
      <xdr:row>76</xdr:row>
      <xdr:rowOff>1</xdr:rowOff>
    </xdr:from>
    <xdr:to>
      <xdr:col>5</xdr:col>
      <xdr:colOff>480061</xdr:colOff>
      <xdr:row>78</xdr:row>
      <xdr:rowOff>143133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B5553-123E-4E8D-90FA-E00E2DCB7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8561" y="14317981"/>
          <a:ext cx="3078480" cy="5088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98</xdr:row>
      <xdr:rowOff>15240</xdr:rowOff>
    </xdr:from>
    <xdr:to>
      <xdr:col>5</xdr:col>
      <xdr:colOff>510540</xdr:colOff>
      <xdr:row>101</xdr:row>
      <xdr:rowOff>171362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946C0D-37DB-4155-A73E-42F4BAEDC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3320" y="17259300"/>
          <a:ext cx="3124200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45721</xdr:colOff>
      <xdr:row>79</xdr:row>
      <xdr:rowOff>16233</xdr:rowOff>
    </xdr:from>
    <xdr:to>
      <xdr:col>4</xdr:col>
      <xdr:colOff>944881</xdr:colOff>
      <xdr:row>85</xdr:row>
      <xdr:rowOff>44924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3A7952-483D-40B3-A922-2BA66263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6730" y="15448390"/>
          <a:ext cx="2512612" cy="1141873"/>
        </a:xfrm>
        <a:prstGeom prst="rect">
          <a:avLst/>
        </a:prstGeom>
      </xdr:spPr>
    </xdr:pic>
    <xdr:clientData/>
  </xdr:twoCellAnchor>
  <xdr:twoCellAnchor editAs="oneCell">
    <xdr:from>
      <xdr:col>3</xdr:col>
      <xdr:colOff>45721</xdr:colOff>
      <xdr:row>102</xdr:row>
      <xdr:rowOff>15240</xdr:rowOff>
    </xdr:from>
    <xdr:to>
      <xdr:col>4</xdr:col>
      <xdr:colOff>518160</xdr:colOff>
      <xdr:row>110</xdr:row>
      <xdr:rowOff>101155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E5C8E5-C3C7-454D-8609-98D6E257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0941" y="19088100"/>
          <a:ext cx="2080259" cy="1548955"/>
        </a:xfrm>
        <a:prstGeom prst="rect">
          <a:avLst/>
        </a:prstGeom>
      </xdr:spPr>
    </xdr:pic>
    <xdr:clientData/>
  </xdr:twoCellAnchor>
  <xdr:twoCellAnchor editAs="oneCell">
    <xdr:from>
      <xdr:col>5</xdr:col>
      <xdr:colOff>27498</xdr:colOff>
      <xdr:row>114</xdr:row>
      <xdr:rowOff>148093</xdr:rowOff>
    </xdr:from>
    <xdr:to>
      <xdr:col>7</xdr:col>
      <xdr:colOff>196728</xdr:colOff>
      <xdr:row>117</xdr:row>
      <xdr:rowOff>10400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55CD111-093D-4ABC-A701-F33B1EBD4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10138" y="21781273"/>
          <a:ext cx="3125790" cy="410947"/>
        </a:xfrm>
        <a:prstGeom prst="rect">
          <a:avLst/>
        </a:prstGeom>
      </xdr:spPr>
    </xdr:pic>
    <xdr:clientData/>
  </xdr:twoCellAnchor>
  <xdr:twoCellAnchor editAs="oneCell">
    <xdr:from>
      <xdr:col>3</xdr:col>
      <xdr:colOff>20872</xdr:colOff>
      <xdr:row>114</xdr:row>
      <xdr:rowOff>178904</xdr:rowOff>
    </xdr:from>
    <xdr:to>
      <xdr:col>4</xdr:col>
      <xdr:colOff>1028700</xdr:colOff>
      <xdr:row>117</xdr:row>
      <xdr:rowOff>61857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B12408-8B2B-4915-82FB-0D91BDB89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51752" y="21812084"/>
          <a:ext cx="2615648" cy="431593"/>
        </a:xfrm>
        <a:prstGeom prst="rect">
          <a:avLst/>
        </a:prstGeom>
      </xdr:spPr>
    </xdr:pic>
    <xdr:clientData/>
  </xdr:twoCellAnchor>
  <xdr:twoCellAnchor editAs="oneCell">
    <xdr:from>
      <xdr:col>10</xdr:col>
      <xdr:colOff>472440</xdr:colOff>
      <xdr:row>126</xdr:row>
      <xdr:rowOff>53341</xdr:rowOff>
    </xdr:from>
    <xdr:to>
      <xdr:col>22</xdr:col>
      <xdr:colOff>189584</xdr:colOff>
      <xdr:row>137</xdr:row>
      <xdr:rowOff>34291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93FFDE-4BAF-464B-852F-F0075612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40440" y="23881081"/>
          <a:ext cx="7032344" cy="1992630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117</xdr:row>
      <xdr:rowOff>91440</xdr:rowOff>
    </xdr:from>
    <xdr:to>
      <xdr:col>4</xdr:col>
      <xdr:colOff>701040</xdr:colOff>
      <xdr:row>122</xdr:row>
      <xdr:rowOff>169537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E43818-3543-40DC-A7CC-E17B27770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29940" y="22273260"/>
          <a:ext cx="2209800" cy="992497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139</xdr:row>
      <xdr:rowOff>60960</xdr:rowOff>
    </xdr:from>
    <xdr:to>
      <xdr:col>5</xdr:col>
      <xdr:colOff>980357</xdr:colOff>
      <xdr:row>148</xdr:row>
      <xdr:rowOff>2864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911FA9E-F8EE-4E16-83AB-9F467D20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29940" y="26266140"/>
          <a:ext cx="3533057" cy="1587824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147</xdr:row>
      <xdr:rowOff>167640</xdr:rowOff>
    </xdr:from>
    <xdr:to>
      <xdr:col>23</xdr:col>
      <xdr:colOff>32654</xdr:colOff>
      <xdr:row>164</xdr:row>
      <xdr:rowOff>8529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80C6A0-7951-4366-8FAF-284D40B4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17380" y="27835860"/>
          <a:ext cx="9108074" cy="2949849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1028700</xdr:colOff>
      <xdr:row>138</xdr:row>
      <xdr:rowOff>160020</xdr:rowOff>
    </xdr:from>
    <xdr:to>
      <xdr:col>7</xdr:col>
      <xdr:colOff>152399</xdr:colOff>
      <xdr:row>147</xdr:row>
      <xdr:rowOff>63055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174440-7634-4510-ACB7-00A7F85C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11340" y="26182320"/>
          <a:ext cx="2080259" cy="1548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3"/>
  <sheetViews>
    <sheetView tabSelected="1" topLeftCell="A136" zoomScaleNormal="100" workbookViewId="0">
      <selection activeCell="F121" sqref="F121"/>
    </sheetView>
  </sheetViews>
  <sheetFormatPr defaultRowHeight="14.4" x14ac:dyDescent="0.3"/>
  <cols>
    <col min="1" max="1" width="8.88671875" style="2"/>
    <col min="2" max="2" width="15.88671875" style="2" customWidth="1"/>
    <col min="3" max="3" width="22.33203125" style="2" customWidth="1"/>
    <col min="4" max="4" width="23.44140625" style="2" customWidth="1"/>
    <col min="5" max="5" width="15.21875" style="2" customWidth="1"/>
    <col min="6" max="6" width="26.88671875" style="2" customWidth="1"/>
    <col min="7" max="7" width="16.21875" style="2" customWidth="1"/>
    <col min="8" max="16384" width="8.88671875" style="2"/>
  </cols>
  <sheetData>
    <row r="2" spans="1:3" x14ac:dyDescent="0.3">
      <c r="A2" s="1" t="s">
        <v>2</v>
      </c>
    </row>
    <row r="3" spans="1:3" x14ac:dyDescent="0.3">
      <c r="B3" s="3" t="s">
        <v>1</v>
      </c>
      <c r="C3" s="3" t="s">
        <v>0</v>
      </c>
    </row>
    <row r="4" spans="1:3" x14ac:dyDescent="0.3">
      <c r="B4" s="4">
        <v>3.13</v>
      </c>
      <c r="C4" s="4">
        <v>5</v>
      </c>
    </row>
    <row r="5" spans="1:3" x14ac:dyDescent="0.3">
      <c r="B5" s="4">
        <v>5.82</v>
      </c>
      <c r="C5" s="4">
        <v>10</v>
      </c>
    </row>
    <row r="6" spans="1:3" x14ac:dyDescent="0.3">
      <c r="B6" s="4">
        <v>8.4499999999999993</v>
      </c>
      <c r="C6" s="4">
        <v>15</v>
      </c>
    </row>
    <row r="7" spans="1:3" x14ac:dyDescent="0.3">
      <c r="B7" s="4">
        <v>11.05</v>
      </c>
      <c r="C7" s="4">
        <v>20</v>
      </c>
    </row>
    <row r="8" spans="1:3" x14ac:dyDescent="0.3">
      <c r="B8" s="4">
        <v>13.6</v>
      </c>
      <c r="C8" s="4">
        <v>25</v>
      </c>
    </row>
    <row r="9" spans="1:3" x14ac:dyDescent="0.3">
      <c r="B9" s="4">
        <v>16.2</v>
      </c>
      <c r="C9" s="4">
        <v>30</v>
      </c>
    </row>
    <row r="10" spans="1:3" x14ac:dyDescent="0.3">
      <c r="B10" s="4">
        <v>18.7</v>
      </c>
      <c r="C10" s="4">
        <v>35</v>
      </c>
    </row>
    <row r="11" spans="1:3" x14ac:dyDescent="0.3">
      <c r="B11" s="4">
        <v>21.3</v>
      </c>
      <c r="C11" s="4">
        <v>40</v>
      </c>
    </row>
    <row r="12" spans="1:3" x14ac:dyDescent="0.3">
      <c r="B12" s="4">
        <v>23.8</v>
      </c>
      <c r="C12" s="4">
        <v>45</v>
      </c>
    </row>
    <row r="13" spans="1:3" x14ac:dyDescent="0.3">
      <c r="B13" s="4">
        <v>26.3</v>
      </c>
      <c r="C13" s="4">
        <v>50</v>
      </c>
    </row>
    <row r="14" spans="1:3" x14ac:dyDescent="0.3">
      <c r="B14" s="5" t="s">
        <v>4</v>
      </c>
      <c r="C14" s="5">
        <f>SLOPE(C4:C13,B4:B13)</f>
        <v>1.944712206524686</v>
      </c>
    </row>
    <row r="15" spans="1:3" ht="77.400000000000006" customHeight="1" x14ac:dyDescent="0.3"/>
    <row r="16" spans="1:3" ht="13.2" customHeight="1" x14ac:dyDescent="0.3"/>
    <row r="17" spans="1:3" x14ac:dyDescent="0.3">
      <c r="A17" s="1" t="s">
        <v>3</v>
      </c>
    </row>
    <row r="18" spans="1:3" x14ac:dyDescent="0.3">
      <c r="B18" s="3" t="s">
        <v>1</v>
      </c>
      <c r="C18" s="3" t="s">
        <v>0</v>
      </c>
    </row>
    <row r="19" spans="1:3" x14ac:dyDescent="0.3">
      <c r="B19" s="4">
        <v>13.6</v>
      </c>
      <c r="C19" s="4">
        <v>5</v>
      </c>
    </row>
    <row r="20" spans="1:3" x14ac:dyDescent="0.3">
      <c r="B20" s="4">
        <v>25.5</v>
      </c>
      <c r="C20" s="4">
        <v>10</v>
      </c>
    </row>
    <row r="21" spans="1:3" x14ac:dyDescent="0.3">
      <c r="B21" s="4">
        <v>37.299999999999997</v>
      </c>
      <c r="C21" s="4">
        <v>15</v>
      </c>
    </row>
    <row r="22" spans="1:3" x14ac:dyDescent="0.3">
      <c r="B22" s="4">
        <v>49</v>
      </c>
      <c r="C22" s="4">
        <v>20</v>
      </c>
    </row>
    <row r="23" spans="1:3" x14ac:dyDescent="0.3">
      <c r="B23" s="4">
        <v>61</v>
      </c>
      <c r="C23" s="4">
        <v>25</v>
      </c>
    </row>
    <row r="24" spans="1:3" x14ac:dyDescent="0.3">
      <c r="B24" s="4">
        <v>73</v>
      </c>
      <c r="C24" s="4">
        <v>30</v>
      </c>
    </row>
    <row r="25" spans="1:3" x14ac:dyDescent="0.3">
      <c r="B25" s="4">
        <v>84.7</v>
      </c>
      <c r="C25" s="4">
        <v>35</v>
      </c>
    </row>
    <row r="26" spans="1:3" x14ac:dyDescent="0.3">
      <c r="B26" s="4">
        <v>96.7</v>
      </c>
      <c r="C26" s="4">
        <v>40</v>
      </c>
    </row>
    <row r="27" spans="1:3" x14ac:dyDescent="0.3">
      <c r="B27" s="4">
        <v>108.8</v>
      </c>
      <c r="C27" s="4">
        <v>45</v>
      </c>
    </row>
    <row r="28" spans="1:3" x14ac:dyDescent="0.3">
      <c r="B28" s="4">
        <v>120.2</v>
      </c>
      <c r="C28" s="4">
        <v>50</v>
      </c>
    </row>
    <row r="29" spans="1:3" x14ac:dyDescent="0.3">
      <c r="B29" s="5" t="s">
        <v>4</v>
      </c>
      <c r="C29" s="5">
        <f>SLOPE(C19:C28,B19:B28)</f>
        <v>0.42121314202207766</v>
      </c>
    </row>
    <row r="35" spans="1:3" x14ac:dyDescent="0.3">
      <c r="A35" s="1" t="s">
        <v>5</v>
      </c>
    </row>
    <row r="36" spans="1:3" x14ac:dyDescent="0.3">
      <c r="B36" s="3" t="s">
        <v>1</v>
      </c>
      <c r="C36" s="3" t="s">
        <v>0</v>
      </c>
    </row>
    <row r="37" spans="1:3" x14ac:dyDescent="0.3">
      <c r="B37" s="4">
        <v>4.0999999999999996</v>
      </c>
      <c r="C37" s="4">
        <v>5</v>
      </c>
    </row>
    <row r="38" spans="1:3" x14ac:dyDescent="0.3">
      <c r="B38" s="4">
        <v>7</v>
      </c>
      <c r="C38" s="4">
        <v>10</v>
      </c>
    </row>
    <row r="39" spans="1:3" x14ac:dyDescent="0.3">
      <c r="B39" s="4">
        <v>10</v>
      </c>
      <c r="C39" s="4">
        <v>15</v>
      </c>
    </row>
    <row r="40" spans="1:3" x14ac:dyDescent="0.3">
      <c r="B40" s="4">
        <v>13</v>
      </c>
      <c r="C40" s="4">
        <v>20</v>
      </c>
    </row>
    <row r="41" spans="1:3" x14ac:dyDescent="0.3">
      <c r="B41" s="4">
        <v>16</v>
      </c>
      <c r="C41" s="4">
        <v>25</v>
      </c>
    </row>
    <row r="42" spans="1:3" x14ac:dyDescent="0.3">
      <c r="B42" s="4">
        <v>19</v>
      </c>
      <c r="C42" s="4">
        <v>30</v>
      </c>
    </row>
    <row r="43" spans="1:3" x14ac:dyDescent="0.3">
      <c r="B43" s="4">
        <v>21.5</v>
      </c>
      <c r="C43" s="4">
        <v>35</v>
      </c>
    </row>
    <row r="44" spans="1:3" x14ac:dyDescent="0.3">
      <c r="B44" s="4">
        <v>24.3</v>
      </c>
      <c r="C44" s="4">
        <v>40</v>
      </c>
    </row>
    <row r="45" spans="1:3" x14ac:dyDescent="0.3">
      <c r="B45" s="4">
        <v>27</v>
      </c>
      <c r="C45" s="4">
        <v>45</v>
      </c>
    </row>
    <row r="46" spans="1:3" x14ac:dyDescent="0.3">
      <c r="B46" s="4">
        <v>30</v>
      </c>
      <c r="C46" s="4">
        <v>50</v>
      </c>
    </row>
    <row r="47" spans="1:3" x14ac:dyDescent="0.3">
      <c r="B47" s="5" t="s">
        <v>4</v>
      </c>
      <c r="C47" s="5">
        <f>SLOPE(C37:C46,B37:B46)</f>
        <v>1.7429548666424008</v>
      </c>
    </row>
    <row r="52" spans="1:3" x14ac:dyDescent="0.3">
      <c r="A52" s="1" t="s">
        <v>10</v>
      </c>
    </row>
    <row r="53" spans="1:3" x14ac:dyDescent="0.3">
      <c r="B53" s="3" t="s">
        <v>1</v>
      </c>
      <c r="C53" s="3" t="s">
        <v>0</v>
      </c>
    </row>
    <row r="54" spans="1:3" x14ac:dyDescent="0.3">
      <c r="B54" s="4">
        <v>16</v>
      </c>
      <c r="C54" s="4">
        <v>5</v>
      </c>
    </row>
    <row r="55" spans="1:3" x14ac:dyDescent="0.3">
      <c r="B55" s="4">
        <v>18</v>
      </c>
      <c r="C55" s="4">
        <v>10</v>
      </c>
    </row>
    <row r="56" spans="1:3" x14ac:dyDescent="0.3">
      <c r="B56" s="4">
        <v>23</v>
      </c>
      <c r="C56" s="4">
        <v>15</v>
      </c>
    </row>
    <row r="57" spans="1:3" x14ac:dyDescent="0.3">
      <c r="B57" s="4">
        <v>28</v>
      </c>
      <c r="C57" s="4">
        <v>20</v>
      </c>
    </row>
    <row r="58" spans="1:3" x14ac:dyDescent="0.3">
      <c r="B58" s="4">
        <v>38</v>
      </c>
      <c r="C58" s="4">
        <v>25</v>
      </c>
    </row>
    <row r="59" spans="1:3" x14ac:dyDescent="0.3">
      <c r="B59" s="4">
        <v>45</v>
      </c>
      <c r="C59" s="4">
        <v>30</v>
      </c>
    </row>
    <row r="60" spans="1:3" x14ac:dyDescent="0.3">
      <c r="B60" s="4">
        <v>55</v>
      </c>
      <c r="C60" s="4">
        <v>35</v>
      </c>
    </row>
    <row r="61" spans="1:3" x14ac:dyDescent="0.3">
      <c r="B61" s="4">
        <v>60</v>
      </c>
      <c r="C61" s="4">
        <v>40</v>
      </c>
    </row>
    <row r="62" spans="1:3" x14ac:dyDescent="0.3">
      <c r="B62" s="4">
        <v>66</v>
      </c>
      <c r="C62" s="4">
        <v>45</v>
      </c>
    </row>
    <row r="63" spans="1:3" x14ac:dyDescent="0.3">
      <c r="B63" s="4">
        <v>72</v>
      </c>
      <c r="C63" s="4">
        <v>50</v>
      </c>
    </row>
    <row r="64" spans="1:3" x14ac:dyDescent="0.3">
      <c r="B64" s="5" t="s">
        <v>4</v>
      </c>
      <c r="C64" s="5">
        <f>SLOPE(C54:C63,B54:B63)</f>
        <v>0.73167845591522263</v>
      </c>
    </row>
    <row r="70" spans="1:3" x14ac:dyDescent="0.3">
      <c r="A70" s="2" t="s">
        <v>6</v>
      </c>
    </row>
    <row r="71" spans="1:3" x14ac:dyDescent="0.3">
      <c r="A71" s="1" t="s">
        <v>2</v>
      </c>
    </row>
    <row r="72" spans="1:3" x14ac:dyDescent="0.3">
      <c r="B72" s="3" t="s">
        <v>7</v>
      </c>
      <c r="C72" s="4">
        <f>50</f>
        <v>50</v>
      </c>
    </row>
    <row r="73" spans="1:3" x14ac:dyDescent="0.3">
      <c r="B73" s="3" t="s">
        <v>8</v>
      </c>
      <c r="C73" s="4">
        <f>4.3</f>
        <v>4.3</v>
      </c>
    </row>
    <row r="74" spans="1:3" x14ac:dyDescent="0.3">
      <c r="B74" s="3" t="s">
        <v>9</v>
      </c>
      <c r="C74" s="4">
        <f>0.7</f>
        <v>0.7</v>
      </c>
    </row>
    <row r="75" spans="1:3" x14ac:dyDescent="0.3">
      <c r="B75" s="3" t="s">
        <v>11</v>
      </c>
      <c r="C75" s="4">
        <v>1</v>
      </c>
    </row>
    <row r="77" spans="1:3" x14ac:dyDescent="0.3">
      <c r="B77" s="3" t="s">
        <v>0</v>
      </c>
      <c r="C77" s="3" t="s">
        <v>1</v>
      </c>
    </row>
    <row r="78" spans="1:3" x14ac:dyDescent="0.3">
      <c r="B78" s="4">
        <v>5</v>
      </c>
      <c r="C78" s="4">
        <f>2.718^($C72*SQRT($C73+1.41)/87)*(0.8*B78+$C74)/5.98</f>
        <v>3.1028165279189213</v>
      </c>
    </row>
    <row r="79" spans="1:3" x14ac:dyDescent="0.3">
      <c r="B79" s="4">
        <v>10</v>
      </c>
      <c r="C79" s="4">
        <f>2.718^($C72*SQRT($C73+1.41)/87)*(0.8*B79+$C74)/5.98</f>
        <v>5.7435114452967264</v>
      </c>
    </row>
    <row r="80" spans="1:3" x14ac:dyDescent="0.3">
      <c r="B80" s="4">
        <v>15</v>
      </c>
      <c r="C80" s="4">
        <f>2.718^($C72*SQRT($C73+1.41)/87)*(0.8*B80+$C74)/5.98</f>
        <v>8.3842063626745311</v>
      </c>
    </row>
    <row r="81" spans="1:3" x14ac:dyDescent="0.3">
      <c r="B81" s="4">
        <v>20</v>
      </c>
      <c r="C81" s="4">
        <f>2.718^($C72*SQRT($C73+1.41)/87)*(0.8*B81+$C74)/5.98</f>
        <v>11.024901280052337</v>
      </c>
    </row>
    <row r="82" spans="1:3" x14ac:dyDescent="0.3">
      <c r="B82" s="4">
        <v>25</v>
      </c>
      <c r="C82" s="4">
        <f>2.718^($C72*SQRT($C73+1.41)/87)*(0.8*B82+$C74)/5.98</f>
        <v>13.665596197430142</v>
      </c>
    </row>
    <row r="83" spans="1:3" x14ac:dyDescent="0.3">
      <c r="B83" s="4">
        <v>30</v>
      </c>
      <c r="C83" s="4">
        <f>2.718^($C72*SQRT($C73+1.41)/87)*(0.8*B83+$C74)/5.98</f>
        <v>16.306291114807944</v>
      </c>
    </row>
    <row r="84" spans="1:3" x14ac:dyDescent="0.3">
      <c r="B84" s="4">
        <v>35</v>
      </c>
      <c r="C84" s="4">
        <f>2.718^($C72*SQRT($C73+1.41)/87)*(0.8*B84+$C74)/5.98</f>
        <v>18.946986032185752</v>
      </c>
    </row>
    <row r="85" spans="1:3" x14ac:dyDescent="0.3">
      <c r="B85" s="4">
        <v>40</v>
      </c>
      <c r="C85" s="4">
        <f>2.718^($C72*SQRT($C73+1.41)/87)*(0.8*B85+$C74)/5.98</f>
        <v>21.587680949563559</v>
      </c>
    </row>
    <row r="86" spans="1:3" x14ac:dyDescent="0.3">
      <c r="B86" s="4">
        <v>45</v>
      </c>
      <c r="C86" s="4">
        <f>2.718^($C72*SQRT($C73+1.41)/87)*(0.8*B86+$C74)/5.98</f>
        <v>24.228375866941366</v>
      </c>
    </row>
    <row r="87" spans="1:3" x14ac:dyDescent="0.3">
      <c r="B87" s="4">
        <v>50</v>
      </c>
      <c r="C87" s="4">
        <f>2.718^($C72*SQRT($C73+1.41)/87)*(0.8*B87+$C74)/5.98</f>
        <v>26.86907078431917</v>
      </c>
    </row>
    <row r="88" spans="1:3" x14ac:dyDescent="0.3">
      <c r="B88" s="6"/>
      <c r="C88" s="6"/>
    </row>
    <row r="89" spans="1:3" x14ac:dyDescent="0.3">
      <c r="B89" s="3" t="s">
        <v>14</v>
      </c>
      <c r="C89" s="4">
        <f>84.75*SQRT(0.475*C73+0.67)</f>
        <v>139.58044555470511</v>
      </c>
    </row>
    <row r="90" spans="1:3" x14ac:dyDescent="0.3">
      <c r="B90" s="3" t="s">
        <v>12</v>
      </c>
      <c r="C90" s="4">
        <f>C89/C72</f>
        <v>2.791608911094102</v>
      </c>
    </row>
    <row r="91" spans="1:3" x14ac:dyDescent="0.3">
      <c r="B91" s="3" t="s">
        <v>13</v>
      </c>
      <c r="C91" s="4">
        <f>C72^2*C90/12</f>
        <v>581.58518981127122</v>
      </c>
    </row>
    <row r="92" spans="1:3" x14ac:dyDescent="0.3">
      <c r="C92" s="6"/>
    </row>
    <row r="93" spans="1:3" x14ac:dyDescent="0.3">
      <c r="A93" s="1" t="s">
        <v>3</v>
      </c>
    </row>
    <row r="94" spans="1:3" x14ac:dyDescent="0.3">
      <c r="B94" s="3" t="s">
        <v>7</v>
      </c>
      <c r="C94" s="4">
        <f>50</f>
        <v>50</v>
      </c>
    </row>
    <row r="95" spans="1:3" x14ac:dyDescent="0.3">
      <c r="B95" s="3" t="s">
        <v>8</v>
      </c>
      <c r="C95" s="4">
        <f>4.3</f>
        <v>4.3</v>
      </c>
    </row>
    <row r="96" spans="1:3" x14ac:dyDescent="0.3">
      <c r="B96" s="3" t="s">
        <v>9</v>
      </c>
      <c r="C96" s="4">
        <f>0.7</f>
        <v>0.7</v>
      </c>
    </row>
    <row r="97" spans="2:3" x14ac:dyDescent="0.3">
      <c r="B97" s="3" t="s">
        <v>11</v>
      </c>
      <c r="C97" s="4">
        <v>1</v>
      </c>
    </row>
    <row r="99" spans="2:3" x14ac:dyDescent="0.3">
      <c r="B99" s="3" t="s">
        <v>0</v>
      </c>
      <c r="C99" s="3" t="s">
        <v>1</v>
      </c>
    </row>
    <row r="100" spans="2:3" x14ac:dyDescent="0.3">
      <c r="B100" s="4">
        <v>5</v>
      </c>
      <c r="C100" s="4">
        <f>2.718^($C94*SQRT($C95)/60)*0.67*3.14*(0.8*B100+$C96)/4</f>
        <v>13.913658591192771</v>
      </c>
    </row>
    <row r="101" spans="2:3" x14ac:dyDescent="0.3">
      <c r="B101" s="4">
        <v>10</v>
      </c>
      <c r="C101" s="4">
        <f>2.718^($C94*SQRT($C95)/60)*0.67*3.14*(0.8*B101+$C96)/4</f>
        <v>25.755070158165339</v>
      </c>
    </row>
    <row r="102" spans="2:3" x14ac:dyDescent="0.3">
      <c r="B102" s="4">
        <v>15</v>
      </c>
      <c r="C102" s="4">
        <f>2.718^($C94*SQRT($C95)/60)*0.67*3.14*(0.8*B102+$C96)/4</f>
        <v>37.596481725137913</v>
      </c>
    </row>
    <row r="103" spans="2:3" x14ac:dyDescent="0.3">
      <c r="B103" s="4">
        <v>20</v>
      </c>
      <c r="C103" s="4">
        <f>2.718^($C94*SQRT($C95)/60)*0.67*3.14*(0.8*B103+$C96)/4</f>
        <v>49.437893292110481</v>
      </c>
    </row>
    <row r="104" spans="2:3" x14ac:dyDescent="0.3">
      <c r="B104" s="4">
        <v>25</v>
      </c>
      <c r="C104" s="4">
        <f>2.718^($C94*SQRT($C95)/60)*0.67*3.14*(0.8*B104+$C96)/4</f>
        <v>61.279304859083055</v>
      </c>
    </row>
    <row r="105" spans="2:3" x14ac:dyDescent="0.3">
      <c r="B105" s="4">
        <v>30</v>
      </c>
      <c r="C105" s="4">
        <f>2.718^($C94*SQRT($C95)/60)*0.67*3.14*(0.8*B105+$C96)/4</f>
        <v>73.120716426055623</v>
      </c>
    </row>
    <row r="106" spans="2:3" x14ac:dyDescent="0.3">
      <c r="B106" s="4">
        <v>35</v>
      </c>
      <c r="C106" s="4">
        <f>2.718^($C94*SQRT($C95)/60)*0.67*3.14*(0.8*B106+$C96)/4</f>
        <v>84.96212799302819</v>
      </c>
    </row>
    <row r="107" spans="2:3" x14ac:dyDescent="0.3">
      <c r="B107" s="4">
        <v>40</v>
      </c>
      <c r="C107" s="4">
        <f>2.718^($C94*SQRT($C95)/60)*0.67*3.14*(0.8*B107+$C96)/4</f>
        <v>96.803539560000772</v>
      </c>
    </row>
    <row r="108" spans="2:3" x14ac:dyDescent="0.3">
      <c r="B108" s="4">
        <v>45</v>
      </c>
      <c r="C108" s="4">
        <f>2.718^($C94*SQRT($C95)/60)*0.67*3.14*(0.8*B108+$C96)/4</f>
        <v>108.64495112697335</v>
      </c>
    </row>
    <row r="109" spans="2:3" x14ac:dyDescent="0.3">
      <c r="B109" s="4">
        <v>50</v>
      </c>
      <c r="C109" s="4">
        <f>2.718^($C94*SQRT($C95)/60)*0.67*3.14*(0.8*B109+$C96)/4</f>
        <v>120.48636269394592</v>
      </c>
    </row>
    <row r="111" spans="2:3" x14ac:dyDescent="0.3">
      <c r="B111" s="3" t="s">
        <v>14</v>
      </c>
      <c r="C111" s="4">
        <f>1000*1.017*SQRT(C95)/12</f>
        <v>175.74134046945241</v>
      </c>
    </row>
    <row r="112" spans="2:3" x14ac:dyDescent="0.3">
      <c r="B112" s="3" t="s">
        <v>12</v>
      </c>
      <c r="C112" s="4">
        <f>C111/C94</f>
        <v>3.514826809389048</v>
      </c>
    </row>
    <row r="113" spans="1:8" x14ac:dyDescent="0.3">
      <c r="B113" s="3" t="s">
        <v>13</v>
      </c>
      <c r="C113" s="4">
        <f>C94^2*C112/1000</f>
        <v>8.7870670234726198</v>
      </c>
    </row>
    <row r="115" spans="1:8" x14ac:dyDescent="0.3">
      <c r="A115" s="1" t="s">
        <v>5</v>
      </c>
    </row>
    <row r="116" spans="1:8" x14ac:dyDescent="0.3">
      <c r="B116" s="3" t="s">
        <v>16</v>
      </c>
      <c r="C116" s="4">
        <v>80</v>
      </c>
    </row>
    <row r="117" spans="1:8" x14ac:dyDescent="0.3">
      <c r="B117" s="3" t="s">
        <v>8</v>
      </c>
      <c r="C117" s="4">
        <f>4.3</f>
        <v>4.3</v>
      </c>
    </row>
    <row r="118" spans="1:8" x14ac:dyDescent="0.3">
      <c r="B118" s="3" t="s">
        <v>9</v>
      </c>
      <c r="C118" s="4">
        <f>0.7</f>
        <v>0.7</v>
      </c>
    </row>
    <row r="119" spans="1:8" x14ac:dyDescent="0.3">
      <c r="B119" s="3" t="s">
        <v>11</v>
      </c>
      <c r="C119" s="4">
        <v>1</v>
      </c>
    </row>
    <row r="120" spans="1:8" x14ac:dyDescent="0.3">
      <c r="B120" s="3" t="s">
        <v>18</v>
      </c>
      <c r="C120" s="4">
        <f>C116/2</f>
        <v>40</v>
      </c>
    </row>
    <row r="121" spans="1:8" x14ac:dyDescent="0.3">
      <c r="B121" s="3" t="s">
        <v>17</v>
      </c>
      <c r="C121" s="4">
        <f>2*H125-C120</f>
        <v>45.689325016915035</v>
      </c>
    </row>
    <row r="122" spans="1:8" x14ac:dyDescent="0.3">
      <c r="C122" s="6"/>
    </row>
    <row r="124" spans="1:8" x14ac:dyDescent="0.3">
      <c r="B124" s="3" t="s">
        <v>15</v>
      </c>
      <c r="C124" s="3" t="s">
        <v>1</v>
      </c>
      <c r="D124" s="3" t="s">
        <v>22</v>
      </c>
      <c r="E124" s="3" t="s">
        <v>20</v>
      </c>
      <c r="F124" s="3" t="s">
        <v>21</v>
      </c>
      <c r="G124" s="3" t="s">
        <v>0</v>
      </c>
      <c r="H124" s="3" t="s">
        <v>19</v>
      </c>
    </row>
    <row r="125" spans="1:8" x14ac:dyDescent="0.3">
      <c r="B125" s="4">
        <v>5</v>
      </c>
      <c r="C125" s="4">
        <v>2.5499999999999998</v>
      </c>
      <c r="D125" s="4">
        <f>1-0.48*2.718^(-0.96*B125/C125)</f>
        <v>0.926914620996522</v>
      </c>
      <c r="E125" s="7">
        <f>C116*SQRT(C117+1)</f>
        <v>184.1738309315414</v>
      </c>
      <c r="F125" s="4">
        <f>2.718^(E125/(2*87*D125))</f>
        <v>3.1324334902788546</v>
      </c>
      <c r="G125" s="4">
        <f>1.2*(5.98*C125/F125-C118)</f>
        <v>5.0017202014945283</v>
      </c>
      <c r="H125" s="4">
        <f>87/(SQRT(C117+1.41))*LOG(5.98*C125/(0.8*G125+C118),2.718)</f>
        <v>42.844662508457517</v>
      </c>
    </row>
    <row r="126" spans="1:8" x14ac:dyDescent="0.3">
      <c r="B126" s="4">
        <v>10</v>
      </c>
      <c r="C126" s="4">
        <v>4.67</v>
      </c>
      <c r="D126" s="4">
        <f>1-0.48*2.718^(-0.96*B126/C126)</f>
        <v>0.93854379994742509</v>
      </c>
      <c r="E126" s="8"/>
      <c r="F126" s="4">
        <f>2.718^(E125/(2*87*D126))</f>
        <v>3.0884285186069107</v>
      </c>
      <c r="G126" s="4">
        <f>1.2*(5.98*C126/F126-C118)</f>
        <v>10.010799945053005</v>
      </c>
      <c r="H126" s="4">
        <f>87/(SQRT(C117+1.41))*LOG(5.98*C126/(0.8*G126+C118),2.718)</f>
        <v>42.429758796101332</v>
      </c>
    </row>
    <row r="127" spans="1:8" x14ac:dyDescent="0.3">
      <c r="B127" s="4">
        <v>15</v>
      </c>
      <c r="C127" s="4">
        <v>6.8</v>
      </c>
      <c r="D127" s="4">
        <f t="shared" ref="D127:D134" si="0">1-0.48*2.718^(-0.96*B127/C127)</f>
        <v>0.94223641199993036</v>
      </c>
      <c r="E127" s="8"/>
      <c r="F127" s="4">
        <f>2.718^(E125/(2*87*D127))</f>
        <v>3.0748099593061902</v>
      </c>
      <c r="G127" s="4">
        <f>1.2*(5.98*C127/F127-C118)</f>
        <v>15.029858835441871</v>
      </c>
      <c r="H127" s="4">
        <f>87/(SQRT(C117+1.41))*LOG(5.98*C127/(0.8*G127+C118),2.718)</f>
        <v>42.305887360815611</v>
      </c>
    </row>
    <row r="128" spans="1:8" x14ac:dyDescent="0.3">
      <c r="B128" s="4">
        <v>20</v>
      </c>
      <c r="C128" s="4">
        <v>9</v>
      </c>
      <c r="D128" s="4">
        <f t="shared" si="0"/>
        <v>0.94313534539447241</v>
      </c>
      <c r="E128" s="8"/>
      <c r="F128" s="4">
        <f>2.718^(E125/(2*87*D128))</f>
        <v>3.0715198291877295</v>
      </c>
      <c r="G128" s="4">
        <f>1.2*(5.98*C128/F128-C118)</f>
        <v>20.18672409478776</v>
      </c>
      <c r="H128" s="4">
        <f>87/(SQRT(C117+1.41))*LOG(5.98*C128/(0.8*G128+C118),2.718)</f>
        <v>42.286561457154924</v>
      </c>
    </row>
    <row r="129" spans="1:8" x14ac:dyDescent="0.3">
      <c r="B129" s="4">
        <v>25</v>
      </c>
      <c r="C129" s="4">
        <v>11.1</v>
      </c>
      <c r="D129" s="4">
        <f t="shared" si="0"/>
        <v>0.94475111694759506</v>
      </c>
      <c r="E129" s="8"/>
      <c r="F129" s="4">
        <f>2.718^(E125/(2*87*D129))</f>
        <v>3.0656305952837672</v>
      </c>
      <c r="G129" s="4">
        <f>1.2*(5.98*C129/F129-C118)</f>
        <v>25.142778265111534</v>
      </c>
      <c r="H129" s="4">
        <f>87/(SQRT(C117+1.41))*LOG(5.98*C129/(0.8*G129+C118),2.718)</f>
        <v>42.228222520350364</v>
      </c>
    </row>
    <row r="130" spans="1:8" x14ac:dyDescent="0.3">
      <c r="B130" s="4">
        <v>30</v>
      </c>
      <c r="C130" s="4">
        <v>13.2</v>
      </c>
      <c r="D130" s="4">
        <f t="shared" si="0"/>
        <v>0.94582637630440181</v>
      </c>
      <c r="E130" s="8"/>
      <c r="F130" s="4">
        <f>2.718^(E125/(2*87*D130))</f>
        <v>3.0617288282150046</v>
      </c>
      <c r="G130" s="4">
        <f>1.2*(5.98*C130/F130-C118)</f>
        <v>30.09781497795932</v>
      </c>
      <c r="H130" s="4">
        <f>87/(SQRT(C117+1.41))*LOG(5.98*C130/(0.8*G130+C118),2.718)</f>
        <v>42.18969561536354</v>
      </c>
    </row>
    <row r="131" spans="1:8" x14ac:dyDescent="0.3">
      <c r="B131" s="4">
        <v>35</v>
      </c>
      <c r="C131" s="4">
        <v>15.3</v>
      </c>
      <c r="D131" s="4">
        <f t="shared" si="0"/>
        <v>0.9465933445913588</v>
      </c>
      <c r="E131" s="8"/>
      <c r="F131" s="4">
        <f>2.718^(E125/(2*87*D131))</f>
        <v>3.0589541920404297</v>
      </c>
      <c r="G131" s="4">
        <f>1.2*(5.98*C131/F131-C118)</f>
        <v>35.052266803369278</v>
      </c>
      <c r="H131" s="4">
        <f>87/(SQRT(C117+1.41))*LOG(5.98*C131/(0.8*G131+C118),2.718)</f>
        <v>42.162362992773261</v>
      </c>
    </row>
    <row r="132" spans="1:8" x14ac:dyDescent="0.3">
      <c r="B132" s="4">
        <v>40</v>
      </c>
      <c r="C132" s="4">
        <v>17.5</v>
      </c>
      <c r="D132" s="4">
        <f t="shared" si="0"/>
        <v>0.9464975256411301</v>
      </c>
      <c r="E132" s="8"/>
      <c r="F132" s="4">
        <f>2.718^(E125/(2*87*D132))</f>
        <v>3.0593004499261114</v>
      </c>
      <c r="G132" s="4">
        <f>1.2*(5.98*C132/F132-C118)</f>
        <v>40.208599853287708</v>
      </c>
      <c r="H132" s="4">
        <f>87/(SQRT(C117+1.41))*LOG(5.98*C132/(0.8*G132+C118),2.718)</f>
        <v>42.170940571464051</v>
      </c>
    </row>
    <row r="133" spans="1:8" x14ac:dyDescent="0.3">
      <c r="B133" s="4">
        <v>45</v>
      </c>
      <c r="C133" s="4">
        <v>19.5</v>
      </c>
      <c r="D133" s="4">
        <f t="shared" si="0"/>
        <v>0.94761442909199312</v>
      </c>
      <c r="E133" s="8"/>
      <c r="F133" s="4">
        <f>2.718^(E125/(2*87*D133))</f>
        <v>3.0552711082129416</v>
      </c>
      <c r="G133" s="4">
        <f>1.2*(5.98*C133/F133-C118)</f>
        <v>44.960190897575579</v>
      </c>
      <c r="H133" s="4">
        <f>87/(SQRT(C117+1.41))*LOG(5.98*C133/(0.8*G133+C118),2.718)</f>
        <v>42.126169653630434</v>
      </c>
    </row>
    <row r="134" spans="1:8" x14ac:dyDescent="0.3">
      <c r="B134" s="4">
        <v>50</v>
      </c>
      <c r="C134" s="4">
        <v>21.65</v>
      </c>
      <c r="D134" s="4">
        <f t="shared" si="0"/>
        <v>0.94770368488034429</v>
      </c>
      <c r="E134" s="9"/>
      <c r="F134" s="4">
        <f>2.718^(E125/(2*87*D134))</f>
        <v>3.0549497475535632</v>
      </c>
      <c r="G134" s="4">
        <f>1.2*(5.98*C134/F134-C118)</f>
        <v>50.015304616520872</v>
      </c>
      <c r="H134" s="4">
        <f>87/(SQRT(C117+1.41))*LOG(5.98*C134/(0.8*G134+C118),2.718)</f>
        <v>42.125103462561974</v>
      </c>
    </row>
    <row r="135" spans="1:8" x14ac:dyDescent="0.3">
      <c r="B135" s="6"/>
      <c r="C135" s="6"/>
    </row>
    <row r="136" spans="1:8" x14ac:dyDescent="0.3">
      <c r="B136" s="3" t="s">
        <v>14</v>
      </c>
      <c r="C136" s="4">
        <f>84.75*SQRT(0.475*C117+0.67)</f>
        <v>139.58044555470511</v>
      </c>
    </row>
    <row r="137" spans="1:8" x14ac:dyDescent="0.3">
      <c r="B137" s="3" t="s">
        <v>12</v>
      </c>
      <c r="C137" s="4">
        <f>C136/H125</f>
        <v>3.2578257683124936</v>
      </c>
    </row>
    <row r="138" spans="1:8" x14ac:dyDescent="0.3">
      <c r="B138" s="3" t="s">
        <v>13</v>
      </c>
      <c r="C138" s="4">
        <f>C116^2*C137/12</f>
        <v>1737.5070764333298</v>
      </c>
    </row>
    <row r="140" spans="1:8" x14ac:dyDescent="0.3">
      <c r="A140" s="1" t="s">
        <v>10</v>
      </c>
    </row>
    <row r="141" spans="1:8" x14ac:dyDescent="0.3">
      <c r="B141" s="3" t="s">
        <v>16</v>
      </c>
      <c r="C141" s="4">
        <v>80</v>
      </c>
    </row>
    <row r="142" spans="1:8" x14ac:dyDescent="0.3">
      <c r="B142" s="3" t="s">
        <v>8</v>
      </c>
      <c r="C142" s="4">
        <f>4.3</f>
        <v>4.3</v>
      </c>
    </row>
    <row r="143" spans="1:8" x14ac:dyDescent="0.3">
      <c r="B143" s="3" t="s">
        <v>9</v>
      </c>
      <c r="C143" s="4">
        <f>0.7</f>
        <v>0.7</v>
      </c>
    </row>
    <row r="144" spans="1:8" x14ac:dyDescent="0.3">
      <c r="B144" s="3" t="s">
        <v>11</v>
      </c>
      <c r="C144" s="4">
        <v>1</v>
      </c>
    </row>
    <row r="145" spans="2:8" x14ac:dyDescent="0.3">
      <c r="B145" s="3" t="s">
        <v>18</v>
      </c>
      <c r="C145" s="4">
        <f>C141/2</f>
        <v>40</v>
      </c>
    </row>
    <row r="146" spans="2:8" x14ac:dyDescent="0.3">
      <c r="B146" s="3" t="s">
        <v>17</v>
      </c>
      <c r="C146" s="4">
        <f>2*H150-C145</f>
        <v>52.359059467361604</v>
      </c>
    </row>
    <row r="147" spans="2:8" x14ac:dyDescent="0.3">
      <c r="C147" s="6"/>
    </row>
    <row r="149" spans="2:8" x14ac:dyDescent="0.3">
      <c r="B149" s="3" t="s">
        <v>15</v>
      </c>
      <c r="C149" s="3" t="s">
        <v>1</v>
      </c>
      <c r="D149" s="3" t="s">
        <v>23</v>
      </c>
      <c r="E149" s="3" t="s">
        <v>24</v>
      </c>
      <c r="F149" s="3" t="s">
        <v>21</v>
      </c>
      <c r="G149" s="3" t="s">
        <v>0</v>
      </c>
      <c r="H149" s="3" t="s">
        <v>19</v>
      </c>
    </row>
    <row r="150" spans="2:8" x14ac:dyDescent="0.3">
      <c r="B150" s="4">
        <v>5</v>
      </c>
      <c r="C150" s="4">
        <v>12.2</v>
      </c>
      <c r="D150" s="4">
        <f>1-0.374*2.718^(-2.9*B150/C150)</f>
        <v>0.88603921037678401</v>
      </c>
      <c r="E150" s="7">
        <f>C141*SQRT(C142)</f>
        <v>165.89153082662176</v>
      </c>
      <c r="F150" s="4">
        <f>2.718^(E150/(120*D150))</f>
        <v>4.7591699318427967</v>
      </c>
      <c r="G150" s="4">
        <f>1.2*(4*C150/(F150*0.67*22/7)-C143)</f>
        <v>5.0034645334874126</v>
      </c>
      <c r="H150" s="4">
        <f>60/(SQRT(C142))*LOG(4*C150/(0.67*3.14*(0.8*G150+C143)),2.718)</f>
        <v>46.179529733680802</v>
      </c>
    </row>
    <row r="151" spans="2:8" x14ac:dyDescent="0.3">
      <c r="B151" s="4">
        <v>10</v>
      </c>
      <c r="C151" s="4">
        <v>22.1</v>
      </c>
      <c r="D151" s="4">
        <f>1-0.374*2.718^(-2.9*B151/C151)</f>
        <v>0.89929709381616707</v>
      </c>
      <c r="E151" s="8"/>
      <c r="F151" s="4">
        <f>2.718^(E150/(2*60*D151))</f>
        <v>4.650961143107085</v>
      </c>
      <c r="G151" s="4">
        <f>1.2*(4*C151/(F151*0.67*22/7)-C143)</f>
        <v>9.9915686445432161</v>
      </c>
      <c r="H151" s="2">
        <f>60/(SQRT(C142))*LOG(4*C151/(0.67*3.14*(0.8*G151+C143)),2.718)</f>
        <v>45.593436056688304</v>
      </c>
    </row>
    <row r="152" spans="2:8" x14ac:dyDescent="0.3">
      <c r="B152" s="4">
        <v>15</v>
      </c>
      <c r="C152" s="4">
        <v>32.1</v>
      </c>
      <c r="D152" s="4">
        <f>1-0.374*2.718^(-2.9*B152/C152)</f>
        <v>0.90352768102254166</v>
      </c>
      <c r="E152" s="8"/>
      <c r="F152" s="4">
        <f>2.718^(E150/(2*60*D152))</f>
        <v>4.6176081535651479</v>
      </c>
      <c r="G152" s="4">
        <f>1.2*(4*C152/(F152*0.67*22/7)-C143)</f>
        <v>15.006368462556029</v>
      </c>
      <c r="H152" s="2">
        <f>60/(SQRT(C142))*LOG(4*C152/(0.67*3.14*(0.8*G152+C143)),2.718)</f>
        <v>45.414682134437996</v>
      </c>
    </row>
    <row r="153" spans="2:8" x14ac:dyDescent="0.3">
      <c r="B153" s="4">
        <v>20</v>
      </c>
      <c r="C153" s="4">
        <v>42</v>
      </c>
      <c r="D153" s="4">
        <f>1-0.374*2.718^(-2.9*B153/C153)</f>
        <v>0.90598572809675382</v>
      </c>
      <c r="E153" s="8"/>
      <c r="F153" s="4">
        <f>2.718^(E150/(2*60*D153))</f>
        <v>4.5984813947854679</v>
      </c>
      <c r="G153" s="4">
        <f>1.2*(4*C153/(F153*0.67*22/7)-C143)</f>
        <v>19.979804665245865</v>
      </c>
      <c r="H153" s="2">
        <f>60/(SQRT(C142))*LOG(4*C153/(0.67*3.14*(0.8*G153+C143)),2.718)</f>
        <v>45.309808162732793</v>
      </c>
    </row>
    <row r="154" spans="2:8" x14ac:dyDescent="0.3">
      <c r="B154" s="4">
        <v>25</v>
      </c>
      <c r="C154" s="4">
        <v>52</v>
      </c>
      <c r="D154" s="4">
        <f>1-0.374*2.718^(-2.9*B154/C154)</f>
        <v>0.90722570684649928</v>
      </c>
      <c r="E154" s="8"/>
      <c r="F154" s="4">
        <f>2.718^(E150/(2*60*D154))</f>
        <v>4.5889020200381925</v>
      </c>
      <c r="G154" s="4">
        <f>1.2*(4*C154/(F154*0.67*22/7)-C143)</f>
        <v>24.990710529671109</v>
      </c>
      <c r="H154" s="2">
        <f>60/(SQRT(C142))*LOG(4*C154/(0.67*3.14*(0.8*G154+C143)),2.718)</f>
        <v>45.25888636820806</v>
      </c>
    </row>
    <row r="155" spans="2:8" x14ac:dyDescent="0.3">
      <c r="B155" s="4">
        <v>30</v>
      </c>
      <c r="C155" s="4">
        <v>62</v>
      </c>
      <c r="D155" s="4">
        <f>1-0.374*2.718^(-2.9*B155/C155)</f>
        <v>0.90805638732787397</v>
      </c>
      <c r="E155" s="8"/>
      <c r="F155" s="4">
        <f>2.718^(E150/(2*60*D155))</f>
        <v>4.5825104149266664</v>
      </c>
      <c r="G155" s="4">
        <f>1.2*(4*C155/(F155*0.67*22/7)-C143)</f>
        <v>30.001111588247213</v>
      </c>
      <c r="H155" s="2">
        <f>60/(SQRT(C142))*LOG(4*C155/(0.67*3.14*(0.8*G155+C143)),2.718)</f>
        <v>45.224914908130209</v>
      </c>
    </row>
    <row r="156" spans="2:8" x14ac:dyDescent="0.3">
      <c r="B156" s="4">
        <v>35</v>
      </c>
      <c r="C156" s="4">
        <v>72</v>
      </c>
      <c r="D156" s="4">
        <f>1-0.374*2.718^(-2.9*B156/C156)</f>
        <v>0.9086516937604362</v>
      </c>
      <c r="E156" s="8"/>
      <c r="F156" s="4">
        <f>2.718^(E150/(2*60*D156))</f>
        <v>4.577942529832252</v>
      </c>
      <c r="G156" s="4">
        <f>1.2*(4*C156/(F156*0.67*22/7)-C143)</f>
        <v>35.011221225247901</v>
      </c>
      <c r="H156" s="2">
        <f>60/(SQRT(C142))*LOG(4*C156/(0.67*3.14*(0.8*G156+C143)),2.718)</f>
        <v>45.200639736235367</v>
      </c>
    </row>
    <row r="157" spans="2:8" x14ac:dyDescent="0.3">
      <c r="B157" s="4">
        <v>40</v>
      </c>
      <c r="C157" s="4">
        <v>82</v>
      </c>
      <c r="D157" s="4">
        <f>1-0.374*2.718^(-2.9*B157/C157)</f>
        <v>0.90909924323617908</v>
      </c>
      <c r="E157" s="8"/>
      <c r="F157" s="4">
        <f>2.718^(E150/(2*60*D157))</f>
        <v>4.5745153414617601</v>
      </c>
      <c r="G157" s="4">
        <f>1.2*(4*C157/(F157*0.67*22/7)-C143)</f>
        <v>40.021147416370162</v>
      </c>
      <c r="H157" s="2">
        <f>60/(SQRT(C142))*LOG(4*C157/(0.67*3.14*(0.8*G157+C143)),2.718)</f>
        <v>45.18242865150566</v>
      </c>
    </row>
    <row r="158" spans="2:8" x14ac:dyDescent="0.3">
      <c r="B158" s="4">
        <v>45</v>
      </c>
      <c r="C158" s="4">
        <v>92</v>
      </c>
      <c r="D158" s="4">
        <f>1-0.374*2.718^(-2.9*B158/C158)</f>
        <v>0.90944796929387284</v>
      </c>
      <c r="E158" s="8"/>
      <c r="F158" s="4">
        <f>2.718^(E150/(2*60*D158))</f>
        <v>4.5718490251239672</v>
      </c>
      <c r="G158" s="4">
        <f>1.2*(4*C158/(F158*0.67*22/7)-C143)</f>
        <v>45.030950660418647</v>
      </c>
      <c r="H158" s="2">
        <f>60/(SQRT(C142))*LOG(4*C158/(0.67*3.14*(0.8*G158+C143)),2.718)</f>
        <v>45.168261989839145</v>
      </c>
    </row>
    <row r="159" spans="2:8" x14ac:dyDescent="0.3">
      <c r="B159" s="4">
        <v>50</v>
      </c>
      <c r="C159" s="4">
        <v>102</v>
      </c>
      <c r="D159" s="4">
        <f>1-0.374*2.718^(-2.9*B159/C159)</f>
        <v>0.90972734738065408</v>
      </c>
      <c r="E159" s="9"/>
      <c r="F159" s="4">
        <f>2.718^(E150/(2*60*D159))</f>
        <v>4.5697155298021599</v>
      </c>
      <c r="G159" s="4">
        <f>1.2*(4*C159/(F159*0.67*22/7)-C143)</f>
        <v>50.04066748891033</v>
      </c>
      <c r="H159" s="2">
        <f>60/(SQRT(C142))*LOG(4*C159/(0.67*3.14*(0.8*G159+C143)),2.718)</f>
        <v>45.156927245392325</v>
      </c>
    </row>
    <row r="160" spans="2:8" x14ac:dyDescent="0.3">
      <c r="B160" s="6"/>
      <c r="C160" s="6"/>
    </row>
    <row r="161" spans="2:3" x14ac:dyDescent="0.3">
      <c r="B161" s="3" t="s">
        <v>14</v>
      </c>
      <c r="C161" s="4">
        <f>1000*1.017*SQRT(C142)/12</f>
        <v>175.74134046945241</v>
      </c>
    </row>
    <row r="162" spans="2:3" x14ac:dyDescent="0.3">
      <c r="B162" s="3" t="s">
        <v>12</v>
      </c>
      <c r="C162" s="4">
        <f>C161/C145</f>
        <v>4.3935335117363099</v>
      </c>
    </row>
    <row r="163" spans="2:3" x14ac:dyDescent="0.3">
      <c r="B163" s="3" t="s">
        <v>13</v>
      </c>
      <c r="C163" s="4">
        <f>C145^2*C162/1000</f>
        <v>7.029653618778096</v>
      </c>
    </row>
  </sheetData>
  <mergeCells count="2">
    <mergeCell ref="E125:E134"/>
    <mergeCell ref="E150:E1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Siddeshwar</dc:creator>
  <cp:lastModifiedBy>Nagaraj Siddeshwar</cp:lastModifiedBy>
  <dcterms:created xsi:type="dcterms:W3CDTF">2018-04-07T22:23:34Z</dcterms:created>
  <dcterms:modified xsi:type="dcterms:W3CDTF">2018-04-09T06:28:07Z</dcterms:modified>
</cp:coreProperties>
</file>