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JGuzarov\Desktop\FileJk\test21-main\"/>
    </mc:Choice>
  </mc:AlternateContent>
  <bookViews>
    <workbookView xWindow="-105" yWindow="-105" windowWidth="20730" windowHeight="11760" tabRatio="175" activeTab="1"/>
  </bookViews>
  <sheets>
    <sheet name="TDSheet" sheetId="1" r:id="rId1"/>
    <sheet name="Лист1" sheetId="2" r:id="rId2"/>
  </sheets>
  <definedNames>
    <definedName name="_xlnm._FilterDatabase" localSheetId="1" hidden="1">Лист1!$J$2:$R$159</definedName>
  </definedNames>
  <calcPr calcId="162913"/>
</workbook>
</file>

<file path=xl/calcChain.xml><?xml version="1.0" encoding="utf-8"?>
<calcChain xmlns="http://schemas.openxmlformats.org/spreadsheetml/2006/main">
  <c r="P123" i="2" l="1"/>
  <c r="Q123" i="2" s="1"/>
  <c r="P138" i="2"/>
  <c r="Q138" i="2" s="1"/>
  <c r="P139" i="2"/>
  <c r="Q139" i="2" s="1"/>
  <c r="P144" i="2"/>
  <c r="Q144" i="2" s="1"/>
  <c r="P149" i="2"/>
  <c r="Q149" i="2" s="1"/>
  <c r="P153" i="2"/>
  <c r="Q153" i="2"/>
  <c r="N123" i="2"/>
  <c r="N144" i="2"/>
  <c r="N149" i="2"/>
  <c r="N153" i="2"/>
  <c r="K112" i="2"/>
  <c r="L158" i="2"/>
  <c r="L157" i="2"/>
  <c r="L156" i="2"/>
  <c r="L155" i="2"/>
  <c r="L154" i="2"/>
  <c r="L152" i="2"/>
  <c r="L151" i="2"/>
  <c r="L150" i="2"/>
  <c r="L148" i="2"/>
  <c r="L147" i="2"/>
  <c r="K148" i="2"/>
  <c r="K143" i="2"/>
  <c r="L145" i="2"/>
  <c r="L143" i="2" l="1"/>
  <c r="L142" i="2"/>
  <c r="L141" i="2"/>
  <c r="K141" i="2"/>
  <c r="L140" i="2"/>
  <c r="L135" i="2"/>
  <c r="M135" i="2" s="1"/>
  <c r="L134" i="2"/>
  <c r="M134" i="2" s="1"/>
  <c r="L133" i="2"/>
  <c r="M133" i="2" s="1"/>
  <c r="L132" i="2"/>
  <c r="M132" i="2" s="1"/>
  <c r="L131" i="2"/>
  <c r="M131" i="2" s="1"/>
  <c r="L130" i="2"/>
  <c r="M130" i="2" s="1"/>
  <c r="L129" i="2"/>
  <c r="M129" i="2" s="1"/>
  <c r="L128" i="2"/>
  <c r="L127" i="2"/>
  <c r="L126" i="2"/>
  <c r="L125" i="2"/>
  <c r="L124" i="2"/>
  <c r="M124" i="2" s="1"/>
  <c r="L122" i="2"/>
  <c r="M122" i="2" s="1"/>
  <c r="L119" i="2"/>
  <c r="M119" i="2" s="1"/>
  <c r="L118" i="2"/>
  <c r="M118" i="2" s="1"/>
  <c r="L117" i="2"/>
  <c r="M117" i="2" s="1"/>
  <c r="L116" i="2"/>
  <c r="M116" i="2" s="1"/>
  <c r="L115" i="2"/>
  <c r="M115" i="2" s="1"/>
  <c r="L114" i="2"/>
  <c r="M114" i="2" s="1"/>
  <c r="L113" i="2"/>
  <c r="L112" i="2"/>
  <c r="M112" i="2" s="1"/>
  <c r="L111" i="2"/>
  <c r="L103" i="2"/>
  <c r="L94" i="2"/>
  <c r="M94" i="2" s="1"/>
  <c r="L93" i="2"/>
  <c r="K93" i="2"/>
  <c r="M93" i="2" s="1"/>
  <c r="L92" i="2"/>
  <c r="K92" i="2"/>
  <c r="M92" i="2" s="1"/>
  <c r="K91" i="2"/>
  <c r="M91" i="2" s="1"/>
  <c r="K90" i="2"/>
  <c r="L91" i="2"/>
  <c r="L90" i="2"/>
  <c r="L89" i="2"/>
  <c r="M89" i="2" s="1"/>
  <c r="L88" i="2"/>
  <c r="M88" i="2" s="1"/>
  <c r="L87" i="2"/>
  <c r="M87" i="2" s="1"/>
  <c r="L86" i="2"/>
  <c r="K86" i="2"/>
  <c r="M86" i="2" s="1"/>
  <c r="K85" i="2"/>
  <c r="L85" i="2"/>
  <c r="L84" i="2"/>
  <c r="M84" i="2" s="1"/>
  <c r="L83" i="2"/>
  <c r="M83" i="2" s="1"/>
  <c r="L82" i="2"/>
  <c r="M82" i="2" s="1"/>
  <c r="L81" i="2"/>
  <c r="M81" i="2" s="1"/>
  <c r="L80" i="2"/>
  <c r="L79" i="2"/>
  <c r="L78" i="2"/>
  <c r="M102" i="2"/>
  <c r="M103" i="2"/>
  <c r="M104" i="2"/>
  <c r="M105" i="2"/>
  <c r="M106" i="2"/>
  <c r="M107" i="2"/>
  <c r="M108" i="2"/>
  <c r="M109" i="2"/>
  <c r="M110" i="2"/>
  <c r="M120" i="2"/>
  <c r="L121" i="2"/>
  <c r="M121" i="2" s="1"/>
  <c r="M125" i="2"/>
  <c r="M126" i="2"/>
  <c r="M127" i="2"/>
  <c r="M128" i="2"/>
  <c r="M147" i="2"/>
  <c r="M148" i="2"/>
  <c r="M150" i="2"/>
  <c r="M151" i="2"/>
  <c r="M152" i="2"/>
  <c r="M155" i="2"/>
  <c r="M156" i="2"/>
  <c r="M157" i="2"/>
  <c r="M158" i="2"/>
  <c r="L77" i="2"/>
  <c r="L67" i="2"/>
  <c r="M67" i="2" s="1"/>
  <c r="L65" i="2"/>
  <c r="M65" i="2" s="1"/>
  <c r="L64" i="2"/>
  <c r="M64" i="2" s="1"/>
  <c r="L62" i="2"/>
  <c r="M62" i="2" s="1"/>
  <c r="L61" i="2"/>
  <c r="M61" i="2" s="1"/>
  <c r="L60" i="2"/>
  <c r="M60" i="2" s="1"/>
  <c r="L59" i="2"/>
  <c r="L58" i="2"/>
  <c r="K59" i="2"/>
  <c r="K58" i="2"/>
  <c r="K57" i="2"/>
  <c r="L57" i="2"/>
  <c r="L55" i="2"/>
  <c r="M55" i="2" s="1"/>
  <c r="L54" i="2"/>
  <c r="M54" i="2" s="1"/>
  <c r="L53" i="2"/>
  <c r="M53" i="2" s="1"/>
  <c r="L52" i="2"/>
  <c r="M52" i="2" s="1"/>
  <c r="L51" i="2"/>
  <c r="M51" i="2" s="1"/>
  <c r="L50" i="2"/>
  <c r="M50" i="2"/>
  <c r="L39" i="2"/>
  <c r="K39" i="2"/>
  <c r="M39" i="2" s="1"/>
  <c r="L37" i="2"/>
  <c r="L38" i="2"/>
  <c r="K37" i="2"/>
  <c r="M37" i="2" s="1"/>
  <c r="K38" i="2"/>
  <c r="M38" i="2" s="1"/>
  <c r="L36" i="2"/>
  <c r="K36" i="2"/>
  <c r="M36" i="2" s="1"/>
  <c r="L33" i="2"/>
  <c r="M33" i="2" s="1"/>
  <c r="L32" i="2"/>
  <c r="M32" i="2" s="1"/>
  <c r="L31" i="2"/>
  <c r="M31" i="2" s="1"/>
  <c r="L30" i="2"/>
  <c r="M30" i="2" s="1"/>
  <c r="L27" i="2"/>
  <c r="M27" i="2" s="1"/>
  <c r="L21" i="2"/>
  <c r="M34" i="2"/>
  <c r="M35" i="2"/>
  <c r="M40" i="2"/>
  <c r="M42" i="2"/>
  <c r="M44" i="2"/>
  <c r="M57" i="2"/>
  <c r="M63" i="2"/>
  <c r="M66" i="2"/>
  <c r="M68" i="2"/>
  <c r="M111" i="2"/>
  <c r="M136" i="2"/>
  <c r="M140" i="2"/>
  <c r="M154" i="2"/>
  <c r="L20" i="2"/>
  <c r="M20" i="2" s="1"/>
  <c r="M4" i="2"/>
  <c r="M5" i="2"/>
  <c r="M6" i="2"/>
  <c r="M8" i="2"/>
  <c r="M9" i="2"/>
  <c r="M10" i="2"/>
  <c r="M11" i="2"/>
  <c r="M12" i="2"/>
  <c r="M13" i="2"/>
  <c r="M14" i="2"/>
  <c r="M16" i="2"/>
  <c r="M21" i="2"/>
  <c r="M22" i="2"/>
  <c r="M23" i="2"/>
  <c r="M24" i="2"/>
  <c r="M25" i="2"/>
  <c r="M26" i="2"/>
  <c r="M28" i="2"/>
  <c r="M29" i="2"/>
  <c r="M41" i="2"/>
  <c r="M43" i="2"/>
  <c r="M45" i="2"/>
  <c r="M46" i="2"/>
  <c r="M47" i="2"/>
  <c r="M48" i="2"/>
  <c r="M49" i="2"/>
  <c r="M56" i="2"/>
  <c r="M69" i="2"/>
  <c r="M70" i="2"/>
  <c r="M71" i="2"/>
  <c r="M72" i="2"/>
  <c r="M73" i="2"/>
  <c r="M74" i="2"/>
  <c r="M75" i="2"/>
  <c r="M76" i="2"/>
  <c r="M77" i="2"/>
  <c r="M78" i="2"/>
  <c r="M79" i="2"/>
  <c r="M80" i="2"/>
  <c r="M95" i="2"/>
  <c r="M96" i="2"/>
  <c r="M97" i="2"/>
  <c r="M98" i="2"/>
  <c r="M99" i="2"/>
  <c r="M100" i="2"/>
  <c r="M101" i="2"/>
  <c r="M113" i="2"/>
  <c r="M137" i="2"/>
  <c r="M141" i="2"/>
  <c r="M142" i="2"/>
  <c r="M143" i="2"/>
  <c r="M145" i="2"/>
  <c r="M146" i="2"/>
  <c r="M3" i="2"/>
  <c r="L19" i="2"/>
  <c r="M19" i="2" s="1"/>
  <c r="L18" i="2"/>
  <c r="M18" i="2" s="1"/>
  <c r="L17" i="2"/>
  <c r="M17" i="2" s="1"/>
  <c r="L15" i="2"/>
  <c r="M15" i="2" s="1"/>
  <c r="L7" i="2"/>
  <c r="M7" i="2" s="1"/>
  <c r="M85" i="2" l="1"/>
  <c r="M90" i="2"/>
  <c r="M59" i="2"/>
  <c r="M58" i="2"/>
  <c r="P115" i="2"/>
  <c r="Q115" i="2" s="1"/>
  <c r="N115" i="2"/>
  <c r="N82" i="2"/>
  <c r="P82" i="2"/>
  <c r="Q82" i="2" s="1"/>
  <c r="P116" i="2"/>
  <c r="Q116" i="2" s="1"/>
  <c r="N116" i="2"/>
  <c r="N18" i="2"/>
  <c r="P18" i="2"/>
  <c r="Q18" i="2" s="1"/>
  <c r="P53" i="2"/>
  <c r="Q53" i="2" s="1"/>
  <c r="N53" i="2"/>
  <c r="N86" i="2"/>
  <c r="P86" i="2"/>
  <c r="Q86" i="2" s="1"/>
  <c r="N51" i="2"/>
  <c r="P51" i="2"/>
  <c r="Q51" i="2" s="1"/>
  <c r="P84" i="2"/>
  <c r="Q84" i="2" s="1"/>
  <c r="N84" i="2"/>
  <c r="P85" i="2"/>
  <c r="Q85" i="2" s="1"/>
  <c r="N85" i="2"/>
  <c r="N131" i="2"/>
  <c r="P131" i="2"/>
  <c r="Q131" i="2" s="1"/>
  <c r="N7" i="2"/>
  <c r="P7" i="2"/>
  <c r="Q7" i="2" s="1"/>
  <c r="P52" i="2"/>
  <c r="Q52" i="2" s="1"/>
  <c r="N52" i="2"/>
  <c r="P118" i="2"/>
  <c r="Q118" i="2" s="1"/>
  <c r="N118" i="2"/>
  <c r="N54" i="2"/>
  <c r="P54" i="2"/>
  <c r="Q54" i="2" s="1"/>
  <c r="N88" i="2"/>
  <c r="P88" i="2"/>
  <c r="Q88" i="2" s="1"/>
  <c r="P58" i="2"/>
  <c r="Q58" i="2" s="1"/>
  <c r="N58" i="2"/>
  <c r="N20" i="2"/>
  <c r="P20" i="2"/>
  <c r="Q20" i="2" s="1"/>
  <c r="P119" i="2"/>
  <c r="Q119" i="2" s="1"/>
  <c r="N119" i="2"/>
  <c r="N87" i="2"/>
  <c r="P87" i="2"/>
  <c r="Q87" i="2" s="1"/>
  <c r="N30" i="2"/>
  <c r="P30" i="2"/>
  <c r="Q30" i="2" s="1"/>
  <c r="N129" i="2"/>
  <c r="P129" i="2"/>
  <c r="Q129" i="2" s="1"/>
  <c r="P60" i="2"/>
  <c r="Q60" i="2" s="1"/>
  <c r="N60" i="2"/>
  <c r="N130" i="2"/>
  <c r="P130" i="2"/>
  <c r="Q130" i="2" s="1"/>
  <c r="N61" i="2"/>
  <c r="P61" i="2"/>
  <c r="Q61" i="2" s="1"/>
  <c r="N33" i="2"/>
  <c r="P33" i="2"/>
  <c r="Q33" i="2" s="1"/>
  <c r="N92" i="2"/>
  <c r="P92" i="2"/>
  <c r="Q92" i="2" s="1"/>
  <c r="N36" i="2"/>
  <c r="P36" i="2"/>
  <c r="Q36" i="2" s="1"/>
  <c r="N133" i="2"/>
  <c r="P133" i="2"/>
  <c r="Q133" i="2" s="1"/>
  <c r="N134" i="2"/>
  <c r="P134" i="2"/>
  <c r="Q134" i="2" s="1"/>
  <c r="N38" i="2"/>
  <c r="P38" i="2"/>
  <c r="Q38" i="2" s="1"/>
  <c r="N37" i="2"/>
  <c r="P37" i="2"/>
  <c r="Q37" i="2" s="1"/>
  <c r="N15" i="2"/>
  <c r="P15" i="2"/>
  <c r="Q15" i="2" s="1"/>
  <c r="P17" i="2"/>
  <c r="Q17" i="2" s="1"/>
  <c r="N17" i="2"/>
  <c r="N117" i="2"/>
  <c r="P117" i="2"/>
  <c r="Q117" i="2" s="1"/>
  <c r="P19" i="2"/>
  <c r="Q19" i="2" s="1"/>
  <c r="N19" i="2"/>
  <c r="N59" i="2"/>
  <c r="P59" i="2"/>
  <c r="Q59" i="2" s="1"/>
  <c r="N31" i="2"/>
  <c r="P31" i="2"/>
  <c r="Q31" i="2" s="1"/>
  <c r="N90" i="2"/>
  <c r="P90" i="2"/>
  <c r="Q90" i="2" s="1"/>
  <c r="P32" i="2"/>
  <c r="Q32" i="2" s="1"/>
  <c r="N32" i="2"/>
  <c r="N62" i="2"/>
  <c r="P62" i="2"/>
  <c r="Q62" i="2" s="1"/>
  <c r="N132" i="2"/>
  <c r="P132" i="2"/>
  <c r="Q132" i="2" s="1"/>
  <c r="N64" i="2"/>
  <c r="P64" i="2"/>
  <c r="Q64" i="2" s="1"/>
  <c r="P65" i="2"/>
  <c r="Q65" i="2" s="1"/>
  <c r="N65" i="2"/>
  <c r="N93" i="2"/>
  <c r="P93" i="2"/>
  <c r="Q93" i="2" s="1"/>
  <c r="N67" i="2"/>
  <c r="P67" i="2"/>
  <c r="Q67" i="2" s="1"/>
  <c r="P94" i="2"/>
  <c r="Q94" i="2" s="1"/>
  <c r="N94" i="2"/>
  <c r="N39" i="2"/>
  <c r="P39" i="2"/>
  <c r="Q39" i="2" s="1"/>
  <c r="P47" i="2"/>
  <c r="Q47" i="2" s="1"/>
  <c r="N47" i="2"/>
  <c r="P91" i="2"/>
  <c r="Q91" i="2" s="1"/>
  <c r="N91" i="2"/>
  <c r="N83" i="2"/>
  <c r="P83" i="2"/>
  <c r="Q83" i="2" s="1"/>
  <c r="P46" i="2"/>
  <c r="Q46" i="2" s="1"/>
  <c r="N46" i="2"/>
  <c r="P125" i="2"/>
  <c r="Q125" i="2" s="1"/>
  <c r="N125" i="2"/>
  <c r="P5" i="2"/>
  <c r="Q5" i="2" s="1"/>
  <c r="N5" i="2"/>
  <c r="N126" i="2"/>
  <c r="P126" i="2"/>
  <c r="Q126" i="2" s="1"/>
  <c r="P13" i="2"/>
  <c r="Q13" i="2" s="1"/>
  <c r="N13" i="2"/>
  <c r="N81" i="2"/>
  <c r="P81" i="2"/>
  <c r="Q81" i="2" s="1"/>
  <c r="N10" i="2"/>
  <c r="P10" i="2"/>
  <c r="Q10" i="2" s="1"/>
  <c r="P29" i="2"/>
  <c r="Q29" i="2" s="1"/>
  <c r="N29" i="2"/>
  <c r="P4" i="2"/>
  <c r="Q4" i="2" s="1"/>
  <c r="N4" i="2"/>
  <c r="N57" i="2"/>
  <c r="P57" i="2"/>
  <c r="Q57" i="2" s="1"/>
  <c r="P137" i="2"/>
  <c r="Q137" i="2" s="1"/>
  <c r="N137" i="2"/>
  <c r="N128" i="2"/>
  <c r="P128" i="2"/>
  <c r="Q128" i="2" s="1"/>
  <c r="P12" i="2"/>
  <c r="Q12" i="2" s="1"/>
  <c r="N12" i="2"/>
  <c r="N79" i="2"/>
  <c r="P79" i="2"/>
  <c r="Q79" i="2" s="1"/>
  <c r="P68" i="2"/>
  <c r="Q68" i="2" s="1"/>
  <c r="N68" i="2"/>
  <c r="N9" i="2"/>
  <c r="P9" i="2"/>
  <c r="Q9" i="2" s="1"/>
  <c r="N63" i="2"/>
  <c r="P63" i="2"/>
  <c r="Q63" i="2" s="1"/>
  <c r="N146" i="2"/>
  <c r="P146" i="2"/>
  <c r="Q146" i="2" s="1"/>
  <c r="N110" i="2"/>
  <c r="P110" i="2"/>
  <c r="Q110" i="2" s="1"/>
  <c r="P71" i="2"/>
  <c r="Q71" i="2" s="1"/>
  <c r="N71" i="2"/>
  <c r="N156" i="2"/>
  <c r="P156" i="2"/>
  <c r="Q156" i="2" s="1"/>
  <c r="N44" i="2"/>
  <c r="P44" i="2"/>
  <c r="Q44" i="2" s="1"/>
  <c r="N40" i="2"/>
  <c r="P40" i="2"/>
  <c r="Q40" i="2" s="1"/>
  <c r="N99" i="2"/>
  <c r="P99" i="2"/>
  <c r="Q99" i="2" s="1"/>
  <c r="N11" i="2"/>
  <c r="P11" i="2"/>
  <c r="Q11" i="2" s="1"/>
  <c r="P66" i="2"/>
  <c r="Q66" i="2" s="1"/>
  <c r="N66" i="2"/>
  <c r="N121" i="2"/>
  <c r="P121" i="2"/>
  <c r="Q121" i="2" s="1"/>
  <c r="N120" i="2"/>
  <c r="P120" i="2"/>
  <c r="Q120" i="2" s="1"/>
  <c r="N154" i="2"/>
  <c r="P154" i="2"/>
  <c r="Q154" i="2" s="1"/>
  <c r="N25" i="2"/>
  <c r="P25" i="2"/>
  <c r="Q25" i="2" s="1"/>
  <c r="N155" i="2"/>
  <c r="P155" i="2"/>
  <c r="Q155" i="2" s="1"/>
  <c r="P69" i="2"/>
  <c r="Q69" i="2" s="1"/>
  <c r="N69" i="2"/>
  <c r="N152" i="2"/>
  <c r="P152" i="2"/>
  <c r="Q152" i="2" s="1"/>
  <c r="N113" i="2"/>
  <c r="P113" i="2"/>
  <c r="Q113" i="2" s="1"/>
  <c r="N22" i="2"/>
  <c r="P22" i="2"/>
  <c r="Q22" i="2" s="1"/>
  <c r="N112" i="2"/>
  <c r="P112" i="2"/>
  <c r="Q112" i="2" s="1"/>
  <c r="N78" i="2"/>
  <c r="P78" i="2"/>
  <c r="Q78" i="2" s="1"/>
  <c r="P122" i="2"/>
  <c r="Q122" i="2" s="1"/>
  <c r="N122" i="2"/>
  <c r="P145" i="2"/>
  <c r="Q145" i="2" s="1"/>
  <c r="N145" i="2"/>
  <c r="P143" i="2"/>
  <c r="Q143" i="2" s="1"/>
  <c r="N143" i="2"/>
  <c r="P27" i="2"/>
  <c r="Q27" i="2" s="1"/>
  <c r="N27" i="2"/>
  <c r="N109" i="2"/>
  <c r="P109" i="2"/>
  <c r="Q109" i="2" s="1"/>
  <c r="P50" i="2"/>
  <c r="Q50" i="2" s="1"/>
  <c r="N50" i="2"/>
  <c r="P101" i="2"/>
  <c r="Q101" i="2" s="1"/>
  <c r="N101" i="2"/>
  <c r="P150" i="2"/>
  <c r="Q150" i="2" s="1"/>
  <c r="N150" i="2"/>
  <c r="N100" i="2"/>
  <c r="P100" i="2"/>
  <c r="Q100" i="2" s="1"/>
  <c r="N135" i="2"/>
  <c r="P135" i="2"/>
  <c r="Q135" i="2" s="1"/>
  <c r="N127" i="2"/>
  <c r="P127" i="2"/>
  <c r="Q127" i="2" s="1"/>
  <c r="N80" i="2"/>
  <c r="P80" i="2"/>
  <c r="Q80" i="2" s="1"/>
  <c r="P41" i="2"/>
  <c r="Q41" i="2" s="1"/>
  <c r="N41" i="2"/>
  <c r="N8" i="2"/>
  <c r="P8" i="2"/>
  <c r="Q8" i="2" s="1"/>
  <c r="P74" i="2"/>
  <c r="Q74" i="2" s="1"/>
  <c r="N74" i="2"/>
  <c r="N70" i="2"/>
  <c r="P70" i="2"/>
  <c r="Q70" i="2" s="1"/>
  <c r="N107" i="2"/>
  <c r="P107" i="2"/>
  <c r="Q107" i="2" s="1"/>
  <c r="N105" i="2"/>
  <c r="P105" i="2"/>
  <c r="Q105" i="2" s="1"/>
  <c r="N21" i="2"/>
  <c r="P21" i="2"/>
  <c r="Q21" i="2" s="1"/>
  <c r="N104" i="2"/>
  <c r="P104" i="2"/>
  <c r="Q104" i="2" s="1"/>
  <c r="N103" i="2"/>
  <c r="P103" i="2"/>
  <c r="Q103" i="2" s="1"/>
  <c r="P77" i="2"/>
  <c r="Q77" i="2" s="1"/>
  <c r="N77" i="2"/>
  <c r="N76" i="2"/>
  <c r="P76" i="2"/>
  <c r="Q76" i="2" s="1"/>
  <c r="N6" i="2"/>
  <c r="P6" i="2"/>
  <c r="Q6" i="2" s="1"/>
  <c r="P28" i="2"/>
  <c r="Q28" i="2" s="1"/>
  <c r="N28" i="2"/>
  <c r="P141" i="2"/>
  <c r="Q141" i="2" s="1"/>
  <c r="N141" i="2"/>
  <c r="N136" i="2"/>
  <c r="P136" i="2"/>
  <c r="Q136" i="2" s="1"/>
  <c r="N106" i="2"/>
  <c r="P106" i="2"/>
  <c r="Q106" i="2" s="1"/>
  <c r="N56" i="2"/>
  <c r="P56" i="2"/>
  <c r="Q56" i="2" s="1"/>
  <c r="P97" i="2"/>
  <c r="Q97" i="2" s="1"/>
  <c r="N97" i="2"/>
  <c r="P45" i="2"/>
  <c r="Q45" i="2" s="1"/>
  <c r="N45" i="2"/>
  <c r="P158" i="2"/>
  <c r="Q158" i="2" s="1"/>
  <c r="N158" i="2"/>
  <c r="P72" i="2"/>
  <c r="Q72" i="2" s="1"/>
  <c r="N72" i="2"/>
  <c r="P157" i="2"/>
  <c r="Q157" i="2" s="1"/>
  <c r="N157" i="2"/>
  <c r="P26" i="2"/>
  <c r="Q26" i="2" s="1"/>
  <c r="N26" i="2"/>
  <c r="N140" i="2"/>
  <c r="P140" i="2"/>
  <c r="Q140" i="2" s="1"/>
  <c r="P151" i="2"/>
  <c r="Q151" i="2" s="1"/>
  <c r="N151" i="2"/>
  <c r="P148" i="2"/>
  <c r="Q148" i="2" s="1"/>
  <c r="N148" i="2"/>
  <c r="N111" i="2"/>
  <c r="P111" i="2"/>
  <c r="Q111" i="2" s="1"/>
  <c r="N102" i="2"/>
  <c r="P102" i="2"/>
  <c r="Q102" i="2" s="1"/>
  <c r="N35" i="2"/>
  <c r="P35" i="2"/>
  <c r="Q35" i="2" s="1"/>
  <c r="P96" i="2"/>
  <c r="Q96" i="2" s="1"/>
  <c r="N96" i="2"/>
  <c r="P89" i="2"/>
  <c r="Q89" i="2" s="1"/>
  <c r="N89" i="2"/>
  <c r="P43" i="2"/>
  <c r="Q43" i="2" s="1"/>
  <c r="N43" i="2"/>
  <c r="N124" i="2"/>
  <c r="P124" i="2"/>
  <c r="Q124" i="2" s="1"/>
  <c r="N3" i="2"/>
  <c r="P3" i="2"/>
  <c r="Q3" i="2" s="1"/>
  <c r="N75" i="2"/>
  <c r="P75" i="2"/>
  <c r="Q75" i="2" s="1"/>
  <c r="P73" i="2"/>
  <c r="Q73" i="2" s="1"/>
  <c r="N73" i="2"/>
  <c r="P142" i="2"/>
  <c r="Q142" i="2" s="1"/>
  <c r="N142" i="2"/>
  <c r="P108" i="2"/>
  <c r="Q108" i="2" s="1"/>
  <c r="N108" i="2"/>
  <c r="N24" i="2"/>
  <c r="P24" i="2"/>
  <c r="Q24" i="2" s="1"/>
  <c r="P42" i="2"/>
  <c r="Q42" i="2" s="1"/>
  <c r="N42" i="2"/>
  <c r="P23" i="2"/>
  <c r="Q23" i="2" s="1"/>
  <c r="N23" i="2"/>
  <c r="P114" i="2"/>
  <c r="Q114" i="2" s="1"/>
  <c r="N114" i="2"/>
  <c r="N55" i="2"/>
  <c r="P55" i="2"/>
  <c r="Q55" i="2" s="1"/>
  <c r="N147" i="2"/>
  <c r="P147" i="2"/>
  <c r="Q147" i="2" s="1"/>
  <c r="P98" i="2"/>
  <c r="Q98" i="2" s="1"/>
  <c r="N98" i="2"/>
  <c r="N34" i="2"/>
  <c r="P34" i="2"/>
  <c r="Q34" i="2" s="1"/>
  <c r="N95" i="2"/>
  <c r="P95" i="2"/>
  <c r="Q95" i="2" s="1"/>
  <c r="N16" i="2"/>
  <c r="P16" i="2"/>
  <c r="Q16" i="2" s="1"/>
  <c r="N49" i="2"/>
  <c r="P49" i="2"/>
  <c r="Q49" i="2" s="1"/>
  <c r="P48" i="2"/>
  <c r="Q48" i="2" s="1"/>
  <c r="N48" i="2"/>
  <c r="P14" i="2"/>
  <c r="Q14" i="2" s="1"/>
  <c r="N14" i="2"/>
  <c r="Q159" i="2" l="1"/>
  <c r="N159" i="2"/>
</calcChain>
</file>

<file path=xl/sharedStrings.xml><?xml version="1.0" encoding="utf-8"?>
<sst xmlns="http://schemas.openxmlformats.org/spreadsheetml/2006/main" count="1854" uniqueCount="680">
  <si>
    <t>N</t>
  </si>
  <si>
    <t>Заявка</t>
  </si>
  <si>
    <t>Номенклатура</t>
  </si>
  <si>
    <t>ТЭГ номер</t>
  </si>
  <si>
    <t>Техническое описание</t>
  </si>
  <si>
    <t>Ед. изм.</t>
  </si>
  <si>
    <t>Кол-во по заявке</t>
  </si>
  <si>
    <t>Приложения</t>
  </si>
  <si>
    <t>Заявка EWSP-PR-APCS-MOF3V-0005 от 01.12.2023 11:46:54</t>
  </si>
  <si>
    <t>C13 - C14 Кабель питания</t>
  </si>
  <si>
    <t>шт</t>
  </si>
  <si>
    <t>220B, 16А, 3 м - PC-C14-C13-10A-3</t>
  </si>
  <si>
    <t>Заявка EWSP-PR-APCS-0001 от 11.10.2023 12:04:00</t>
  </si>
  <si>
    <t>DIN-рейка 35х1400ММ</t>
  </si>
  <si>
    <t>оцинкованная, ширина - 35 мм, длина 120/140 см</t>
  </si>
  <si>
    <t>Mouse.USB</t>
  </si>
  <si>
    <t>Манипулятор Logitech Mouse M105 (RTL) USB</t>
  </si>
  <si>
    <t>ODF оптический на 24 порта</t>
  </si>
  <si>
    <t>Кросс оптический настенный (ШКОН), до 24 LC портов, SM. В составе: розетка LC -24 ШТ, ложемент КДЗС-</t>
  </si>
  <si>
    <t>Кросс оптический настенный (ШКОН), до 24 LC портов, SM. В составе: розетка LC -24 ШТ, ложемент КДЗС-24шт, пигтейл 9/125 - 24 шт, планка адаптерная для SNR-ODF R-серии (SC/LC Duplex) SNR-ODF-24WE</t>
  </si>
  <si>
    <t>WDU 2.5 клеммник 2,5mm</t>
  </si>
  <si>
    <t>2 контакта, красная Weidmuller/Sipun 1020040000</t>
  </si>
  <si>
    <t>Авт. выкл. IC60H 2 П2А С</t>
  </si>
  <si>
    <t>iC60N C 2A 2P Атрион/Chint/EKF (VA4729-2-02C/179659 mcb4763-2-02C-pro)</t>
  </si>
  <si>
    <t>Авт. выкл. IC60H2 П4А С</t>
  </si>
  <si>
    <t>iC60N C 4A 2P Атрион/Chint/EKF (VA4729-2-04C/179664 mcb4763-2-04C-pro)</t>
  </si>
  <si>
    <t>АВТ.ВЫКЛ. iC60N ЗП 40А С</t>
  </si>
  <si>
    <t>Атрион/Chint/EKF VA4729-3-40C/179707 mcb4729-3-40C</t>
  </si>
  <si>
    <t>Автоматический выключатель 16А</t>
  </si>
  <si>
    <t>iC60N C 16A 2P Атрион/Chint/EKF (VA4729-2-16C/179658 mcb4729-2-16C)</t>
  </si>
  <si>
    <t>АВТОМАТИЧЕСКИЙ ВЫКЛЮЧАТЕЛЬ IC60N 1П 2A C (EE-282 / 68 OF 71)</t>
  </si>
  <si>
    <t>Атрион/Chint/EKF (VA4729-1-02C/179617 mcb4763-1-02C-pro)</t>
  </si>
  <si>
    <t>АВТОМАТИЧЕСКИЙ ВЫКЛЮЧАТЕЛЬ IC60N 1П 4A C (EE-282 / 71 OF 71)</t>
  </si>
  <si>
    <t>Атрион/Chint/EKF (VA4729-1-04C/179622 mcb4763-1-04C-pro)</t>
  </si>
  <si>
    <t>Автоматический выключатель iС60N 3n 6А  х-ка С</t>
  </si>
  <si>
    <t>Атрион/Chint/EKF (VA4729-3-06C/179709 mcb4729-3-06C)</t>
  </si>
  <si>
    <t>Schneider Electric 3n 6А  A9F79306</t>
  </si>
  <si>
    <t>Адаптер KVM KA7169</t>
  </si>
  <si>
    <t>Кабель-адаптер для подключения KVM-переключателя к DisplayPort и USB-портам компьютера</t>
  </si>
  <si>
    <t>Барьер искрозащиты одноканальный КА5011Ex</t>
  </si>
  <si>
    <t>Искробезопасный барьер КА5011Ex-01-МО, HART - Contravt</t>
  </si>
  <si>
    <t>Блок питания 1105810000 180ВТ</t>
  </si>
  <si>
    <t>PRO MAX 180W 24V 7,5A Weidmuller 1105810000</t>
  </si>
  <si>
    <t>Блок питания 1478140000 480ВТ</t>
  </si>
  <si>
    <t>PRO MAX 480W 24V 20A Weidmuller 1478140000</t>
  </si>
  <si>
    <t>PRO MAX 24V 20A Weidmuller 1478140000</t>
  </si>
  <si>
    <t>Блок питания 24В 5А</t>
  </si>
  <si>
    <t>PRO MAX 120W 24V 5A, регулируемый Weidmuller 1478110000</t>
  </si>
  <si>
    <t>Блок питания Pro Max 24В 180ВТ 1478120000</t>
  </si>
  <si>
    <t>1478120000</t>
  </si>
  <si>
    <t>7,5A</t>
  </si>
  <si>
    <t>Блок питания импульсный PRO MAX 24В 480ВТ Wiedmueller 1478140000</t>
  </si>
  <si>
    <t>1478140000</t>
  </si>
  <si>
    <t>20A</t>
  </si>
  <si>
    <t>Блок распределительный 4П 125A</t>
  </si>
  <si>
    <t>Блок распределения многополюсный 4 полюса, 125А 3/50кв.мм, 11/25кв.мм BD125114 DKC</t>
  </si>
  <si>
    <t>Блок розеток SNR-PDU-09S-1 250В 16А 9 гнезд</t>
  </si>
  <si>
    <t>9 гнезд Schuko, шнур питания 2 м с вилкой Schuko</t>
  </si>
  <si>
    <t>Блок розеток элетрических 8</t>
  </si>
  <si>
    <t>19" 1U на 8 гнезд, тип ввода: клеммы Hyperline SHE19-8SH-S-CB</t>
  </si>
  <si>
    <t>Ввод кабельный PG21</t>
  </si>
  <si>
    <t>(Dk=13-18 мм), zeta30152</t>
  </si>
  <si>
    <t>Вентилятор R5RV12230 55М.КУБ/ЧАС</t>
  </si>
  <si>
    <t>R5RV12230 /  7F.50.8.230.3100 DKC /  Finder</t>
  </si>
  <si>
    <t>Выключатель автоматический iC60N C 10A 2P A9F79210</t>
  </si>
  <si>
    <t>Атрион/Chint/EKF (VA4729-2-10C/179656 mcb4729-2-10C)</t>
  </si>
  <si>
    <t>ВЫКЛЮЧАТЕЛЬ АВТОМАТИЧЕСКИЙ IС60N 6A 2P КАТ. C / AUTOMATIC CIRCUIT BREAKER IС60N 6A 2P CAT. C (A9F79206) (EE-371 / 7 OF 7)</t>
  </si>
  <si>
    <t>Атрион/Chint/EKF (VA4729-2-06C/179667 mcb4729-2-06C)</t>
  </si>
  <si>
    <t>Выключатель концевой R5MC01</t>
  </si>
  <si>
    <t>R5MC01/ADSW01/MTB4-LZ8111 DKC/ Nvent Hoffman/ Овен</t>
  </si>
  <si>
    <t>R5MC01</t>
  </si>
  <si>
    <t>Заглушка EZ9XPE310 10ШТ 2659000000</t>
  </si>
  <si>
    <t>Заглушки боковые для 3П гребенчатых шинок, 10 шт</t>
  </si>
  <si>
    <t>2659000000</t>
  </si>
  <si>
    <t>комп</t>
  </si>
  <si>
    <t>Заглушка боковая гребенчатой шины 10ШТ 2658970000</t>
  </si>
  <si>
    <t>Заглушки боковые для 1П гребенч шин Schnieder Electric/Wiedmueller (EZ9XPE110/2658970000)</t>
  </si>
  <si>
    <t>2658970000</t>
  </si>
  <si>
    <t>для 1П гребенч шин Schnieder Electric/Wiedmueller (EZ9XPE110/2658970000)</t>
  </si>
  <si>
    <t>Заглушка боковая гребенчатой шины 10ШТ 2658980000</t>
  </si>
  <si>
    <t>Заглушки боковые для 2П гребенч шин Schnieder Electric/Wiedmueller (EZ9XPE210/2658980000)</t>
  </si>
  <si>
    <t>2658980000</t>
  </si>
  <si>
    <t>для 2П гребенч шин Schnieder Electric/Wiedmueller (EZ9XPE210/2658980000)</t>
  </si>
  <si>
    <t>Измеритель-регулятор ТРМ1-Д.У2.Р</t>
  </si>
  <si>
    <t>ТРМ1 одноканальный измеритель-регулятор, преобразователь Pt100 в релейный выход</t>
  </si>
  <si>
    <t>Источник бесперебойного питания (ИБП) 1200ВТ</t>
  </si>
  <si>
    <t>ИБП (источник бесперебойного питания) для АРМ, мощность 1200ВА с 3-мя розетками на выходе.</t>
  </si>
  <si>
    <t>Источник бесперебойного питания (ИБП) 240В 1800ВТ Eaton 9SX 2000i 9SX2000I</t>
  </si>
  <si>
    <t>Источник бесперебойного питания Eaton 9SX 2000i, 2000 ВА/ Kehua KR3000+. Класс On-line, Tower, dry c</t>
  </si>
  <si>
    <t>9SX2000IR</t>
  </si>
  <si>
    <t>Источник бесперебойного питания Eaton 9SX 2000i, 2000 ВА/ Kehua KR3000+. Класс On-line, Tower, dry contact/Кабель питания входной IEC-C20 (3 м), выходной С13 - 3 м (3 шт) Eaton/Kehua (9SX2000I/KR3000+)</t>
  </si>
  <si>
    <t>Источник бесперебойного питания (ИБП) 240В 2700ВТ Eaton 9SX3000I</t>
  </si>
  <si>
    <t>Eaton 9SX 3000i/ Kehua KR3000+ (в комплекте зарядное устройства модулного типа). Класс On-line, Towe</t>
  </si>
  <si>
    <t>9SX3000I</t>
  </si>
  <si>
    <t>Eaton 9SX 3000i/ Kehua KR3000+ (в комплекте зарядное устройства модулного типа). Класс On-line, Tower, dry contact класса On-line/Кабель питания входной IEC-C20 (3 м), выходной С13 - 3 м (3 шт) Eaton/Kehua (9SX3000I/KR3000+)</t>
  </si>
  <si>
    <t>Источник бесперебойного питания (ИБП) 9SX 2000i Rack2U 200В 1800ВТ Eaton 9SX2000IR</t>
  </si>
  <si>
    <t>в стойку 19" Eaton 9SX 2000iR/ Kehua KR-2000-RM. Класс On-line, 2000</t>
  </si>
  <si>
    <t>в стойку 19" Eaton 9SX 2000iR/ Kehua KR-2000-RM. Класс On-line, 2000 ВА класса On-line dry contact/Кабель питания входной IEC-C20 (2 м), выходной С13 - 1 м (3 шт) Eaton/Kehua (9SX2000IR/KR2000-RM)</t>
  </si>
  <si>
    <t>Источник ИБП 24/12.0</t>
  </si>
  <si>
    <t>Источник бесперебойного питания ИБП 916  в комплекте с батареей 24В/12А (возможно отдельно акк.батар</t>
  </si>
  <si>
    <t>m037-012-0006</t>
  </si>
  <si>
    <t>Источник бесперебойного питания ИБП 916  в комплекте с батареей 24В/12А (возможно отдельно акк.батареи 12х7 - 2 шт) ИБП 916/-/-/24В/5А/t2060/ ША/12/-/НКГЖ.436537.001ТУ/ CBI245ATB/ Элемер/ Adelsystem (CSB)</t>
  </si>
  <si>
    <t>Кабель питания (красный)	ПуГВ 1х1,5</t>
  </si>
  <si>
    <t>м</t>
  </si>
  <si>
    <t>Кабель питания (черный)	ПуГВ 1х1,5</t>
  </si>
  <si>
    <t>Кабель питания PC-C20-C19-16A-1.5 1.5М</t>
  </si>
  <si>
    <t>C20/C19, 220B, 16А, 1.5м Cablexpert PC-C20-C19-16A-1.5</t>
  </si>
  <si>
    <t>C20/C19, 220B,  Cablexpert PC-C20-C19-16A-1.5</t>
  </si>
  <si>
    <t>Кабель питания PC-SH-C13-10A-3 3М</t>
  </si>
  <si>
    <t>Schuko/C13, 220 B, 10 А, 3.0 м Cablexpert PC-SH-C13-10A-3.0</t>
  </si>
  <si>
    <t>Schuko/C13, 220 B,  Cablexpert PC-SH-C13-10A-3.0</t>
  </si>
  <si>
    <t>Кабельный ввод PG 13.5 6-12ММ zeta30147</t>
  </si>
  <si>
    <t>(Dk=6-12 мм), zeta30147</t>
  </si>
  <si>
    <t>Кабельный ввод PG 9 4-8ММ zeta30142</t>
  </si>
  <si>
    <t>zeta30142</t>
  </si>
  <si>
    <t>(Dk=4-8 мм), zeta30142</t>
  </si>
  <si>
    <t>Кабельный ввод PG36 25-33ММ zeta30158</t>
  </si>
  <si>
    <t>zeta30158</t>
  </si>
  <si>
    <t>(Dk=25-33 мм), zeta30158</t>
  </si>
  <si>
    <t>Кабельный органайзер 19" 1U</t>
  </si>
  <si>
    <t>(монтаж в 19" шкаф) PXT-H-ORG-1</t>
  </si>
  <si>
    <t>Кабельный сальник PG-42</t>
  </si>
  <si>
    <t>(Dk=32-38 мм), zeta30160</t>
  </si>
  <si>
    <t>Клавиатура USB</t>
  </si>
  <si>
    <t>Клемма винтовая WDU 2.5 2.5КВ.ММ 100ШТ темно-бежевая Weidmuller 1020000000</t>
  </si>
  <si>
    <t>2 контакта, в комплекте 100 шт. Weidmuller/Sipun/Овен 1020000000/ SEK - 2.5</t>
  </si>
  <si>
    <t>2 контакта  1020000000</t>
  </si>
  <si>
    <t>Клемма винтовая WDU 2.5 BL 2.5КВ.ММ 100ШТ синяя Weidmuller 1020080000</t>
  </si>
  <si>
    <t>2 контакта, в комплекте 1 шт. Weidmuller/Sipun</t>
  </si>
  <si>
    <t>2 контакта  1020080000</t>
  </si>
  <si>
    <t>Клемма проходная WDU 4 4ММ.КВ 1020120000 100ШТ</t>
  </si>
  <si>
    <t>Клемма винтовая WDU 4.0 , 2 контакта, жёлтый (100 шт) Weidmuller/Sipun 1020120000</t>
  </si>
  <si>
    <t>1020120000</t>
  </si>
  <si>
    <t>Клемма проходная WDU 4 4ММ.КВ 1020180000 100ШТ</t>
  </si>
  <si>
    <t>Клемма винтовая WDU 4.0 , 2 контакта, синий (100 шт) Weidmuller/Sipun 1020180000</t>
  </si>
  <si>
    <t>1020100000</t>
  </si>
  <si>
    <t>Клеммы наборные WPE 2.5 1010000000</t>
  </si>
  <si>
    <t>2.5 mm², 300 A (2,5 мм²), зеленый/желтый Weidmuller/Sipun</t>
  </si>
  <si>
    <t>Кнопка XB7NS8445 22ММ красная</t>
  </si>
  <si>
    <t>Кнопка аварийного останова, 1NO/1NC Harmony XB7, пластик, красный гриб 40мм, 22мм (XB7NS8445  /  MTB</t>
  </si>
  <si>
    <t>Кнопка аварийного останова, 1NO/1NC Harmony XB7, пластик, красный гриб 40мм, 22мм (XB7NS8445  /  MTB2-ES54 (MTB2-BE11/12))</t>
  </si>
  <si>
    <t>Колонка CK4/G101 3ВТ</t>
  </si>
  <si>
    <t>Мини USB cтереоколонки со шнуром соединения с ПК Мощность 3Вт, чёрный</t>
  </si>
  <si>
    <t>Коммутатор модульный Moxa IKS-6726A-2GTXSFP-HV-T</t>
  </si>
  <si>
    <t>Шасси модульного управляемого коммутатора до 28 портов, крепёж в стойку 19", 220VAC (2779010000   /</t>
  </si>
  <si>
    <t>8 портов 10/100BaseT(X), 2 комбо-порта 10/100/1000BaseT(X) (RJ45 + SFP), 2 слота для модулей Fast Ethernet, 1 изолированный источник питания (85-264 VAC), -40...+75C  IKS-6726A-2GTXSFP-HV-T</t>
  </si>
  <si>
    <t>Шасси модульного управляемого коммутатора до 28 портов, крепёж в стойку 19", 220VAC (2779010000   /  IKS-6726A-2GTXSFP-HV-T  /  SEWM2G28SKT)</t>
  </si>
  <si>
    <t>Коммутатор управляемый 8 портов</t>
  </si>
  <si>
    <t>8 x 10/100BaseTX, 2 x комбопорт (100/1000SFP), 220VAC, резервирование в сети: O-Ring - Wiedmueller (2740420000)</t>
  </si>
  <si>
    <t>8 x 10/100BaseTX, 2 x комбопорт (100/1000SFP), 220VAC, резервирование в сети: O-Ring Wiedmueller/Mox</t>
  </si>
  <si>
    <t>8 x 10/100BaseTX, 2 x комбопорт (100/1000SFP), 220VAC, резервирование в сети: O-Ring Wiedmueller/Moxa/Symanitron (2740420000/EDS-508A-SS-SC/SWM-80)</t>
  </si>
  <si>
    <t>Комплект гребенчатой шины A9XPCM04 2659060000</t>
  </si>
  <si>
    <t>Комплект из 4 соединителей для гребенчатой шинки</t>
  </si>
  <si>
    <t>2659060000</t>
  </si>
  <si>
    <t>Комплект заземления  в шкаф</t>
  </si>
  <si>
    <t>в комплекте(шина, изоляторы, винты) 397532 Hyperline</t>
  </si>
  <si>
    <t>Комплект табличек MTB2-F07 "Emergency Stop" 60ММ 2ШТ</t>
  </si>
  <si>
    <t>Коннектор RJ45</t>
  </si>
  <si>
    <t>с цветными колпачками</t>
  </si>
  <si>
    <t>Консоль AF643A HP TFT 8500 1U в комплекте клавиатура, тач-пад</t>
  </si>
  <si>
    <t>монитор ж/к 18.5", с клавиатурой и тач-падом, кабели питания, видео, USB в комплекте</t>
  </si>
  <si>
    <t>Консоль с переключателем KL1508AiN</t>
  </si>
  <si>
    <t>8 портовый IP KVM Переключатель с 19" KVM Консолью, выходы RJ-45 Cat5   ATEN   KL1508AiN</t>
  </si>
  <si>
    <t>Контактор КМИ-11810 18А 230В</t>
  </si>
  <si>
    <t>3 ПОЛ., 16А/25А, 1НО, Uном УПРАВЛЕНИЯ 230В АС, 50/60 ГЦ, ТИПОРАЗМЕР S00, ВИНТОВЫЕ КЛЕММЫ Атрион/Chin</t>
  </si>
  <si>
    <t>3 ПОЛ., 16А/25А, 1НО, Uном УПРАВЛЕНИЯ 230В АС, 50/60 ГЦ, ТИПОРАЗМЕР S00, ВИНТОВЫЕ КЛЕММЫ Атрион/Chint KMI-11810-AC220 / 256089</t>
  </si>
  <si>
    <t>Контроль нагрузки AMG ELM-4F 24В 4А 2080490000</t>
  </si>
  <si>
    <t>2080490000</t>
  </si>
  <si>
    <t>Короб 60х80</t>
  </si>
  <si>
    <t>Короб перфорированный 60*80  (2 метровые)</t>
  </si>
  <si>
    <t>Короб перфорированный 40х60ММ</t>
  </si>
  <si>
    <t>Короб перфорированный 40х60 (или 25*60)</t>
  </si>
  <si>
    <t>Короб перфорированный 80х100ММ</t>
  </si>
  <si>
    <t>Короб перфорированный 80*100  (2 метровые)</t>
  </si>
  <si>
    <t>Кресло для оператора</t>
  </si>
  <si>
    <t>офисное</t>
  </si>
  <si>
    <t>Кросс оптический LC SNR-ODF-24WE 24 портов</t>
  </si>
  <si>
    <t>(ШКОН), до 24 LC портов, SM. В составе: розетка LC -24 ШТ, ложемент КДЗС-24шт, пигтейл 9/125 - 24 шт, планка адаптерная для SNR-ODF R-серии (SC/LC Duplex)</t>
  </si>
  <si>
    <t>Кросс оптический настенный</t>
  </si>
  <si>
    <t>Кросс оптический настенный (ШКОН), до 48 LC портов, SM. В составе: розетка LC -48 ШТ, ложемент КДЗС-</t>
  </si>
  <si>
    <t>Кросс оптический настенный (ШКОН), до 48 LC портов, SM. В составе: розетка LC -48 ШТ, ложемент КДЗС-48шт, пигтейл 9/125 - 48 шт, планка адаптерная для SNR-ODF R-серии (SC/LC Duplex) SNR-ODF-48WE</t>
  </si>
  <si>
    <t>Кросс оптический настенный ШКОН 16 портов</t>
  </si>
  <si>
    <t>Кросс оптический настенный (ШКОН), до 16 LC портов, SM. В составе: розетка LC -16 ШТ, ложемент КДЗС-</t>
  </si>
  <si>
    <t>Кросс оптический настенный (ШКОН), до 16 LC портов, SM. В составе: розетка LC -16 ШТ, ложемент КДЗС-16шт, пигтейл 9/125 - 16 шт, планка адаптерная для SNR-ODF R-серии (SC/LC Duplex) SNR-ODF-16WE</t>
  </si>
  <si>
    <t>Кросс оптический настенный ШКОН 8 портов</t>
  </si>
  <si>
    <t>Кросс оптический настенный (ШКОН), до 8 LC портов, SM. В составе: розетка LC -8 ШТ, ложемент КДЗС-8ш</t>
  </si>
  <si>
    <t>Кросс оптический настенный (ШКОН), до 8 LC портов, SM. В составе: розетка LC -8 ШТ, ложемент КДЗС-8шт, пигтейл 9/125 - 8 шт, планка адаптерная для SNR-ODF R-серии (SC/LC Duplex) SNR-ODF-08WE</t>
  </si>
  <si>
    <t>Лампа сигнальная</t>
  </si>
  <si>
    <t>Harmony XB5, серый пластик, красный, 22 мм, 230В Schnieder Electric/Овен (XB5EVM4/MT22-S64)</t>
  </si>
  <si>
    <t>Маркировка клеммы DEK 5/5 MM WS 5х5ММ 2007110000</t>
  </si>
  <si>
    <t>белый, комплект 800шт</t>
  </si>
  <si>
    <t>2007110000</t>
  </si>
  <si>
    <t>Маркировка клеммы DEK 5/6 MM WS 5х6ММ 2007120000</t>
  </si>
  <si>
    <t>в комплекте 600 шт.</t>
  </si>
  <si>
    <t>2007120000</t>
  </si>
  <si>
    <t>Маркировка клеммы EM 8/30 32.4х7.2ММ 50ШТ Weidmueller 1806120000</t>
  </si>
  <si>
    <t>в комплекте 50 шт.</t>
  </si>
  <si>
    <t>1806120000</t>
  </si>
  <si>
    <t>Медиаконвертер оптический IE-MC-VL-1TX-1SCS 1241420000</t>
  </si>
  <si>
    <t>Промышленный 2-портовый неуправляемый медиаконвертер Fast Ethernet, 1xRJ45, 1xSC разъём, до 40 км (S</t>
  </si>
  <si>
    <t>1241420000</t>
  </si>
  <si>
    <t>Промышленный 2-портовый неуправляемый медиаконвертер Fast Ethernet, 1xRJ45, 1xSC разъём, до 40 км (SM) Wiedmueller/3onedata/Symanitron (1241420000/IMC101B-F(SSC)/MC-11F-SM-SC)</t>
  </si>
  <si>
    <t>Медиаконвертер оптический IMC101B-F(SSC)</t>
  </si>
  <si>
    <t>Промышленный 2-портовый неуправляемый медиаконвертер Fast Ethernet, SC разъём, до 120 км (SM) 3oneda</t>
  </si>
  <si>
    <t>Промышленный 2-портовый неуправляемый медиаконвертер Fast Ethernet, SC разъём, до 120 км (SM) 3onedata IMC101B-F(SSC)</t>
  </si>
  <si>
    <t>Модуль IE-SFP-1FE-SM-30 2682460000</t>
  </si>
  <si>
    <t>100 Мb/s, 30/40 km, SC/LC разъём, SM</t>
  </si>
  <si>
    <t>2682460000</t>
  </si>
  <si>
    <t>100 Мb/s, 30/40 km, SC/LC разъём, SM Wiedmueller/Moxa/Symanitron ( 2682460000 / SFP-1FESLC-T / SFP100-SM40-I-DDM)</t>
  </si>
  <si>
    <t>Модуль IE-SFP-1GE-SM-10 2682500000</t>
  </si>
  <si>
    <t>100 Мb/s, 10 km, SC/LC разъём, SM Wiedmueller/Moxa/Symanitron (2682500000/SFP-1FESLC-T/SFP100-SM40)</t>
  </si>
  <si>
    <t>2682500000</t>
  </si>
  <si>
    <t>Модуль SFP LC Duplex 10КМ</t>
  </si>
  <si>
    <t>трансивер, 100 Мb/s, SM - Wiedmueller (2682500000)</t>
  </si>
  <si>
    <t>Модуль батарейный 9SX EBM 72V Rack2U Eaton 9SXEBM72R</t>
  </si>
  <si>
    <t>Eaton/Kehua (9SXEBM72R/B2U-72-02-2B)</t>
  </si>
  <si>
    <t>9SXEBM72R</t>
  </si>
  <si>
    <t>Внешние батарейные модули стоечного исполнения 2U, Eaton/Kehua (9SXEBM72R/B2U-72-02-2B)</t>
  </si>
  <si>
    <t>Модуль интерфейсный IM-6700A-2MST4TX</t>
  </si>
  <si>
    <t>Интерфейсный модуль 8 х 100/1000BaseTX (RJ-45) (2779140000  /  IM-6700A-2MST4TX  /  4TX)</t>
  </si>
  <si>
    <t>Модуль интерфейсный IM-6700A-2SSC4TX</t>
  </si>
  <si>
    <t>Интерфейсный модуль 2/4 х 100BaseFX (одномодовое волокно, SC, до 30/40 км), 4 х 10/100BaseTX (RJ-45)</t>
  </si>
  <si>
    <t>Интерфейсный модуль 2/4 х 100BaseFX (одномодовое волокно, SC, до 30/40 км), 4 х 10/100BaseTX (RJ-45) (2779160000  /  IM-6700A-2SSC4TX  /  4SCS40)</t>
  </si>
  <si>
    <t>Модуль питания AMG FIM-0 24В 2081870000</t>
  </si>
  <si>
    <t>2081870000</t>
  </si>
  <si>
    <t>Модуль/Converter Modbus TCP to RS485</t>
  </si>
  <si>
    <t>2- портовый преобразователь Modbus RTU (RS-485) в Modbus TCP 3onedata (GW1102)</t>
  </si>
  <si>
    <t>Монитор</t>
  </si>
  <si>
    <t>(27", HDMIx1, Displayportx1, 1920x1080 (16:9) с кабелем питания Shcuko/C13, с кабелем HDMI и Display</t>
  </si>
  <si>
    <t>(27", HDMIx1, Displayportx1, 1920x1080 (16:9) с кабелем питания Shcuko/C13, с кабелем HDMI и Displayport - 3м)</t>
  </si>
  <si>
    <t>Заявка EWSP-PR-APCS-MOF3V-0006 от 01.12.2023 11:56:30</t>
  </si>
  <si>
    <t>Монитор HP 27FW</t>
  </si>
  <si>
    <t>(27 дюйма), FHD (1920х1080) (в компл. кабель питания и кабель HDMI/DP - 2 шт)</t>
  </si>
  <si>
    <t>Монитор HP P32u G5 QHD USB-C 32"</t>
  </si>
  <si>
    <t>ЖК-Монитора (32 дюйма)   P32u G5 USB-C QHD Monitor, VESA 100x100. (в компл. кабель питания IECSchuko/С13 и кабель HDMI/DP - 2 шт)</t>
  </si>
  <si>
    <t>Монтажный комплект 2602200000</t>
  </si>
  <si>
    <t>2602200000</t>
  </si>
  <si>
    <t>Монтажный комплект P BAG XL SET 10 - Wiedmueller (2602200000)</t>
  </si>
  <si>
    <t>Набор кабелей 10A FR/DIN 68439</t>
  </si>
  <si>
    <t>Набор кабелей  Eaton 10A FR/DIN (Schuko/C19, C19/C14, C20/C13), 1.5м, 3 шт.</t>
  </si>
  <si>
    <t>68439</t>
  </si>
  <si>
    <t>Наконечник  НШВИ 4-9 (уп. 100шт)</t>
  </si>
  <si>
    <t>Наконечник штыревой НШВИ 1ММ 8КВ.ММ 1000ШТ</t>
  </si>
  <si>
    <t>НШвИ 1,0-8</t>
  </si>
  <si>
    <t>Наконечник штыревой НШВИ 8ММ 1.5КВ.ММ 1000ШТ</t>
  </si>
  <si>
    <t>красный</t>
  </si>
  <si>
    <t>уп</t>
  </si>
  <si>
    <t>чёрный</t>
  </si>
  <si>
    <t>Наконечник штыревой НШВИ-2 8ММ 1КВ.ММ 1000ШТ</t>
  </si>
  <si>
    <t>белый НШВИ (2) 1,0-8</t>
  </si>
  <si>
    <t>Наконечник штыревой НШВИ(2) 1.5-8 1.5КВ.ММ 100ШТ красный</t>
  </si>
  <si>
    <t>двойной</t>
  </si>
  <si>
    <t>Наконечник штыревой НШВИ(2) 1.5-8 1.5КВ.ММ 100ШТ черный</t>
  </si>
  <si>
    <t>НШВИ 2,5-8 Наконечник</t>
  </si>
  <si>
    <t>Ограничитель перенапряжений ОПС1-С-1P 230В</t>
  </si>
  <si>
    <t>Патч-корд LC-LC 10M</t>
  </si>
  <si>
    <t>Оптический патчкорд simplex LC-LC 9/125, (SM) 10М</t>
  </si>
  <si>
    <t>9/125, (SM)</t>
  </si>
  <si>
    <t>Патч-корд волоконно-оптический (шнур) 10м FC-9-LC-SC-UPC-10M</t>
  </si>
  <si>
    <t>Оптический патчкорд simplex LC-SC 9/125, (SM) 10М</t>
  </si>
  <si>
    <t>Патч-корд оптический LC/UPC-SC/UPC SM Duplex 3М</t>
  </si>
  <si>
    <t>LC-SC 9/125</t>
  </si>
  <si>
    <t>Патчкорд LAN RJ45 cat 5e 1000ММ</t>
  </si>
  <si>
    <t>серый, F/UTP, cat.5e, экранированный, 1м, PC-STP-RJ45-Cat5e-1m</t>
  </si>
  <si>
    <t>Патчкорд LAN RJ45 cat 5e 3000ММ</t>
  </si>
  <si>
    <t>серый, F/UTP, cat.5e, экранированный, 3м, PC-STP-RJ45-Cat5e-3m</t>
  </si>
  <si>
    <t>Патчкорд оптический LC/UPC-LC/UPC SM Duplex 3М</t>
  </si>
  <si>
    <t>9/125</t>
  </si>
  <si>
    <t>Патчкорд оптический LC/UPC-SC/UPC SM G657A2 9/125 2MM 30M</t>
  </si>
  <si>
    <t>Переключатель KVM 2 порта CS62U</t>
  </si>
  <si>
    <t>кабельный 2-портовый, USB, VGA, аудио, 1.8 м - ATEN</t>
  </si>
  <si>
    <t>Переключатель резерва EATS16 16А</t>
  </si>
  <si>
    <t>Eaton-Автоматический переключатель резерва EATS16, 16A, в комплекте 2 кабеля IEC C19/С20, EATS16</t>
  </si>
  <si>
    <t>Перемычка ZQV 4N/10 BL 32 синяя 20ШТ Wiedmueller 1528230000</t>
  </si>
  <si>
    <t>в комплекте 20шт.</t>
  </si>
  <si>
    <t>1528230000</t>
  </si>
  <si>
    <t>Перемычка разъемная ZQV 2.5N/50 5ШТ 1527730000</t>
  </si>
  <si>
    <t>оранжевая, 50-ти полюсная, в комплекте 5шт.</t>
  </si>
  <si>
    <t>1527730000</t>
  </si>
  <si>
    <t>Перемычка разъемная ZQV 2.5N/50 BL 5ШТ 1527920000</t>
  </si>
  <si>
    <t>синяя, 50-ти полюсная, в комплекте 5шт.</t>
  </si>
  <si>
    <t>1527920000</t>
  </si>
  <si>
    <t>Перемычка разъемная ZQV 2.5N/50 RD 5ШТ 2109000000</t>
  </si>
  <si>
    <t>красная, 50-ти полюсная, в комплекте 5шт.</t>
  </si>
  <si>
    <t>2109000000</t>
  </si>
  <si>
    <t>Перемычка разъемная ZQV 4N/10 RD 20ШТ 2460740000</t>
  </si>
  <si>
    <t>красная, 10-ти полюсная, в комплекте 20шт.</t>
  </si>
  <si>
    <t>2460740000</t>
  </si>
  <si>
    <t>Пластина концевая WAP2.5-10 1050000000</t>
  </si>
  <si>
    <t>Weidmuller</t>
  </si>
  <si>
    <t>Пластина концевая ZAP ZDU4-2 50ШТ Wiedmueller 1770400000</t>
  </si>
  <si>
    <t>в комплекте 50 шт.</t>
  </si>
  <si>
    <t>1770400000</t>
  </si>
  <si>
    <t>Площадка самоклеющаяся 25х25ММ Prime</t>
  </si>
  <si>
    <t>TM-25</t>
  </si>
  <si>
    <t>Преобразователь интерфейсов 6002215</t>
  </si>
  <si>
    <t>1-портовый преобразователь USB в RS-232/422/485 Moxa/Контравт (6002215/I-7561)</t>
  </si>
  <si>
    <t>6002215</t>
  </si>
  <si>
    <t>1-портовый преобразователь USB в RS-232/422/485 Moxa/Контравт (6002215 / I-7561)</t>
  </si>
  <si>
    <t>ПРЕОБРАЗОВАТЕЛЬ ИНТЕРФЕЙСОВ RS-232 В RS-422/485
С ИЗОЛЯЦИЕЙ 2 КВ, РАЗЪЕМ DB9</t>
  </si>
  <si>
    <t>Адаптер вилка DB9 (папа) для RS485 винтовое соединение</t>
  </si>
  <si>
    <t>MOXA A53/220VAC DB9  RS-232 В RS-422/485, С ИЗОЛЯЦИЕЙ 2 КВ, РАЗЪЕМ DB9</t>
  </si>
  <si>
    <t>Преобразователь НПСИ-200-ГР2</t>
  </si>
  <si>
    <t>Модуль гальванической развязки 4...20 мА НПСИ-200-ГР2-ОС-24-МО - Contravt</t>
  </si>
  <si>
    <t>Преобразователь сигнала 7760054117</t>
  </si>
  <si>
    <t>7760054117</t>
  </si>
  <si>
    <t>c гальванической развязкой,HART, вход: 2x 4...20 мА, выход: 2x 4...20 мА - Weidmuller (7760054117)</t>
  </si>
  <si>
    <t>Промышленный 16-портовый управляемый коммутатор 10/100 BaseT Ethernet EDS-516A</t>
  </si>
  <si>
    <t>16 x 10/100BaseTX, 2 x комбопорт (100/1000SFP), 220VAC, резервирование в сети: O-Ring Wiedmueller/Mo</t>
  </si>
  <si>
    <t>EDS-516A</t>
  </si>
  <si>
    <t>16 x 10/100BaseTX, 2 x комбопорт (100/1000SFP), 220VAC, резервирование в сети: O-Ring Wiedmueller/Moxa/Symanitron (2682330000/EDS-516A/SWM-160)</t>
  </si>
  <si>
    <t>Разъемная перемычка ZQV 4N/2 BL 1528040000</t>
  </si>
  <si>
    <t>в комплекте 60 шт.</t>
  </si>
  <si>
    <t>1528040000</t>
  </si>
  <si>
    <t>Разъемная перемычка ZQV 4N/2 RD 2460450000</t>
  </si>
  <si>
    <t>2460450000</t>
  </si>
  <si>
    <t>Распределитель потенциала AMG OD 24В 12А 2122910000</t>
  </si>
  <si>
    <t>в комплекте 10 шт.</t>
  </si>
  <si>
    <t>2122910000</t>
  </si>
  <si>
    <t>Реле 38.51.3.240.0060 6А</t>
  </si>
  <si>
    <t>220VAC катушка,1 перекидной контакт 6А, винтовые зажимы 38.51.3.240.0060/ RM151024000/ RNC1CO060+SNC</t>
  </si>
  <si>
    <t>220VAC катушка,1 перекидной контакт 6А, винтовые зажимы 38.51.3.240.0060/ RM151024000/ RNC1CO060+SNC05-E-D Finder Releon Shenler</t>
  </si>
  <si>
    <t>Реле 38.51.7.024.0050 6А</t>
  </si>
  <si>
    <t>24VDC катушка; 1 перекидной контакт 6А, винтовые зажимы 38.51.7.024.0050/ ORM-41F-3/ RNC1CO024+SNC05</t>
  </si>
  <si>
    <t>24VDC катушка; 1 перекидной контакт 6А, винтовые зажимы 38.51.7.024.0050/ ORM-41F-3/ RNC1CO024+SNC05-E-A/ Finder/ONI Releon Shenler</t>
  </si>
  <si>
    <t>Реле AMG ELM-1F 24В 1А 2080420000</t>
  </si>
  <si>
    <t>2080420000</t>
  </si>
  <si>
    <t>в комплекте 1 шт.</t>
  </si>
  <si>
    <t>Реле RXM2AB2P7PVM 230В 10А</t>
  </si>
  <si>
    <t>Миниатюрное реле в сборе, 10А, 2 CO, с LED, с блокируемой тестовой кнопкой, розетка со смешанными ко</t>
  </si>
  <si>
    <t>Миниатюрное реле в сборе, 10А, 2 CO, с LED, с блокируемой тестовой кнопкой, розетка со смешанными контактами, 230VAC (RXM2AB2P7PVM  /  LBJ27.5X21-22/AC230V+LBJ27.5X21-22E03)</t>
  </si>
  <si>
    <t>Реле интерфейсное RNC1CO024 с колодкой SNC05-E-A</t>
  </si>
  <si>
    <t>Модуль реле, 24VDC катушка; W=6.2mm, 1 перекидной контакт 6А, винтовые зажимы - RNC1CO024+SNC05-E-A</t>
  </si>
  <si>
    <t>Реле с перекидними контактами с катушкой питания 220 в</t>
  </si>
  <si>
    <t>W=6.2mm, 1 перекидной контакт 6А, винтовые зажимы - RNC1CO060+SNC05-E-D</t>
  </si>
  <si>
    <t>Решетка вентиляционная 150х150ММ</t>
  </si>
  <si>
    <t>с фильтром RF 150x150 мм, IP54 R5RF12 / 7F.05.0.000.3000 DKC / Finder</t>
  </si>
  <si>
    <t>Розетка РАр10-3-ОП с заземлением на DIN-рейку ИЭК</t>
  </si>
  <si>
    <t>IEK / Schneider Electric/Овен (MRD10-16/A9A15310/MT-DRS)</t>
  </si>
  <si>
    <t>РАр10-3-ОП</t>
  </si>
  <si>
    <t>Сальник MG20</t>
  </si>
  <si>
    <t>Сальник MG 20 диаметр проводника 10-14мм IP68</t>
  </si>
  <si>
    <t>MG20</t>
  </si>
  <si>
    <t>Сальник ступенчатый 20ММ</t>
  </si>
  <si>
    <t>Сальник ступенчатый 32ММ</t>
  </si>
  <si>
    <t>Светильник 220В</t>
  </si>
  <si>
    <t>Светильник шкафной, 220 V, с кабелем питания DKC / Finder 7L.11.8.230.0005</t>
  </si>
  <si>
    <t>Сервер HP DL380 в составе</t>
  </si>
  <si>
    <t>HP - (P19720-B21)</t>
  </si>
  <si>
    <t>HP DL380</t>
  </si>
  <si>
    <t>HPE ProLiant DL380 Gen10 (2x Intel Xeon Gold 6226 Processor (19.25M Cache, 2.70 GHz) в комп. каб пит IEC Schuko/C13: исп-е 19" (HPE ProLiant Rail Kit 2U, глубина до 600мм); интерфейсы: аудио, 5x RJ-45/Eth, VGA, 1x DVI-D, 2x DisplayPort/826708-B21 Uni-sal Media Kit, PCI Express, 2xPCI,  2xUSB 2.0;2xHPE 881457-B21 2.4TB SAS 12G 10K (RAID 836260-002 P408I-A SR 12G) HDD 2.5 SATA, 32GB DDR4 2666Mhz SDRAM, Win-s Server 2019 St-d Ed-n на 5 клиентов; блок пита2xHPE 800W Flex Slot Platinum Hot Plug Gen10</t>
  </si>
  <si>
    <t>Системный блок в сборе</t>
  </si>
  <si>
    <t>ОЗУ - 32GB</t>
  </si>
  <si>
    <t>Video 11GB GeForce RTX 2080Ti/Mb S1151, iZ390, 4*DDR4 (up tp64Gb), HDMI, 3*PCI-E16x (CrossFire technology support), 3*PCI-E1x, 6SATA III, M.2 (NGFF) (up to 32 Gb/s), 4xUSB 3.0, 2xUSB2.0, RAID (0,1,5,10), Realtek GB Lan, 8-ch sound Realtek ALC887, Full ATX Aerocool Xpredator II Black Full Tower Up to XL-ATX 3x5.25" (External) /8 x HDDs (internal) /8x2.5" /2xUSB 3.0 +4 USB 2,0/Mic&amp;headphone, 3x140 mm fan (232x559x595 mm(WxDxH) ) 13,5Кг (без БП) / Блок питания SpirePowerSupply SP-ATX-1300W-ETH 85 PLUS Gold 10</t>
  </si>
  <si>
    <t>HP Elite Tower 600 G9 TWR 400W RCTO / Intel Core i5-12500 3.00G/ ОЗУ - 32GB/ 2х1TB 2280 PCIe NVMe Value SSD, RAID 1/ W11 Pro DGR/ Microsoft Office 2020\ NVIDIA RTX 3060 /HP 125 Wired Keyboard/ HP 125 Wired Mouse (в компл. кабель питания IECSchuko/С13)</t>
  </si>
  <si>
    <t>HP Elite Tower 600 G9 TWR 400W RCTO / Intel Core i5-12500 3.00G/2х512GB HDD RAID1, ОЗУ - 8GB (в компл. кабель питания IECSchuko/С13), сетевая карта 10/100/1000 Мбит/с 2xRJ-45, видеовыход HDMIx1 и Displayportx1/VGAx1, Windows10 Pro лицензия</t>
  </si>
  <si>
    <t>Стол оператора 9СО3.624.000 1100ММ</t>
  </si>
  <si>
    <t>Профессиональное рабочее место оператора, КИЛС-1100 W/730H/1100D- 1RDFAN/6SOC/1SHL/2FDL/2RDL/1DRKBL/MS - Проект Металл</t>
  </si>
  <si>
    <t>Стопор концевой WEW 35/2 1061200000</t>
  </si>
  <si>
    <t>Weidmuller/Sipun</t>
  </si>
  <si>
    <t>1061200000</t>
  </si>
  <si>
    <t>Стяжка нейлоновая хомут  150мх3,5мм, упаковка 100шт</t>
  </si>
  <si>
    <t>уп.</t>
  </si>
  <si>
    <t>Термостат R5THV2</t>
  </si>
  <si>
    <t>для вентиляторов с регулируемым диапазоном температуры 0…+60°C, NO-контакт R5THV2 7T.81.0.000.2303 M</t>
  </si>
  <si>
    <t>для вентиляторов с регулируемым диапазоном температуры 0…+60°C, NO-контакт R5THV2 7T.81.0.000.2303 MTK-CTO DKC Finder Овен</t>
  </si>
  <si>
    <t>Трансформатор ABL6TS25U 250ВА</t>
  </si>
  <si>
    <t>Трансформатор разделительный 1фазный - 230..400 В/230 В - 250 ВА Schnieder Electric/КМП/Сибконтакт/К</t>
  </si>
  <si>
    <t>Трансформатор разделительный 1фазный - 230..400 В/230 В - 250 ВА Schnieder Electric/КМП/Сибконтакт/Контравт (ABL6TS25U/ОСМ 220/220 1.0 кВА/TR1-220/220-0,25/ФС-220 фильтр)</t>
  </si>
  <si>
    <t>Трансформатор разделительный ФС-220 400В</t>
  </si>
  <si>
    <t>1фазный - 230..400 В/230 В - 250 ВА, ФС-220 фильтр (Контравт)</t>
  </si>
  <si>
    <t>Шина гребенчатая EZ9XPH112 63А 1П L1 12 модулей 18ММ 2658010000</t>
  </si>
  <si>
    <t>12/18 МОД</t>
  </si>
  <si>
    <t>2658010000</t>
  </si>
  <si>
    <t>Шина гребенчатая EZ9XPH212 63А 2П L1L2 12 модулей 18ММ 2658250000</t>
  </si>
  <si>
    <t>2658250000</t>
  </si>
  <si>
    <t>Шина гребенчатая EZ9XPH357 63А 3П L1L2L3 12 модулей 18ММ 2658650000</t>
  </si>
  <si>
    <t>57 модулей, шаг 18 мм, 63А разрезаемая Easy9</t>
  </si>
  <si>
    <t>2658650000</t>
  </si>
  <si>
    <t>Экран межсетевой DFL-870/A</t>
  </si>
  <si>
    <t>Межсетевой экран NetDefend UTM (комплект кабеля питания и крепления в 19" стойку)</t>
  </si>
  <si>
    <t>Межсетевой экран NetDefend UTM (комплект кабеля питания и крепления в 19" стойку) D-Link</t>
  </si>
  <si>
    <t>Элемент крепежный AMG EP 2010 30ШТ 2495380000</t>
  </si>
  <si>
    <t>в комплекте 30 шт.</t>
  </si>
  <si>
    <t>2495380000</t>
  </si>
  <si>
    <t>Элемент маркировочный вставной ESG 8/20 GE 8х20ММ 2005150000</t>
  </si>
  <si>
    <t>жёлтый, комплект 3000 шт. Wiedmueller</t>
  </si>
  <si>
    <t>2005150000</t>
  </si>
  <si>
    <t>Элемент маркировочный вставной SM 27/18-22 WS 18х22ММ 2005840000</t>
  </si>
  <si>
    <t>Маркировочные элементы для кнопок и ламп SM 27/18-22 MM WS, белый, комплект 1000 шт. Wiedmueller</t>
  </si>
  <si>
    <t>2005840000</t>
  </si>
  <si>
    <t>Элемент маркировочный вставной ТМ-I 15ММ WS 2005450000</t>
  </si>
  <si>
    <t>в комплекте 2000 шт. 15*4 мм, белый, Wiedmueller</t>
  </si>
  <si>
    <t>2005450000</t>
  </si>
  <si>
    <t>Элемент маркировочный вставной ЭЛС 6/30 ГЭ 6х30ММ 2010620000</t>
  </si>
  <si>
    <t>ELS, 30*6 мм, жёлтый; комплект 3000 шт. Wiedmueller</t>
  </si>
  <si>
    <t>2010620000</t>
  </si>
  <si>
    <t>OFFERED</t>
  </si>
  <si>
    <t xml:space="preserve">ОЗУ - 32GB </t>
  </si>
  <si>
    <t>PC-C14-C13-10A-3 ИЛИ АНАЛОГ</t>
  </si>
  <si>
    <t>DIN-рейка 35х1000ММ, оцинкованная, ширина - 35 мм, длина 100см</t>
  </si>
  <si>
    <t>PXT-ODF-32WE или аналог</t>
  </si>
  <si>
    <t>1020040000 DIN Rail Terminal Blocks WDU 2.5 RT (RED)</t>
  </si>
  <si>
    <t>1.810usd</t>
  </si>
  <si>
    <t>Автоматические выключатели ВА47-29 2P 2A 4,5кA</t>
  </si>
  <si>
    <t>Автоматические выключатели ВА47-29 2P 4A 4,5кA</t>
  </si>
  <si>
    <t>54 064 сўм</t>
  </si>
  <si>
    <t>Выключатель автоматический Schneider Electric Easy9 3P 40A 4.5кА C EZ9F34340</t>
  </si>
  <si>
    <t>218 750 сум</t>
  </si>
  <si>
    <t xml:space="preserve">Автоматический выключатель ВА 47-29 2Р 16A 4,5кА х-ка </t>
  </si>
  <si>
    <t>31 680  сум</t>
  </si>
  <si>
    <t>Автоматический выключатель ВА 47-29 1P 4А 4,5кА</t>
  </si>
  <si>
    <t>15 180  сум</t>
  </si>
  <si>
    <t>Автоматический выключатель ВА47-29 1Р 2А 4,5кА</t>
  </si>
  <si>
    <t>22 635 сум</t>
  </si>
  <si>
    <t xml:space="preserve">Автоматический выключатель ВА 47-29 3Р 6А 4,5кА </t>
  </si>
  <si>
    <t>56 092.5 сум</t>
  </si>
  <si>
    <t>KVM адаптер ATEN KA7189 / KA7189-AX</t>
  </si>
  <si>
    <t xml:space="preserve">PRO MAX 180W 24V 7,5A 1478120000 - DIN Rail Power Supply, 92%, 24V, 7.5A, 180W, Adjustable, Weidmüller       
</t>
  </si>
  <si>
    <t>PRICE PER PIECE
CHF 227.40
(incl. VAT)
CHF 211.14
(exc. VAT)
1 + CHF  211.14</t>
  </si>
  <si>
    <t>PRO MAX 480W 24V 20A 1478140000 - DIN Rail Power Supply, 92%, 24V, 20A, 480W, Adjustable, Weidmüller</t>
  </si>
  <si>
    <t>167.85*usd</t>
  </si>
  <si>
    <t>Weidmuller PRO MAX Switch Mode DIN Rail Power Supply, 24V dc dc Output, 5A Output 
1478110000</t>
  </si>
  <si>
    <t xml:space="preserve">PRO MAX 180W 24V 7,5A 1478120000 - DIN Rail Power Supply, 92%, 24V, 7.5A, 180W, Adjustable, Weidmüller       </t>
  </si>
  <si>
    <t>Блок электрических розеток на 9 гнезд Schuko, шнур питания 1,8 м с вилкой</t>
  </si>
  <si>
    <t>359 000 сум</t>
  </si>
  <si>
    <t>360 000 сум</t>
  </si>
  <si>
    <t>Блок розеток 19″, 8 розеток, горизонтальный, 10 A, выключатель, гнездо под шнур</t>
  </si>
  <si>
    <t>320 000 UZS</t>
  </si>
  <si>
    <t>Распределительная панель (пилот) купить в Ташкенте-Integrity Solution (itrade.uz)</t>
  </si>
  <si>
    <t>Jason Fan FJK6622PS230 Panel Cabinet Ventilation Fan size 120mm x 120mm x 38mm</t>
  </si>
  <si>
    <t>19USD</t>
  </si>
  <si>
    <t>Unit weight 0.783KG</t>
  </si>
  <si>
    <t>Автоматический выключатель Ва47-29 2р 10а 4,5кA</t>
  </si>
  <si>
    <t>48 732 сўм</t>
  </si>
  <si>
    <t xml:space="preserve">Автоматические выключатели ВА 47-29 2Р 6A 4,5кА </t>
  </si>
  <si>
    <t>48 800 сум / шт</t>
  </si>
  <si>
    <t>ADSW01 или аналог</t>
  </si>
  <si>
    <t>135.74</t>
  </si>
  <si>
    <t>0.1 kg</t>
  </si>
  <si>
    <t xml:space="preserve">
END CAP G+S 3L/10 2659000000
</t>
  </si>
  <si>
    <t>End cap phase rail - Cover for terminal END CAP G+S 1L/10-16 2658970000</t>
  </si>
  <si>
    <t>End cap phase rail - Cover for terminal END CAP G+S 2L/10 2658980000</t>
  </si>
  <si>
    <t>ИБП/UPS iON A-2000 (2000VA/1200W)</t>
  </si>
  <si>
    <t>2,179,995 UZS</t>
  </si>
  <si>
    <t>Источник бесперебойного питания Eaton 9SX 2000i Tower UPS</t>
  </si>
  <si>
    <t>33,4kg</t>
  </si>
  <si>
    <t>849usd+33,4kg</t>
  </si>
  <si>
    <t>1025usd+34kg</t>
  </si>
  <si>
    <t>Eaton 9SX 3000i Tower UPS</t>
  </si>
  <si>
    <t>Eaton 9SX 2000i 2U Rack UPS</t>
  </si>
  <si>
    <t>985usd+34kg</t>
  </si>
  <si>
    <t>Phoenix Contact 24V dc Input DIN Rail Uninterruptible Power Supply (480W) Mfr. Part No.:
2320238</t>
  </si>
  <si>
    <t>£302.89=380USD
(inc. VAT)</t>
  </si>
  <si>
    <t>600.000 g</t>
  </si>
  <si>
    <t>Провод ПуГВ 1х1.5</t>
  </si>
  <si>
    <t>3 125 сум</t>
  </si>
  <si>
    <t>Andijon kabel</t>
  </si>
  <si>
    <t>3125 сум</t>
  </si>
  <si>
    <t>Кабель питания IEC320-C20/IEC320-C19</t>
  </si>
  <si>
    <t>128 000 сум</t>
  </si>
  <si>
    <t>Кабельный ввод PG 13.5</t>
  </si>
  <si>
    <t>Кабельный ввод PG 9</t>
  </si>
  <si>
    <t>Кабельный ввод PG36</t>
  </si>
  <si>
    <r>
      <t>3 500</t>
    </r>
    <r>
      <rPr>
        <sz val="17"/>
        <color rgb="FF39363C"/>
        <rFont val="Arial"/>
        <family val="2"/>
        <charset val="204"/>
      </rPr>
      <t> сўм</t>
    </r>
  </si>
  <si>
    <r>
      <t>2 000</t>
    </r>
    <r>
      <rPr>
        <sz val="17"/>
        <color rgb="FF39363C"/>
        <rFont val="Arial"/>
        <family val="2"/>
        <charset val="204"/>
      </rPr>
      <t> сўм</t>
    </r>
  </si>
  <si>
    <t>UZS 18,750.00</t>
  </si>
  <si>
    <t>112 000 сум</t>
  </si>
  <si>
    <t>21 750 сўм</t>
  </si>
  <si>
    <t>140 000 сум</t>
  </si>
  <si>
    <t>$2.63*100=263</t>
  </si>
  <si>
    <t>$1.64*100=164</t>
  </si>
  <si>
    <t>$1.98*100=198</t>
  </si>
  <si>
    <t>$7.06000</t>
  </si>
  <si>
    <t>$1.71000</t>
  </si>
  <si>
    <t>Schneider Electric Harmony XB7 Series Twist Release Emergency Stop Push Button, Panel Mount, 22mm Cutout, SPDT, IP20,XB7NS8445</t>
  </si>
  <si>
    <t>30usd</t>
  </si>
  <si>
    <t>0,1kg</t>
  </si>
  <si>
    <t xml:space="preserve">Moxa IKS-6726A-2GTXSFP-HV-T </t>
  </si>
  <si>
    <t>$1,450.900 /Each</t>
  </si>
  <si>
    <t>IE-SW-AL10M-8TX-2GC         
2740420000 - Ethernet Switch, RJ45 Ports 10, Fibre Ports 2SFP, 1Gbps, Managed, Weidmüller</t>
  </si>
  <si>
    <t>PRICE PER PIECE
CHF 456.35=524.31USD
(incl. VAT)
CHF 423.72
(exc. VAT)</t>
  </si>
  <si>
    <t>Moxa EDS-508A-SS-SC Ethernet Switch, 8 Port, Managed, 2 Single-Mode, SC, EDS-508A Series</t>
  </si>
  <si>
    <t>$2,349.720 /Each</t>
  </si>
  <si>
    <t>Weight, 1.04Kg.</t>
  </si>
  <si>
    <t>Earth protection material electrical grounding bar copper busbars</t>
  </si>
  <si>
    <t>13usd MOQ10pcs</t>
  </si>
  <si>
    <t>Schneider Electric Acti 9 Connector Monoconnect for use with Acti 9/Multi 9, Horizontal Comb Busbar for 18 mm Pitch A9XPCM04</t>
  </si>
  <si>
    <t xml:space="preserve"> Emergency Stop", 60 мм, желтый аналог </t>
  </si>
  <si>
    <t>RUB 129.60//2USD</t>
  </si>
  <si>
    <t xml:space="preserve">Коннектор rj45 с цветными колпачками </t>
  </si>
  <si>
    <t>AF644A  HPE LCD8500 1U INTL Rackmount Console Kit The HPE LCD8500 1U Rackmount Console Kit is an ultra-high-density, high-performance KVM console that combines a full 18.5-inch LCD display with a 1U-sized keyboard and touchpad. The 1U rack-mount form factor allows the KVM console switch to be mounted directly behind it. WXGA TFT LCD BrightView monitors support the most common video resolutions from 800 x 600 to 1600 x 1200 with refresh rates of 60 to 75 Hz.
The LCD8500 1U rack-mount console kit comes with a new silver housing to make identification in the rack easier. The rack-mount keyboard includes a three-button touchpad with four (4) scroll keys and Windows shortcut keys. The LCD8500 1U rackmount console kit also includes a new lid switch display management feature that turns off the display backlight when the console is turned off and returns to its current state when turned on again, helping to extend the life of the display panel.</t>
  </si>
  <si>
    <t>$1740.00 Цена: 144 329 руб.</t>
  </si>
  <si>
    <t>8-Port 19in. Dual Rail CAT5 LCD KVM over IP Switch
KL1508AiN</t>
  </si>
  <si>
    <t>$2,313.82</t>
  </si>
  <si>
    <t>Контактор IEK КМИ-11810 18А 220В/АС3 1НО</t>
  </si>
  <si>
    <t>100 625 сум</t>
  </si>
  <si>
    <t>2080490000,  $57, 8-12 weeks</t>
  </si>
  <si>
    <t>2080490000 DIN Rail Terminal Blocks AMG ELM-4F Electronic load monitoring, Electronic fuse, 4 A, 24 V DC</t>
  </si>
  <si>
    <t>Кресло офисное 4516 Deli</t>
  </si>
  <si>
    <t>1 664 000 сўм</t>
  </si>
  <si>
    <t>2.600.000 сум за шт</t>
  </si>
  <si>
    <t xml:space="preserve"> SNR-ODF-48WE или аналог</t>
  </si>
  <si>
    <t xml:space="preserve"> SNR-ODF-16WE или аналог</t>
  </si>
  <si>
    <t>SNR-ODF-08WE или аналог</t>
  </si>
  <si>
    <t>1.500.000 сум за шт</t>
  </si>
  <si>
    <t>XB5EVM4</t>
  </si>
  <si>
    <t>611,919.00sum</t>
  </si>
  <si>
    <t>DEK 5/5 MM WS         
2007110000</t>
  </si>
  <si>
    <t>DEK 5/6 MM WS 2007120000</t>
  </si>
  <si>
    <t xml:space="preserve">EM 8/30 1806120000          
</t>
  </si>
  <si>
    <t>Weidmüller
1241420000
Media converter
Manufacturer part number: 1241420000
Serie: Industrial Ethernet
Type: IE-MC-VL-1TX-1SCS</t>
  </si>
  <si>
    <t xml:space="preserve"> 799 g.</t>
  </si>
  <si>
    <t>€ 410,01 per item///$ 452.66 per item Wiedmueller 2682270000 unit price 6926 yuan=697USD 5-7 months</t>
  </si>
  <si>
    <t>$128.70</t>
  </si>
  <si>
    <t xml:space="preserve"> IMC101B-F</t>
  </si>
  <si>
    <t>Weidmüller
2682460000
Modular connector
Manufacturer part number: 2682460000
Serie: Industrial Ethernet
Type: IE-SFP-1FE-SM-30</t>
  </si>
  <si>
    <t>weight, 17.5 g</t>
  </si>
  <si>
    <t>€ 83,25 per item=90USD 2682460000,  $120, 10-12 weeks</t>
  </si>
  <si>
    <t>IE-SFP-1GE-SM-10         
2682500000 - Fibre Optic Transceiver Single-Mode 1Gbps LC 10km, Weidmüller</t>
  </si>
  <si>
    <t xml:space="preserve"> Industrial Ethernet Active IE-SFP-1GE-SM-10
$ 154.24</t>
  </si>
  <si>
    <t xml:space="preserve"> Industrial Ethernet Active IE-SFP-1GE-SM-10
$ 154.25</t>
  </si>
  <si>
    <t>Eaton 9SX EBM 72V Battery Pack Rack 2U (9SXEBM72R)</t>
  </si>
  <si>
    <t>689.99</t>
  </si>
  <si>
    <t xml:space="preserve">Weight: 40.5 kg
</t>
  </si>
  <si>
    <t>IM-6700A-2MST4TX
Moxa Fast Ethernet module w/(2) multi-mode 100BaseFX ports with ST connectors, (4) 10/100BTX ports</t>
  </si>
  <si>
    <t xml:space="preserve"> 390 g</t>
  </si>
  <si>
    <t>2081870000 DIN Rail Terminal Blocks AMG FIM-0 Supply terminal, TS 35, black</t>
  </si>
  <si>
    <t>Weight (kg): .06475.</t>
  </si>
  <si>
    <t>$17.24  10-12 weeks</t>
  </si>
  <si>
    <t>$566.31
$804,30, с НДС</t>
  </si>
  <si>
    <t>IM-6700A-2SSC4TX
Moxa Fast Ethernet module w/(2) single-mode 100BaseFX ports with SC connectors, (4) 10/100BTX ports</t>
  </si>
  <si>
    <t xml:space="preserve">$354.04  
$506,47, с НДС
</t>
  </si>
  <si>
    <t>GW1102-2DI(RS485)
Modbus RTU/ASCII Modbus TCP, 2 port RS-485/422+1 port 10/100Baes-T(X), single power supply 12-48VDC, wall-mounting или GW1102-2D</t>
  </si>
  <si>
    <t>P27 G5 (27" widescreen 16:9 IPS LED backlit LCD monitor, VGA, HDMI 1.4 interface, DP 1.2, HDMI cable, 250nits, 1000:1, 75Hz, 5ms, 1920x1080, viewing angle is 178 degrees horizontally/178 vertically Degree, 100x100 wall-mounted standard EPEAT/TCO/Energy Star/low blue light ИЛИ АНАЛОГ</t>
  </si>
  <si>
    <t xml:space="preserve">US 128/PCS </t>
  </si>
  <si>
    <t>HP P32u G5 QHD USB-C Monitor ИЛИ МОНИТОР HP PAVILION 32 QHD (4WH45AA) ИЛИ АНАЛОГ</t>
  </si>
  <si>
    <t xml:space="preserve">HP P32u G5 QHD USB-C Monitor (64W51AA) Weight
8.29 kg (With stand.)
Package weight
11.66 kg $349.00 SAVE$43.73
$305.27 What's in the box
Monitor; Warranty card; Quick Setup Poster; Doc-kit; 1 USB Type-C®️ to Type-C cable; AC power cord 7 </t>
  </si>
  <si>
    <t>P BAG XL SET 10         
 2602200000</t>
  </si>
  <si>
    <t xml:space="preserve">466.23
USD </t>
  </si>
  <si>
    <t>Unit price: $159.45</t>
  </si>
  <si>
    <t>EATON 10A FR/DIN power cords for HotSwap MBP</t>
  </si>
  <si>
    <t>Наконечник втулочный изолированный НШВИ 4.0-мм²</t>
  </si>
  <si>
    <t>(упаковка 1000 шт.) 112 000 сум/шт.
(цены без НДС)</t>
  </si>
  <si>
    <t>Наконечник втулочный изолированный НШВИ 1.0-мм² (упаковка 1000 шт.)</t>
  </si>
  <si>
    <t>68 890 сум/шт.</t>
  </si>
  <si>
    <t>Наконечник втулочный изолированный НШВИ 1.5-мм² (упаковка 1000 шт.) красный</t>
  </si>
  <si>
    <t>Наконечник втулочный изолированный НШВИ 1.5-мм² (упаковка 1000 шт.) чёрный</t>
  </si>
  <si>
    <r>
      <t>83 390 </t>
    </r>
    <r>
      <rPr>
        <sz val="18"/>
        <color rgb="FF23B36D"/>
        <rFont val="Akzentica 4F"/>
      </rPr>
      <t>сум/шт.</t>
    </r>
  </si>
  <si>
    <t>Наконечник штыревой НШВИ 1.5-8 1.5КВ.ММ 100ШТ красный</t>
  </si>
  <si>
    <t>Наконечник штыревой НШВИ 1.5-8 1.5КВ.ММ 100ШТ  черный</t>
  </si>
  <si>
    <t>Наконечник втулочный изолированный НШВИ 2.5-мм² (упаковка 1000 шт.)</t>
  </si>
  <si>
    <t>91 260 сум/шт.</t>
  </si>
  <si>
    <t>Phoenix Contact
2907919
Surge protection device for terminal equipment
Manufacturer part number: 2907919
Serie: Overspanningsbeveiligingsmoduul Typ
Type: PLT-SEC-T3-230-FM-UT</t>
  </si>
  <si>
    <t>$ 143.62 per item
$ 126.24 per item 96.62 g</t>
  </si>
  <si>
    <t>135 900 UZS</t>
  </si>
  <si>
    <t>58 000 UZS</t>
  </si>
  <si>
    <t>Кабель патч-корд (шнур соединительный) F/UTP 5e кат. 1 метр, RJ-45/RJ-45, медь, 4 пары, серый</t>
  </si>
  <si>
    <t>17 600 UZS</t>
  </si>
  <si>
    <t>Кабель патч-корд (шнур соединительный) F/UTP 5e кат. 3 метров, RJ-45/RJ-45, медь, 4 пары, серый</t>
  </si>
  <si>
    <t>Патчкорд оптический LC/UPC SM Duplex 3 метра</t>
  </si>
  <si>
    <t>66 000 сум</t>
  </si>
  <si>
    <t>Патчкорд оптический LC/UPC SM 30 метров</t>
  </si>
  <si>
    <t>123 000 сум</t>
  </si>
  <si>
    <t>CS62U
2-портовый, USB, VGA, аудио, кабельный KVM-переключатель (1.8м)</t>
  </si>
  <si>
    <t>60usd</t>
  </si>
  <si>
    <t>Eaton ATS rack PDU, 1U, Inputs (2) C20, 3.84 kW max, 16A, 200-240V, Outlets 8XC13:1XC19
16A EATON ATS 1P C19,C13/C19 EU 230V</t>
  </si>
  <si>
    <t>Unit price: $953.07</t>
  </si>
  <si>
    <t>ZQV 4N/10 BL         
1528230000</t>
  </si>
  <si>
    <t xml:space="preserve">$25.486*5=$127.43
</t>
  </si>
  <si>
    <t xml:space="preserve">1527730000 
ZQV 2.5N/50         
</t>
  </si>
  <si>
    <t xml:space="preserve">1527920000
ZQV 2.5N/50 BL         
</t>
  </si>
  <si>
    <t xml:space="preserve">$26.122*5=$130.61
</t>
  </si>
  <si>
    <t xml:space="preserve">2109000000 ZQV 2.5N/50 RD         
</t>
  </si>
  <si>
    <t xml:space="preserve">2460740000 ZQV 4N/10 RD         
</t>
  </si>
  <si>
    <t xml:space="preserve"> $26.122*5=$130.61
</t>
  </si>
  <si>
    <t>1050000000 WAP 2.5-10</t>
  </si>
  <si>
    <t>$1.26</t>
  </si>
  <si>
    <t xml:space="preserve">1770400000 ZAP ZDU4-2         
</t>
  </si>
  <si>
    <t>Площадка самоклеющаяся TM-25 25х25</t>
  </si>
  <si>
    <t>31 200 сум</t>
  </si>
  <si>
    <t>1-портовый преобразователь USB в RS-232/422/485 UPort 1150</t>
  </si>
  <si>
    <t>UPort 1150</t>
  </si>
  <si>
    <t>Moxa
TCC-100I
Industrial Rs-232 To Rs-422/485 Converter With Optional 2 Kv Isolation |Moxa TCC-100I</t>
  </si>
  <si>
    <t>$ 231.350</t>
  </si>
  <si>
    <t xml:space="preserve">7760054117 ACT20P-2CI-2CO-12-S         
</t>
  </si>
  <si>
    <t>270.3USD</t>
  </si>
  <si>
    <t>EDS-516A
Moxa 16 port managed Ethernet switch w/(16) 10/100BTX ports</t>
  </si>
  <si>
    <t xml:space="preserve"> Price: $1,951.95
</t>
  </si>
  <si>
    <t>1528040000 ZQV 4N/2 BL</t>
  </si>
  <si>
    <t xml:space="preserve">2460450000 ZQV 4N/2 RD         
</t>
  </si>
  <si>
    <t>$48.78
FOR60PCS</t>
  </si>
  <si>
    <t xml:space="preserve"> 
38.51.3.240.0060  
RELAY GEN PURPOSE SPDT 6A 240V</t>
  </si>
  <si>
    <t xml:space="preserve">$17.25 //500
$11.11556 $5,557.78
</t>
  </si>
  <si>
    <t>38.51.7.024.0050  RELAY GEN PURPOSE SPDT 6A 24V</t>
  </si>
  <si>
    <t xml:space="preserve">$24.67800// 500
$18.86276 $9,431.38
</t>
  </si>
  <si>
    <t>2080420000 AMG ELM-1F</t>
  </si>
  <si>
    <t>$40.69//50
$37.19960 $1,859.98</t>
  </si>
  <si>
    <t>Shenler SNC05-E-A</t>
  </si>
  <si>
    <t>US$ 2.68//£9.84 per 1 Ex VAT
£11.81 per 1 Inc VAT</t>
  </si>
  <si>
    <t>Schneider Electric
RXM2AB2P7PVM
Power Relay, Dpdt, 230Vac, 10A, Socket Rohs Compliant: Yes |Schneider Electric RXM2AB2P7PVM</t>
  </si>
  <si>
    <t>$ 21.750</t>
  </si>
  <si>
    <t>RNC1CO060+SNC05-E-D</t>
  </si>
  <si>
    <t>£20.51</t>
  </si>
  <si>
    <t>Jason Fan Air Filter for Ventilation System Fan Parts JK6622 Outline dimensions148.5mm x 148.5mm</t>
  </si>
  <si>
    <t>Weight, ‎250 g</t>
  </si>
  <si>
    <t>Розетка РАр10/3/ОП</t>
  </si>
  <si>
    <t>36 500 сум</t>
  </si>
  <si>
    <t>4 800 сум</t>
  </si>
  <si>
    <t>Finder 7L.11.8.230.0005</t>
  </si>
  <si>
    <t>Base price: 262.96 € 
197.22 €=212USD</t>
  </si>
  <si>
    <t>HPE DL380 Gen10 8SFF NC CTO Svr
Intel Xeon-Gold 6226 (2.7GHz/12-core/125W)
HP 2U SFF Easy Install Rail Kit
HP Ethernet 1Gb 4-port 366FLR Adapter
HPE DL38X Gen10 Universal Media Bay
HPE 2.4TB SAS 12G 10K SFF SC 512e DS HDD
HPE Smart Array P408i-a SR Gen10 Ctrlr
HPE 96W Smart Storage Battery 145mm Cbl
HPE 16GB 2Rx8 PC4-2933Y-R Smart Kit
HPE 800W FS Plat Ht Plg LH Pwr Sply Kit</t>
  </si>
  <si>
    <t>5130usd+25kg</t>
  </si>
  <si>
    <t>Elite Tower 680G9/NewCoreI5-12500(3.0G/6 core)/32G(2*16GDDR5 4800)/1TB*2(M.2 Value NVMeSSD)/NOCD/Windows11Home64-bit/HP 125 AntiMic KBD/Mouse HP AntiM 125 WRD/ 3-3-3 Full Protection/400W80Plus Platinum Power Supply/NVIDIA GeForce RTX3060 12GB FH PCIe x16 3*DP+HDMI GFX/3-3-3 Full Protection/2*DP+1*HDMI</t>
  </si>
  <si>
    <t>US 1300/pcs+6kg</t>
  </si>
  <si>
    <t>Elite Tower 680G9/NewCoreI5-12500(3.0G/6 core)/8G(1*8GDDR5 4800)/512GB*2(M.2 Value NVMeSSD)/NOCD/Windows11Home64-bit/HP 125 AntiMic KBD/Mouse HP AntiM 125 WRD/ 3-3-3 fully guaranteed/400W80Plus Platinum power supply/IntelEthernet I225-T1PCIex1GbNIC/3-3-3 fully guaranteed/2*DP+1*HDMI/optional interface choose VGA interface</t>
  </si>
  <si>
    <t>US 625/pcs+6kg</t>
  </si>
  <si>
    <t>$2.60//500
$1.68466 $842.33</t>
  </si>
  <si>
    <t>Finder
7T.81.0.000.2303</t>
  </si>
  <si>
    <t>$22.21</t>
  </si>
  <si>
    <t>Хомут кабельный ESS 5x350 нейлон белый (упаковка 100 шт.)</t>
  </si>
  <si>
    <t>31 250 сум/шт.</t>
  </si>
  <si>
    <t xml:space="preserve">ABL6TS25U </t>
  </si>
  <si>
    <t>$164.21</t>
  </si>
  <si>
    <t>Weight, 4.290 kg</t>
  </si>
  <si>
    <t xml:space="preserve">2658010000 S-1L-320/10 или  EZ9XPH112  или аналог
</t>
  </si>
  <si>
    <t xml:space="preserve">2658250000 S-2L-320/10 или  EZ9XPH212 или аналог
</t>
  </si>
  <si>
    <t>2658650000 или EZ9XPH357  или аналог</t>
  </si>
  <si>
    <t xml:space="preserve">2495380000 AMG EP 2010         
</t>
  </si>
  <si>
    <t>2005150000 ESG 8/20 MM GE</t>
  </si>
  <si>
    <t>0,28*3000=840usd</t>
  </si>
  <si>
    <t xml:space="preserve">2005840000 SM 27/18-22 MM WS         
</t>
  </si>
  <si>
    <t>100
$1.09350 $109.35
//*10=1093,5</t>
  </si>
  <si>
    <t xml:space="preserve">2005450000 TM-I 15 MM WS         
</t>
  </si>
  <si>
    <t>100
$0.20070 $20.07
//*20=400,14</t>
  </si>
  <si>
    <t xml:space="preserve">2010620000 ELS 6/30 MM GE         
</t>
  </si>
  <si>
    <t>100
$0.31860 $31.86
///*30=955,8</t>
  </si>
  <si>
    <t>kgpri</t>
  </si>
  <si>
    <t>itempr</t>
  </si>
  <si>
    <t>tt;l</t>
  </si>
  <si>
    <t>Мышь Logitech Corded Mouse M500 Black USB</t>
  </si>
  <si>
    <t>429,000 UZS</t>
  </si>
  <si>
    <t>298.99 €=325usd</t>
  </si>
  <si>
    <t>PRICE PER PIECE
CHF 227.40=262usd
(incl. VAT)
CHF 211.14
(exc. VAT)
1 + CHF  211.14</t>
  </si>
  <si>
    <t>PRICE PER PIECE
CHF 314.15=362usd
(incl. VAT)
CHF 291.69
(exc. VAT)
1 + CHF  291.69
5 + CHF  277.10=318usd
10 + CHF  263.25</t>
  </si>
  <si>
    <t>$346.09</t>
  </si>
  <si>
    <t>€3.99=4,35usd *10</t>
  </si>
  <si>
    <t>€13.99=16usd incl. VAT
(For 50 Piece)plus shipping</t>
  </si>
  <si>
    <t>€3.36=3,66 incl. VAT
(For 10 Piece)plus shipping</t>
  </si>
  <si>
    <r>
      <t>Клемма винтовая WDU 2.5 BL 2.5КВ.ММ Weidmuller 1020080000</t>
    </r>
    <r>
      <rPr>
        <i/>
        <sz val="8"/>
        <color theme="9" tint="-0.499984740745262"/>
        <rFont val="Arial"/>
        <family val="2"/>
        <charset val="204"/>
      </rPr>
      <t xml:space="preserve"> </t>
    </r>
    <r>
      <rPr>
        <sz val="8"/>
        <color theme="9" tint="-0.499984740745262"/>
        <rFont val="Arial"/>
        <family val="2"/>
        <charset val="204"/>
      </rPr>
      <t>[В комплекте 100ШТ, цена указан за 1ШТ, уточните вам надо 180ШТ или 180 комлект?]</t>
    </r>
  </si>
  <si>
    <r>
      <t>Клемма проходная WDU 4 4ММ.КВ 1020120000</t>
    </r>
    <r>
      <rPr>
        <sz val="8"/>
        <color theme="9" tint="-0.499984740745262"/>
        <rFont val="Arial"/>
        <family val="2"/>
        <charset val="204"/>
      </rPr>
      <t xml:space="preserve"> [В комплекте 100ШТ, цена указан за 1ШТ, уточните вам надо 60ШТ или 60 комлект?]</t>
    </r>
  </si>
  <si>
    <r>
      <t xml:space="preserve">Клемма проходная WDU 4 4ММ.КВ 1020180000 </t>
    </r>
    <r>
      <rPr>
        <sz val="8"/>
        <color theme="9" tint="-0.499984740745262"/>
        <rFont val="Arial"/>
        <family val="2"/>
        <charset val="204"/>
      </rPr>
      <t>[В комплекте 100ШТ, цена указан за 1ШТ, уточните вам надо 130ШТ или 130 комлект?]</t>
    </r>
  </si>
  <si>
    <r>
      <t xml:space="preserve">WDU 2.5         
Weidmuller 1020000000 </t>
    </r>
    <r>
      <rPr>
        <sz val="8"/>
        <color theme="9" tint="-0.499984740745262"/>
        <rFont val="Arial"/>
        <family val="2"/>
        <charset val="204"/>
      </rPr>
      <t>[В комплекте 100ШТ, цена указан за 1ШТ, уточните вам надо 22ШТ или 22 комлект?]</t>
    </r>
  </si>
  <si>
    <t>£56.08=73usd
(inc. VAT)</t>
  </si>
  <si>
    <t>£35.20=45usd Price Each (In a Box of 800)</t>
  </si>
  <si>
    <t>£32.69=42usd
(inc. VAT)</t>
  </si>
  <si>
    <t>$ 1.036*50=50,36 pack of 50</t>
  </si>
  <si>
    <t>$7.49*20=149,2</t>
  </si>
  <si>
    <t>$1.01*50=50,5</t>
  </si>
  <si>
    <t>$1.68*60=100,8</t>
  </si>
  <si>
    <t>$53.00</t>
  </si>
  <si>
    <r>
      <t>1061200000 
WEW 35/2</t>
    </r>
    <r>
      <rPr>
        <sz val="8"/>
        <color theme="9" tint="-0.499984740745262"/>
        <rFont val="Arial"/>
        <family val="2"/>
        <charset val="204"/>
      </rPr>
      <t xml:space="preserve"> [В комплекте 50ШТ, цена указан за 1ШТ, уточните вам надо 750ШТ или 750 комлект?]       </t>
    </r>
    <r>
      <rPr>
        <sz val="8"/>
        <color rgb="FF333333"/>
        <rFont val="Arial"/>
        <family val="2"/>
      </rPr>
      <t xml:space="preserve">
</t>
    </r>
  </si>
  <si>
    <t>£3.51=4,45usd</t>
  </si>
  <si>
    <t>28EUR=31usd</t>
  </si>
  <si>
    <t>$6.90*30=207</t>
  </si>
  <si>
    <t>cf</t>
  </si>
  <si>
    <t>LEAD TIME</t>
  </si>
  <si>
    <t>НЕ НАЙДЕН</t>
  </si>
  <si>
    <t>12-22 нед</t>
  </si>
  <si>
    <t>20-60 дней</t>
  </si>
  <si>
    <t>25-60 дней</t>
  </si>
  <si>
    <t>30-65 дней</t>
  </si>
  <si>
    <t>30-60 дней</t>
  </si>
  <si>
    <t>12-24 нед</t>
  </si>
  <si>
    <t>25-45 дней</t>
  </si>
  <si>
    <t>Note</t>
  </si>
  <si>
    <t>ИТОГО:</t>
  </si>
  <si>
    <t>Цена за шт без НДС, сум</t>
  </si>
  <si>
    <t>Цена за сумм без НДС,сум</t>
  </si>
  <si>
    <t>Исх. №19/0124-1от 19.01.2024 [90 578]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</si>
</sst>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_₽;[Red]#,##0.00\ _₽"/>
    <numFmt numFmtId="170" formatCode="#,##0.00;[Red]#,##0.00"/>
  </numFmts>
  <fonts count="23" x14ac:knownFonts="1">
    <font>
      <sz val="8"/>
      <name val="Arial"/>
    </font>
    <font>
      <sz val="16"/>
      <color rgb="FF4D4D4D"/>
      <name val="Arial"/>
    </font>
    <font>
      <sz val="8"/>
      <color rgb="FF333333"/>
      <name val="Arial"/>
      <family val="2"/>
    </font>
    <font>
      <sz val="12"/>
      <color rgb="FF4D4D4D"/>
      <name val="Arial"/>
      <family val="2"/>
      <charset val="204"/>
    </font>
    <font>
      <b/>
      <sz val="12"/>
      <color rgb="FF4D4D4D"/>
      <name val="Arial"/>
      <family val="2"/>
      <charset val="204"/>
    </font>
    <font>
      <sz val="12"/>
      <name val="Arial"/>
      <family val="2"/>
      <charset val="204"/>
    </font>
    <font>
      <sz val="11"/>
      <name val="Arial"/>
      <family val="2"/>
      <charset val="204"/>
    </font>
    <font>
      <sz val="10"/>
      <name val="Arial"/>
      <family val="2"/>
      <charset val="204"/>
    </font>
    <font>
      <sz val="14"/>
      <color rgb="FF0A0A0A"/>
      <name val="Arial"/>
      <family val="2"/>
      <charset val="204"/>
    </font>
    <font>
      <sz val="8"/>
      <name val="Arial"/>
      <family val="2"/>
      <charset val="204"/>
    </font>
    <font>
      <u/>
      <sz val="8"/>
      <color theme="10"/>
      <name val="Arial"/>
    </font>
    <font>
      <sz val="8"/>
      <color rgb="FFFF0000"/>
      <name val="Arial"/>
      <family val="2"/>
    </font>
    <font>
      <sz val="11"/>
      <color rgb="FF333333"/>
      <name val="Arial"/>
      <family val="2"/>
      <charset val="204"/>
    </font>
    <font>
      <b/>
      <sz val="23"/>
      <color rgb="FF39363C"/>
      <name val="Arial"/>
      <family val="2"/>
      <charset val="204"/>
    </font>
    <font>
      <sz val="17"/>
      <color rgb="FF39363C"/>
      <name val="Arial"/>
      <family val="2"/>
      <charset val="204"/>
    </font>
    <font>
      <sz val="10"/>
      <color rgb="FFFF0000"/>
      <name val="Arial"/>
      <family val="2"/>
      <charset val="204"/>
    </font>
    <font>
      <sz val="26"/>
      <color rgb="FF23B36D"/>
      <name val="Akzentica 4F"/>
    </font>
    <font>
      <sz val="18"/>
      <color rgb="FF23B36D"/>
      <name val="Akzentica 4F"/>
    </font>
    <font>
      <i/>
      <sz val="8"/>
      <color theme="9" tint="-0.499984740745262"/>
      <name val="Arial"/>
      <family val="2"/>
      <charset val="204"/>
    </font>
    <font>
      <sz val="8"/>
      <color theme="9" tint="-0.499984740745262"/>
      <name val="Arial"/>
      <family val="2"/>
      <charset val="204"/>
    </font>
    <font>
      <sz val="8"/>
      <name val="Arial"/>
      <family val="2"/>
    </font>
    <font>
      <b/>
      <sz val="8"/>
      <name val="Arial"/>
      <family val="2"/>
      <charset val="204"/>
    </font>
    <font>
      <b/>
      <sz val="14"/>
      <name val="Arial"/>
      <family val="2"/>
      <charset val="204"/>
    </font>
  </fonts>
  <fills count="12">
    <fill>
      <patternFill patternType="none"/>
    </fill>
    <fill>
      <patternFill patternType="gray125"/>
    </fill>
    <fill>
      <patternFill patternType="solid">
        <fgColor rgb="FFF2F2F2"/>
        <bgColor auto="1"/>
      </patternFill>
    </fill>
    <fill>
      <patternFill patternType="solid">
        <fgColor rgb="FFFFFFFF"/>
        <bgColor auto="1"/>
      </patternFill>
    </fill>
    <fill>
      <patternFill patternType="solid">
        <fgColor theme="4"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2"/>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CC"/>
        <bgColor indexed="64"/>
      </patternFill>
    </fill>
  </fills>
  <borders count="7">
    <border>
      <left/>
      <right/>
      <top/>
      <bottom/>
      <diagonal/>
    </border>
    <border>
      <left style="thin">
        <color rgb="FFA0A0A0"/>
      </left>
      <right style="thin">
        <color rgb="FFA0A0A0"/>
      </right>
      <top style="thin">
        <color rgb="FFA0A0A0"/>
      </top>
      <bottom style="thin">
        <color rgb="FFA0A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A0A0A0"/>
      </left>
      <right style="thin">
        <color rgb="FFA0A0A0"/>
      </right>
      <top style="thin">
        <color rgb="FFA0A0A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0" fillId="0" borderId="0" applyNumberFormat="0" applyFill="0" applyBorder="0" applyAlignment="0" applyProtection="0"/>
  </cellStyleXfs>
  <cellXfs count="76">
    <xf numFmtId="0" fontId="0" fillId="0" borderId="0" xfId="0"/>
    <xf numFmtId="0" fontId="0" fillId="0" borderId="0" xfId="0" applyNumberFormat="1" applyAlignment="1">
      <alignment wrapText="1"/>
    </xf>
    <xf numFmtId="0" fontId="0" fillId="0" borderId="0" xfId="0" applyNumberFormat="1" applyAlignment="1">
      <alignment horizontal="left" wrapText="1"/>
    </xf>
    <xf numFmtId="0" fontId="1"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0" fontId="2" fillId="3" borderId="1" xfId="0" applyNumberFormat="1" applyFont="1" applyFill="1" applyBorder="1" applyAlignment="1">
      <alignment horizontal="left" vertical="top" wrapText="1"/>
    </xf>
    <xf numFmtId="0" fontId="0" fillId="0" borderId="0" xfId="0" applyNumberFormat="1" applyAlignment="1">
      <alignment horizontal="left" vertical="top" wrapText="1"/>
    </xf>
    <xf numFmtId="0" fontId="2" fillId="3" borderId="1" xfId="0" applyNumberFormat="1" applyFont="1" applyFill="1" applyBorder="1" applyAlignment="1">
      <alignment horizontal="center" vertical="top" wrapText="1"/>
    </xf>
    <xf numFmtId="164" fontId="6" fillId="0" borderId="3" xfId="0" applyNumberFormat="1" applyFont="1" applyBorder="1" applyAlignment="1">
      <alignment vertical="top"/>
    </xf>
    <xf numFmtId="0" fontId="0" fillId="6" borderId="2" xfId="0" applyNumberFormat="1" applyFill="1" applyBorder="1" applyAlignment="1">
      <alignment vertical="top" wrapText="1"/>
    </xf>
    <xf numFmtId="164" fontId="0" fillId="0" borderId="2" xfId="0" applyNumberFormat="1" applyBorder="1" applyAlignment="1">
      <alignment vertical="top"/>
    </xf>
    <xf numFmtId="0" fontId="0" fillId="0" borderId="2" xfId="0" applyBorder="1" applyAlignment="1">
      <alignment vertical="top" wrapText="1"/>
    </xf>
    <xf numFmtId="0" fontId="11" fillId="3" borderId="1" xfId="0" applyNumberFormat="1" applyFont="1" applyFill="1" applyBorder="1" applyAlignment="1">
      <alignment horizontal="center" vertical="top" wrapText="1"/>
    </xf>
    <xf numFmtId="0" fontId="0" fillId="0" borderId="0" xfId="0" applyNumberFormat="1" applyAlignment="1">
      <alignment vertical="top" wrapText="1"/>
    </xf>
    <xf numFmtId="0" fontId="15" fillId="7" borderId="2" xfId="0" applyFont="1" applyFill="1" applyBorder="1" applyAlignment="1">
      <alignment vertical="top"/>
    </xf>
    <xf numFmtId="164" fontId="7" fillId="4" borderId="3" xfId="0" applyNumberFormat="1" applyFont="1" applyFill="1" applyBorder="1" applyAlignment="1">
      <alignment vertical="top"/>
    </xf>
    <xf numFmtId="164" fontId="0" fillId="4" borderId="3" xfId="0" applyNumberFormat="1" applyFill="1" applyBorder="1" applyAlignment="1">
      <alignment vertical="top"/>
    </xf>
    <xf numFmtId="164" fontId="7" fillId="4" borderId="2" xfId="0" applyNumberFormat="1" applyFont="1" applyFill="1" applyBorder="1" applyAlignment="1">
      <alignment vertical="top"/>
    </xf>
    <xf numFmtId="164" fontId="9" fillId="0" borderId="0" xfId="0" applyNumberFormat="1" applyFont="1" applyAlignment="1">
      <alignment vertical="top" wrapText="1"/>
    </xf>
    <xf numFmtId="164" fontId="0" fillId="0" borderId="0" xfId="0" applyNumberFormat="1" applyAlignment="1">
      <alignment vertical="top" wrapText="1"/>
    </xf>
    <xf numFmtId="0" fontId="20" fillId="3" borderId="1" xfId="0" applyNumberFormat="1" applyFont="1" applyFill="1" applyBorder="1" applyAlignment="1">
      <alignment horizontal="center" vertical="top" wrapText="1"/>
    </xf>
    <xf numFmtId="0" fontId="2" fillId="3" borderId="4" xfId="0" applyNumberFormat="1" applyFont="1" applyFill="1" applyBorder="1" applyAlignment="1">
      <alignment horizontal="left" vertical="top" wrapText="1"/>
    </xf>
    <xf numFmtId="0" fontId="2" fillId="3" borderId="4" xfId="0" applyNumberFormat="1" applyFont="1" applyFill="1" applyBorder="1" applyAlignment="1">
      <alignment horizontal="center" vertical="top" wrapText="1"/>
    </xf>
    <xf numFmtId="0" fontId="0" fillId="0" borderId="2" xfId="0" applyNumberFormat="1" applyBorder="1" applyAlignment="1">
      <alignment horizontal="left" vertical="top" wrapText="1"/>
    </xf>
    <xf numFmtId="164" fontId="0" fillId="0" borderId="2" xfId="0" applyNumberFormat="1" applyBorder="1" applyAlignment="1">
      <alignment vertical="top" wrapText="1"/>
    </xf>
    <xf numFmtId="170" fontId="0" fillId="0" borderId="2" xfId="0" applyNumberFormat="1" applyBorder="1" applyAlignment="1">
      <alignment vertical="top" wrapText="1"/>
    </xf>
    <xf numFmtId="0" fontId="0" fillId="0" borderId="2" xfId="0" applyNumberFormat="1" applyBorder="1" applyAlignment="1">
      <alignment vertical="top" wrapText="1"/>
    </xf>
    <xf numFmtId="0" fontId="9" fillId="0" borderId="2" xfId="0" applyNumberFormat="1" applyFont="1" applyBorder="1" applyAlignment="1">
      <alignment vertical="top" wrapText="1"/>
    </xf>
    <xf numFmtId="164" fontId="8" fillId="0" borderId="0" xfId="0" applyNumberFormat="1" applyFont="1" applyAlignment="1">
      <alignment vertical="top"/>
    </xf>
    <xf numFmtId="0" fontId="0" fillId="5" borderId="0" xfId="0" applyNumberFormat="1" applyFill="1" applyAlignment="1">
      <alignment vertical="top" wrapText="1"/>
    </xf>
    <xf numFmtId="164" fontId="10" fillId="0" borderId="2" xfId="1" applyNumberFormat="1" applyBorder="1" applyAlignment="1">
      <alignment vertical="top"/>
    </xf>
    <xf numFmtId="164" fontId="12" fillId="0" borderId="2" xfId="0" applyNumberFormat="1" applyFont="1" applyBorder="1" applyAlignment="1">
      <alignment vertical="top"/>
    </xf>
    <xf numFmtId="164" fontId="13" fillId="0" borderId="0" xfId="0" applyNumberFormat="1" applyFont="1" applyAlignment="1">
      <alignment vertical="top"/>
    </xf>
    <xf numFmtId="0" fontId="9" fillId="6" borderId="2" xfId="0" applyNumberFormat="1" applyFont="1" applyFill="1" applyBorder="1" applyAlignment="1">
      <alignment vertical="top" wrapText="1"/>
    </xf>
    <xf numFmtId="164" fontId="16" fillId="0" borderId="0" xfId="0" applyNumberFormat="1" applyFont="1" applyAlignment="1">
      <alignment vertical="top"/>
    </xf>
    <xf numFmtId="0" fontId="0" fillId="6" borderId="5" xfId="0" applyNumberFormat="1" applyFill="1" applyBorder="1" applyAlignment="1">
      <alignment vertical="top" wrapText="1"/>
    </xf>
    <xf numFmtId="164" fontId="0" fillId="0" borderId="5" xfId="0" applyNumberFormat="1" applyBorder="1" applyAlignment="1">
      <alignment vertical="top" wrapText="1"/>
    </xf>
    <xf numFmtId="170" fontId="0" fillId="0" borderId="5" xfId="0" applyNumberFormat="1" applyBorder="1" applyAlignment="1">
      <alignment vertical="top" wrapText="1"/>
    </xf>
    <xf numFmtId="0" fontId="0" fillId="0" borderId="5" xfId="0" applyNumberFormat="1" applyBorder="1" applyAlignment="1">
      <alignment vertical="top" wrapText="1"/>
    </xf>
    <xf numFmtId="0" fontId="0" fillId="6" borderId="6" xfId="0" applyNumberFormat="1" applyFill="1" applyBorder="1" applyAlignment="1">
      <alignment vertical="top" wrapText="1"/>
    </xf>
    <xf numFmtId="164" fontId="0" fillId="0" borderId="6" xfId="0" applyNumberFormat="1" applyBorder="1" applyAlignment="1">
      <alignment vertical="top" wrapText="1"/>
    </xf>
    <xf numFmtId="0" fontId="0" fillId="0" borderId="6" xfId="0" applyNumberFormat="1" applyBorder="1" applyAlignment="1">
      <alignment vertical="top" wrapText="1"/>
    </xf>
    <xf numFmtId="164" fontId="0" fillId="0" borderId="0" xfId="0" applyNumberFormat="1" applyBorder="1" applyAlignment="1">
      <alignment vertical="top" wrapText="1"/>
    </xf>
    <xf numFmtId="0" fontId="0" fillId="0" borderId="0" xfId="0" applyNumberFormat="1" applyBorder="1" applyAlignment="1">
      <alignment vertical="top" wrapText="1"/>
    </xf>
    <xf numFmtId="0" fontId="0" fillId="6" borderId="0" xfId="0" applyNumberFormat="1" applyFill="1" applyBorder="1" applyAlignment="1">
      <alignment vertical="top" wrapText="1"/>
    </xf>
    <xf numFmtId="0" fontId="4" fillId="8" borderId="1" xfId="0" applyNumberFormat="1" applyFont="1" applyFill="1" applyBorder="1" applyAlignment="1">
      <alignment horizontal="left" vertical="center" wrapText="1"/>
    </xf>
    <xf numFmtId="0" fontId="3" fillId="10" borderId="1" xfId="0" applyNumberFormat="1" applyFont="1" applyFill="1" applyBorder="1" applyAlignment="1">
      <alignment horizontal="left" vertical="center" wrapText="1"/>
    </xf>
    <xf numFmtId="164" fontId="5" fillId="10" borderId="0" xfId="0" applyNumberFormat="1" applyFont="1" applyFill="1" applyAlignment="1">
      <alignment vertical="center" wrapText="1"/>
    </xf>
    <xf numFmtId="0" fontId="5" fillId="10" borderId="2" xfId="0" applyNumberFormat="1" applyFont="1" applyFill="1" applyBorder="1" applyAlignment="1">
      <alignment vertical="center" wrapText="1"/>
    </xf>
    <xf numFmtId="164" fontId="5" fillId="10" borderId="2" xfId="0" applyNumberFormat="1" applyFont="1" applyFill="1" applyBorder="1" applyAlignment="1">
      <alignment vertical="center" wrapText="1"/>
    </xf>
    <xf numFmtId="0" fontId="5" fillId="10" borderId="0" xfId="0" applyNumberFormat="1" applyFont="1" applyFill="1" applyAlignment="1">
      <alignment vertical="center" wrapText="1"/>
    </xf>
    <xf numFmtId="0" fontId="2" fillId="8" borderId="1" xfId="0" applyNumberFormat="1" applyFont="1" applyFill="1" applyBorder="1" applyAlignment="1">
      <alignment horizontal="left" vertical="top" wrapText="1"/>
    </xf>
    <xf numFmtId="0" fontId="2" fillId="8" borderId="4" xfId="0" applyNumberFormat="1" applyFont="1" applyFill="1" applyBorder="1" applyAlignment="1">
      <alignment horizontal="left" vertical="top" wrapText="1"/>
    </xf>
    <xf numFmtId="0" fontId="0" fillId="8" borderId="2" xfId="0" applyNumberFormat="1" applyFill="1" applyBorder="1" applyAlignment="1">
      <alignment horizontal="left" vertical="top" wrapText="1"/>
    </xf>
    <xf numFmtId="0" fontId="0" fillId="8" borderId="0" xfId="0" applyNumberFormat="1" applyFill="1" applyAlignment="1">
      <alignment horizontal="left" vertical="top" wrapText="1"/>
    </xf>
    <xf numFmtId="164" fontId="0" fillId="0" borderId="0" xfId="0" applyNumberFormat="1" applyFill="1" applyAlignment="1">
      <alignment vertical="top" wrapText="1"/>
    </xf>
    <xf numFmtId="0" fontId="0" fillId="0" borderId="2" xfId="0" applyNumberFormat="1" applyFill="1" applyBorder="1" applyAlignment="1">
      <alignment vertical="top" wrapText="1"/>
    </xf>
    <xf numFmtId="0" fontId="0" fillId="0" borderId="0" xfId="0" applyNumberFormat="1" applyFill="1" applyAlignment="1">
      <alignment vertical="top" wrapText="1"/>
    </xf>
    <xf numFmtId="0" fontId="2" fillId="11" borderId="1" xfId="0" applyNumberFormat="1" applyFont="1" applyFill="1" applyBorder="1" applyAlignment="1">
      <alignment horizontal="center" vertical="top" wrapText="1"/>
    </xf>
    <xf numFmtId="0" fontId="2" fillId="11" borderId="1" xfId="0" applyNumberFormat="1" applyFont="1" applyFill="1" applyBorder="1" applyAlignment="1">
      <alignment horizontal="left" vertical="top" wrapText="1"/>
    </xf>
    <xf numFmtId="164" fontId="0" fillId="11" borderId="0" xfId="0" applyNumberFormat="1" applyFill="1" applyAlignment="1">
      <alignment vertical="top" wrapText="1"/>
    </xf>
    <xf numFmtId="0" fontId="0" fillId="11" borderId="2" xfId="0" applyNumberFormat="1" applyFill="1" applyBorder="1" applyAlignment="1">
      <alignment vertical="top" wrapText="1"/>
    </xf>
    <xf numFmtId="164" fontId="0" fillId="11" borderId="2" xfId="0" applyNumberFormat="1" applyFill="1" applyBorder="1" applyAlignment="1">
      <alignment vertical="top" wrapText="1"/>
    </xf>
    <xf numFmtId="170" fontId="0" fillId="11" borderId="2" xfId="0" applyNumberFormat="1" applyFill="1" applyBorder="1" applyAlignment="1">
      <alignment vertical="top" wrapText="1"/>
    </xf>
    <xf numFmtId="0" fontId="9" fillId="11" borderId="2" xfId="0" applyNumberFormat="1" applyFont="1" applyFill="1" applyBorder="1" applyAlignment="1">
      <alignment vertical="top" wrapText="1"/>
    </xf>
    <xf numFmtId="0" fontId="0" fillId="11" borderId="0" xfId="0" applyNumberFormat="1" applyFill="1" applyAlignment="1">
      <alignment vertical="top" wrapText="1"/>
    </xf>
    <xf numFmtId="0" fontId="0" fillId="10" borderId="2" xfId="0" applyNumberFormat="1" applyFill="1" applyBorder="1" applyAlignment="1">
      <alignment horizontal="left" vertical="top" wrapText="1"/>
    </xf>
    <xf numFmtId="0" fontId="21" fillId="10" borderId="2" xfId="0" applyNumberFormat="1" applyFont="1" applyFill="1" applyBorder="1" applyAlignment="1">
      <alignment horizontal="left" vertical="top" wrapText="1"/>
    </xf>
    <xf numFmtId="164" fontId="0" fillId="10" borderId="2" xfId="0" applyNumberFormat="1" applyFill="1" applyBorder="1" applyAlignment="1">
      <alignment vertical="top" wrapText="1"/>
    </xf>
    <xf numFmtId="0" fontId="0" fillId="10" borderId="2" xfId="0" applyNumberFormat="1" applyFill="1" applyBorder="1" applyAlignment="1">
      <alignment vertical="top" wrapText="1"/>
    </xf>
    <xf numFmtId="170" fontId="0" fillId="10" borderId="2" xfId="0" applyNumberFormat="1" applyFill="1" applyBorder="1" applyAlignment="1">
      <alignment vertical="top" wrapText="1"/>
    </xf>
    <xf numFmtId="0" fontId="0" fillId="10" borderId="0" xfId="0" applyNumberFormat="1" applyFill="1" applyAlignment="1">
      <alignment vertical="top" wrapText="1"/>
    </xf>
    <xf numFmtId="164" fontId="9" fillId="9" borderId="2" xfId="0" applyNumberFormat="1" applyFont="1" applyFill="1" applyBorder="1" applyAlignment="1">
      <alignment vertical="top" wrapText="1"/>
    </xf>
    <xf numFmtId="0" fontId="0" fillId="0" borderId="0" xfId="0" applyNumberFormat="1" applyFill="1" applyAlignment="1">
      <alignment horizontal="left" vertical="top" wrapText="1"/>
    </xf>
    <xf numFmtId="0" fontId="0" fillId="0" borderId="0" xfId="0" applyNumberFormat="1" applyFill="1" applyBorder="1" applyAlignment="1">
      <alignment vertical="top" wrapText="1"/>
    </xf>
    <xf numFmtId="0" fontId="22" fillId="0" borderId="0" xfId="0" applyNumberFormat="1" applyFont="1" applyFill="1" applyAlignment="1">
      <alignment horizontal="left" vertical="center"/>
    </xf>
  </cellXfs>
  <cellStyles count="2">
    <cellStyle name="Гиперссылка" xfId="1" builtinId="8"/>
    <cellStyle name="Обычный"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H157"/>
  <sheetViews>
    <sheetView topLeftCell="C63" workbookViewId="0">
      <selection activeCell="D82" sqref="D82"/>
    </sheetView>
  </sheetViews>
  <sheetFormatPr defaultColWidth="29.6640625" defaultRowHeight="28.15" customHeight="1" x14ac:dyDescent="0.2"/>
  <cols>
    <col min="1" max="1" width="4.33203125" style="2" bestFit="1" customWidth="1"/>
    <col min="2" max="2" width="29.83203125" style="2" bestFit="1" customWidth="1"/>
    <col min="3" max="3" width="65.5" style="2" bestFit="1" customWidth="1"/>
    <col min="4" max="4" width="60.1640625" style="2" bestFit="1" customWidth="1"/>
    <col min="5" max="5" width="237.1640625" style="2" bestFit="1" customWidth="1"/>
    <col min="6" max="6" width="16.5" style="2" bestFit="1" customWidth="1"/>
    <col min="7" max="7" width="32.83203125" style="2" bestFit="1" customWidth="1"/>
    <col min="8" max="8" width="237" style="2" bestFit="1" customWidth="1"/>
    <col min="9" max="16384" width="29.6640625" style="1"/>
  </cols>
  <sheetData>
    <row r="1" spans="1:8" ht="28.15" customHeight="1" x14ac:dyDescent="0.2">
      <c r="A1" s="3" t="s">
        <v>0</v>
      </c>
      <c r="B1" s="3" t="s">
        <v>1</v>
      </c>
      <c r="C1" s="3" t="s">
        <v>2</v>
      </c>
      <c r="D1" s="3" t="s">
        <v>3</v>
      </c>
      <c r="E1" s="3" t="s">
        <v>4</v>
      </c>
      <c r="F1" s="3" t="s">
        <v>5</v>
      </c>
      <c r="G1" s="3" t="s">
        <v>6</v>
      </c>
      <c r="H1" s="3" t="s">
        <v>7</v>
      </c>
    </row>
    <row r="2" spans="1:8" ht="28.15" customHeight="1" x14ac:dyDescent="0.2">
      <c r="A2" s="4">
        <v>1</v>
      </c>
      <c r="B2" s="4" t="s">
        <v>8</v>
      </c>
      <c r="C2" s="4" t="s">
        <v>9</v>
      </c>
      <c r="D2" s="4"/>
      <c r="E2" s="4"/>
      <c r="F2" s="4" t="s">
        <v>10</v>
      </c>
      <c r="G2" s="4">
        <v>7</v>
      </c>
      <c r="H2" s="4" t="s">
        <v>11</v>
      </c>
    </row>
    <row r="3" spans="1:8" ht="28.15" customHeight="1" x14ac:dyDescent="0.2">
      <c r="A3" s="4">
        <v>2</v>
      </c>
      <c r="B3" s="4" t="s">
        <v>12</v>
      </c>
      <c r="C3" s="4" t="s">
        <v>13</v>
      </c>
      <c r="D3" s="4" t="s">
        <v>14</v>
      </c>
      <c r="E3" s="4"/>
      <c r="F3" s="4" t="s">
        <v>10</v>
      </c>
      <c r="G3" s="4">
        <v>140</v>
      </c>
      <c r="H3" s="4" t="s">
        <v>14</v>
      </c>
    </row>
    <row r="4" spans="1:8" ht="28.15" customHeight="1" x14ac:dyDescent="0.2">
      <c r="A4" s="4">
        <v>3</v>
      </c>
      <c r="B4" s="4" t="s">
        <v>12</v>
      </c>
      <c r="C4" s="4" t="s">
        <v>15</v>
      </c>
      <c r="D4" s="4" t="s">
        <v>16</v>
      </c>
      <c r="E4" s="4"/>
      <c r="F4" s="4" t="s">
        <v>10</v>
      </c>
      <c r="G4" s="4">
        <v>9</v>
      </c>
      <c r="H4" s="4" t="s">
        <v>16</v>
      </c>
    </row>
    <row r="5" spans="1:8" ht="28.15" customHeight="1" x14ac:dyDescent="0.2">
      <c r="A5" s="4">
        <v>4</v>
      </c>
      <c r="B5" s="4" t="s">
        <v>12</v>
      </c>
      <c r="C5" s="4" t="s">
        <v>17</v>
      </c>
      <c r="D5" s="4" t="s">
        <v>18</v>
      </c>
      <c r="E5" s="4"/>
      <c r="F5" s="4" t="s">
        <v>10</v>
      </c>
      <c r="G5" s="4">
        <v>2</v>
      </c>
      <c r="H5" s="4" t="s">
        <v>19</v>
      </c>
    </row>
    <row r="6" spans="1:8" ht="28.15" customHeight="1" x14ac:dyDescent="0.2">
      <c r="A6" s="4">
        <v>5</v>
      </c>
      <c r="B6" s="4" t="s">
        <v>12</v>
      </c>
      <c r="C6" s="4" t="s">
        <v>20</v>
      </c>
      <c r="D6" s="4" t="s">
        <v>21</v>
      </c>
      <c r="E6" s="4"/>
      <c r="F6" s="4" t="s">
        <v>10</v>
      </c>
      <c r="G6" s="4">
        <v>280</v>
      </c>
      <c r="H6" s="4" t="s">
        <v>21</v>
      </c>
    </row>
    <row r="7" spans="1:8" ht="28.15" customHeight="1" x14ac:dyDescent="0.2">
      <c r="A7" s="4">
        <v>6</v>
      </c>
      <c r="B7" s="4" t="s">
        <v>12</v>
      </c>
      <c r="C7" s="4" t="s">
        <v>22</v>
      </c>
      <c r="D7" s="4" t="s">
        <v>23</v>
      </c>
      <c r="E7" s="4"/>
      <c r="F7" s="4" t="s">
        <v>10</v>
      </c>
      <c r="G7" s="4">
        <v>100</v>
      </c>
      <c r="H7" s="4" t="s">
        <v>23</v>
      </c>
    </row>
    <row r="8" spans="1:8" ht="28.15" customHeight="1" x14ac:dyDescent="0.2">
      <c r="A8" s="4">
        <v>7</v>
      </c>
      <c r="B8" s="4" t="s">
        <v>12</v>
      </c>
      <c r="C8" s="4" t="s">
        <v>24</v>
      </c>
      <c r="D8" s="4" t="s">
        <v>25</v>
      </c>
      <c r="E8" s="4"/>
      <c r="F8" s="4" t="s">
        <v>10</v>
      </c>
      <c r="G8" s="4">
        <v>36</v>
      </c>
      <c r="H8" s="4" t="s">
        <v>25</v>
      </c>
    </row>
    <row r="9" spans="1:8" ht="28.15" customHeight="1" x14ac:dyDescent="0.2">
      <c r="A9" s="4">
        <v>8</v>
      </c>
      <c r="B9" s="4" t="s">
        <v>12</v>
      </c>
      <c r="C9" s="4" t="s">
        <v>26</v>
      </c>
      <c r="D9" s="4" t="s">
        <v>27</v>
      </c>
      <c r="E9" s="4"/>
      <c r="F9" s="4" t="s">
        <v>10</v>
      </c>
      <c r="G9" s="4">
        <v>7</v>
      </c>
      <c r="H9" s="4" t="s">
        <v>27</v>
      </c>
    </row>
    <row r="10" spans="1:8" ht="28.15" customHeight="1" x14ac:dyDescent="0.2">
      <c r="A10" s="4">
        <v>9</v>
      </c>
      <c r="B10" s="4" t="s">
        <v>12</v>
      </c>
      <c r="C10" s="4" t="s">
        <v>28</v>
      </c>
      <c r="D10" s="4" t="s">
        <v>29</v>
      </c>
      <c r="E10" s="4"/>
      <c r="F10" s="4" t="s">
        <v>10</v>
      </c>
      <c r="G10" s="4">
        <v>32</v>
      </c>
      <c r="H10" s="4" t="s">
        <v>29</v>
      </c>
    </row>
    <row r="11" spans="1:8" ht="28.15" customHeight="1" x14ac:dyDescent="0.2">
      <c r="A11" s="4">
        <v>10</v>
      </c>
      <c r="B11" s="4" t="s">
        <v>12</v>
      </c>
      <c r="C11" s="4" t="s">
        <v>30</v>
      </c>
      <c r="D11" s="4" t="s">
        <v>31</v>
      </c>
      <c r="E11" s="4"/>
      <c r="F11" s="4" t="s">
        <v>10</v>
      </c>
      <c r="G11" s="4">
        <v>262</v>
      </c>
      <c r="H11" s="4" t="s">
        <v>31</v>
      </c>
    </row>
    <row r="12" spans="1:8" ht="28.15" customHeight="1" x14ac:dyDescent="0.2">
      <c r="A12" s="4">
        <v>11</v>
      </c>
      <c r="B12" s="4" t="s">
        <v>12</v>
      </c>
      <c r="C12" s="4" t="s">
        <v>32</v>
      </c>
      <c r="D12" s="4" t="s">
        <v>33</v>
      </c>
      <c r="E12" s="4"/>
      <c r="F12" s="4" t="s">
        <v>10</v>
      </c>
      <c r="G12" s="4">
        <v>42</v>
      </c>
      <c r="H12" s="4" t="s">
        <v>33</v>
      </c>
    </row>
    <row r="13" spans="1:8" ht="28.15" customHeight="1" x14ac:dyDescent="0.2">
      <c r="A13" s="4">
        <v>12</v>
      </c>
      <c r="B13" s="4" t="s">
        <v>12</v>
      </c>
      <c r="C13" s="4" t="s">
        <v>34</v>
      </c>
      <c r="D13" s="4" t="s">
        <v>35</v>
      </c>
      <c r="E13" s="4" t="s">
        <v>36</v>
      </c>
      <c r="F13" s="4" t="s">
        <v>10</v>
      </c>
      <c r="G13" s="4">
        <v>52</v>
      </c>
      <c r="H13" s="4" t="s">
        <v>35</v>
      </c>
    </row>
    <row r="14" spans="1:8" ht="28.15" customHeight="1" x14ac:dyDescent="0.2">
      <c r="A14" s="4">
        <v>13</v>
      </c>
      <c r="B14" s="4" t="s">
        <v>12</v>
      </c>
      <c r="C14" s="4" t="s">
        <v>37</v>
      </c>
      <c r="D14" s="4" t="s">
        <v>38</v>
      </c>
      <c r="E14" s="4"/>
      <c r="F14" s="4" t="s">
        <v>10</v>
      </c>
      <c r="G14" s="4">
        <v>2</v>
      </c>
      <c r="H14" s="4" t="s">
        <v>38</v>
      </c>
    </row>
    <row r="15" spans="1:8" ht="28.15" customHeight="1" x14ac:dyDescent="0.2">
      <c r="A15" s="4">
        <v>14</v>
      </c>
      <c r="B15" s="4" t="s">
        <v>8</v>
      </c>
      <c r="C15" s="4" t="s">
        <v>39</v>
      </c>
      <c r="D15" s="4"/>
      <c r="E15" s="4"/>
      <c r="F15" s="4" t="s">
        <v>10</v>
      </c>
      <c r="G15" s="4">
        <v>155</v>
      </c>
      <c r="H15" s="4" t="s">
        <v>40</v>
      </c>
    </row>
    <row r="16" spans="1:8" ht="28.15" customHeight="1" x14ac:dyDescent="0.2">
      <c r="A16" s="4">
        <v>15</v>
      </c>
      <c r="B16" s="4" t="s">
        <v>12</v>
      </c>
      <c r="C16" s="4" t="s">
        <v>41</v>
      </c>
      <c r="D16" s="4" t="s">
        <v>42</v>
      </c>
      <c r="E16" s="4"/>
      <c r="F16" s="4" t="s">
        <v>10</v>
      </c>
      <c r="G16" s="4">
        <v>16</v>
      </c>
      <c r="H16" s="4" t="s">
        <v>42</v>
      </c>
    </row>
    <row r="17" spans="1:8" ht="28.15" customHeight="1" x14ac:dyDescent="0.2">
      <c r="A17" s="4">
        <v>16</v>
      </c>
      <c r="B17" s="4" t="s">
        <v>12</v>
      </c>
      <c r="C17" s="4" t="s">
        <v>43</v>
      </c>
      <c r="D17" s="4" t="s">
        <v>44</v>
      </c>
      <c r="E17" s="4"/>
      <c r="F17" s="4" t="s">
        <v>10</v>
      </c>
      <c r="G17" s="4">
        <v>2</v>
      </c>
      <c r="H17" s="4" t="s">
        <v>45</v>
      </c>
    </row>
    <row r="18" spans="1:8" ht="28.15" customHeight="1" x14ac:dyDescent="0.2">
      <c r="A18" s="4">
        <v>17</v>
      </c>
      <c r="B18" s="4" t="s">
        <v>12</v>
      </c>
      <c r="C18" s="4" t="s">
        <v>46</v>
      </c>
      <c r="D18" s="4" t="s">
        <v>47</v>
      </c>
      <c r="E18" s="4"/>
      <c r="F18" s="4" t="s">
        <v>10</v>
      </c>
      <c r="G18" s="4">
        <v>3</v>
      </c>
      <c r="H18" s="4" t="s">
        <v>47</v>
      </c>
    </row>
    <row r="19" spans="1:8" ht="28.15" customHeight="1" x14ac:dyDescent="0.2">
      <c r="A19" s="4">
        <v>18</v>
      </c>
      <c r="B19" s="4" t="s">
        <v>8</v>
      </c>
      <c r="C19" s="4" t="s">
        <v>48</v>
      </c>
      <c r="D19" s="4"/>
      <c r="E19" s="4" t="s">
        <v>49</v>
      </c>
      <c r="F19" s="4" t="s">
        <v>10</v>
      </c>
      <c r="G19" s="4">
        <v>8</v>
      </c>
      <c r="H19" s="4" t="s">
        <v>50</v>
      </c>
    </row>
    <row r="20" spans="1:8" ht="28.15" customHeight="1" x14ac:dyDescent="0.2">
      <c r="A20" s="4">
        <v>19</v>
      </c>
      <c r="B20" s="4" t="s">
        <v>8</v>
      </c>
      <c r="C20" s="4" t="s">
        <v>51</v>
      </c>
      <c r="D20" s="4"/>
      <c r="E20" s="4" t="s">
        <v>52</v>
      </c>
      <c r="F20" s="4" t="s">
        <v>10</v>
      </c>
      <c r="G20" s="4">
        <v>1</v>
      </c>
      <c r="H20" s="4" t="s">
        <v>53</v>
      </c>
    </row>
    <row r="21" spans="1:8" ht="28.15" customHeight="1" x14ac:dyDescent="0.2">
      <c r="A21" s="4">
        <v>20</v>
      </c>
      <c r="B21" s="4" t="s">
        <v>12</v>
      </c>
      <c r="C21" s="4" t="s">
        <v>54</v>
      </c>
      <c r="D21" s="4" t="s">
        <v>55</v>
      </c>
      <c r="E21" s="4"/>
      <c r="F21" s="4" t="s">
        <v>10</v>
      </c>
      <c r="G21" s="4">
        <v>5</v>
      </c>
      <c r="H21" s="4" t="s">
        <v>55</v>
      </c>
    </row>
    <row r="22" spans="1:8" ht="28.15" customHeight="1" x14ac:dyDescent="0.2">
      <c r="A22" s="4">
        <v>21</v>
      </c>
      <c r="B22" s="4" t="s">
        <v>8</v>
      </c>
      <c r="C22" s="4" t="s">
        <v>56</v>
      </c>
      <c r="D22" s="4"/>
      <c r="E22" s="4"/>
      <c r="F22" s="4" t="s">
        <v>10</v>
      </c>
      <c r="G22" s="4">
        <v>5</v>
      </c>
      <c r="H22" s="4"/>
    </row>
    <row r="23" spans="1:8" ht="28.15" customHeight="1" x14ac:dyDescent="0.2">
      <c r="A23" s="4">
        <v>22</v>
      </c>
      <c r="B23" s="4" t="s">
        <v>12</v>
      </c>
      <c r="C23" s="4" t="s">
        <v>56</v>
      </c>
      <c r="D23" s="4" t="s">
        <v>57</v>
      </c>
      <c r="E23" s="4"/>
      <c r="F23" s="4" t="s">
        <v>10</v>
      </c>
      <c r="G23" s="4">
        <v>1</v>
      </c>
      <c r="H23" s="4" t="s">
        <v>57</v>
      </c>
    </row>
    <row r="24" spans="1:8" ht="28.15" customHeight="1" x14ac:dyDescent="0.2">
      <c r="A24" s="4">
        <v>23</v>
      </c>
      <c r="B24" s="4" t="s">
        <v>12</v>
      </c>
      <c r="C24" s="4" t="s">
        <v>58</v>
      </c>
      <c r="D24" s="4" t="s">
        <v>59</v>
      </c>
      <c r="E24" s="4"/>
      <c r="F24" s="4" t="s">
        <v>10</v>
      </c>
      <c r="G24" s="4">
        <v>1</v>
      </c>
      <c r="H24" s="4" t="s">
        <v>59</v>
      </c>
    </row>
    <row r="25" spans="1:8" ht="28.15" customHeight="1" x14ac:dyDescent="0.2">
      <c r="A25" s="4">
        <v>24</v>
      </c>
      <c r="B25" s="4" t="s">
        <v>8</v>
      </c>
      <c r="C25" s="4" t="s">
        <v>60</v>
      </c>
      <c r="D25" s="4"/>
      <c r="E25" s="4"/>
      <c r="F25" s="4" t="s">
        <v>10</v>
      </c>
      <c r="G25" s="4">
        <v>240</v>
      </c>
      <c r="H25" s="4" t="s">
        <v>61</v>
      </c>
    </row>
    <row r="26" spans="1:8" ht="28.15" customHeight="1" x14ac:dyDescent="0.2">
      <c r="A26" s="4">
        <v>25</v>
      </c>
      <c r="B26" s="4" t="s">
        <v>12</v>
      </c>
      <c r="C26" s="4" t="s">
        <v>62</v>
      </c>
      <c r="D26" s="4" t="s">
        <v>63</v>
      </c>
      <c r="E26" s="4"/>
      <c r="F26" s="4" t="s">
        <v>10</v>
      </c>
      <c r="G26" s="4">
        <v>26</v>
      </c>
      <c r="H26" s="4" t="s">
        <v>63</v>
      </c>
    </row>
    <row r="27" spans="1:8" ht="28.15" customHeight="1" x14ac:dyDescent="0.2">
      <c r="A27" s="4">
        <v>26</v>
      </c>
      <c r="B27" s="4" t="s">
        <v>12</v>
      </c>
      <c r="C27" s="4" t="s">
        <v>64</v>
      </c>
      <c r="D27" s="4" t="s">
        <v>65</v>
      </c>
      <c r="E27" s="4"/>
      <c r="F27" s="4" t="s">
        <v>10</v>
      </c>
      <c r="G27" s="4">
        <v>14</v>
      </c>
      <c r="H27" s="4" t="s">
        <v>65</v>
      </c>
    </row>
    <row r="28" spans="1:8" ht="28.15" customHeight="1" x14ac:dyDescent="0.2">
      <c r="A28" s="4">
        <v>27</v>
      </c>
      <c r="B28" s="4" t="s">
        <v>12</v>
      </c>
      <c r="C28" s="4" t="s">
        <v>66</v>
      </c>
      <c r="D28" s="4" t="s">
        <v>67</v>
      </c>
      <c r="E28" s="4"/>
      <c r="F28" s="4" t="s">
        <v>10</v>
      </c>
      <c r="G28" s="4">
        <v>42</v>
      </c>
      <c r="H28" s="4" t="s">
        <v>67</v>
      </c>
    </row>
    <row r="29" spans="1:8" ht="28.15" customHeight="1" x14ac:dyDescent="0.2">
      <c r="A29" s="4">
        <v>28</v>
      </c>
      <c r="B29" s="4" t="s">
        <v>12</v>
      </c>
      <c r="C29" s="4" t="s">
        <v>68</v>
      </c>
      <c r="D29" s="4" t="s">
        <v>69</v>
      </c>
      <c r="E29" s="4" t="s">
        <v>70</v>
      </c>
      <c r="F29" s="4" t="s">
        <v>10</v>
      </c>
      <c r="G29" s="4">
        <v>26</v>
      </c>
      <c r="H29" s="4" t="s">
        <v>69</v>
      </c>
    </row>
    <row r="30" spans="1:8" ht="28.15" customHeight="1" x14ac:dyDescent="0.2">
      <c r="A30" s="4">
        <v>29</v>
      </c>
      <c r="B30" s="4" t="s">
        <v>12</v>
      </c>
      <c r="C30" s="4" t="s">
        <v>71</v>
      </c>
      <c r="D30" s="4" t="s">
        <v>72</v>
      </c>
      <c r="E30" s="4" t="s">
        <v>73</v>
      </c>
      <c r="F30" s="4" t="s">
        <v>74</v>
      </c>
      <c r="G30" s="4">
        <v>2</v>
      </c>
      <c r="H30" s="4" t="s">
        <v>72</v>
      </c>
    </row>
    <row r="31" spans="1:8" ht="28.15" customHeight="1" x14ac:dyDescent="0.2">
      <c r="A31" s="4">
        <v>30</v>
      </c>
      <c r="B31" s="4" t="s">
        <v>12</v>
      </c>
      <c r="C31" s="4" t="s">
        <v>75</v>
      </c>
      <c r="D31" s="4" t="s">
        <v>76</v>
      </c>
      <c r="E31" s="4" t="s">
        <v>77</v>
      </c>
      <c r="F31" s="4" t="s">
        <v>10</v>
      </c>
      <c r="G31" s="4">
        <v>44</v>
      </c>
      <c r="H31" s="4" t="s">
        <v>78</v>
      </c>
    </row>
    <row r="32" spans="1:8" ht="28.15" customHeight="1" x14ac:dyDescent="0.2">
      <c r="A32" s="4">
        <v>31</v>
      </c>
      <c r="B32" s="4" t="s">
        <v>12</v>
      </c>
      <c r="C32" s="4" t="s">
        <v>79</v>
      </c>
      <c r="D32" s="4" t="s">
        <v>80</v>
      </c>
      <c r="E32" s="4" t="s">
        <v>81</v>
      </c>
      <c r="F32" s="4" t="s">
        <v>10</v>
      </c>
      <c r="G32" s="4">
        <v>50</v>
      </c>
      <c r="H32" s="4" t="s">
        <v>82</v>
      </c>
    </row>
    <row r="33" spans="1:8" ht="28.15" customHeight="1" x14ac:dyDescent="0.2">
      <c r="A33" s="4">
        <v>32</v>
      </c>
      <c r="B33" s="4" t="s">
        <v>12</v>
      </c>
      <c r="C33" s="4" t="s">
        <v>83</v>
      </c>
      <c r="D33" s="4" t="s">
        <v>84</v>
      </c>
      <c r="E33" s="4"/>
      <c r="F33" s="4" t="s">
        <v>10</v>
      </c>
      <c r="G33" s="4">
        <v>122</v>
      </c>
      <c r="H33" s="4" t="s">
        <v>84</v>
      </c>
    </row>
    <row r="34" spans="1:8" ht="28.15" customHeight="1" x14ac:dyDescent="0.2">
      <c r="A34" s="4">
        <v>33</v>
      </c>
      <c r="B34" s="4" t="s">
        <v>12</v>
      </c>
      <c r="C34" s="4" t="s">
        <v>85</v>
      </c>
      <c r="D34" s="4" t="s">
        <v>86</v>
      </c>
      <c r="E34" s="4"/>
      <c r="F34" s="4" t="s">
        <v>10</v>
      </c>
      <c r="G34" s="4">
        <v>5</v>
      </c>
      <c r="H34" s="4" t="s">
        <v>86</v>
      </c>
    </row>
    <row r="35" spans="1:8" ht="28.15" customHeight="1" x14ac:dyDescent="0.2">
      <c r="A35" s="4">
        <v>34</v>
      </c>
      <c r="B35" s="4" t="s">
        <v>12</v>
      </c>
      <c r="C35" s="4" t="s">
        <v>87</v>
      </c>
      <c r="D35" s="4" t="s">
        <v>88</v>
      </c>
      <c r="E35" s="4" t="s">
        <v>89</v>
      </c>
      <c r="F35" s="4" t="s">
        <v>74</v>
      </c>
      <c r="G35" s="4">
        <v>18</v>
      </c>
      <c r="H35" s="4" t="s">
        <v>90</v>
      </c>
    </row>
    <row r="36" spans="1:8" ht="28.15" customHeight="1" x14ac:dyDescent="0.2">
      <c r="A36" s="4">
        <v>35</v>
      </c>
      <c r="B36" s="4" t="s">
        <v>12</v>
      </c>
      <c r="C36" s="4" t="s">
        <v>91</v>
      </c>
      <c r="D36" s="4" t="s">
        <v>92</v>
      </c>
      <c r="E36" s="4" t="s">
        <v>93</v>
      </c>
      <c r="F36" s="4" t="s">
        <v>74</v>
      </c>
      <c r="G36" s="4">
        <v>1</v>
      </c>
      <c r="H36" s="4" t="s">
        <v>94</v>
      </c>
    </row>
    <row r="37" spans="1:8" ht="28.15" customHeight="1" x14ac:dyDescent="0.2">
      <c r="A37" s="4">
        <v>36</v>
      </c>
      <c r="B37" s="4" t="s">
        <v>12</v>
      </c>
      <c r="C37" s="4" t="s">
        <v>95</v>
      </c>
      <c r="D37" s="4" t="s">
        <v>96</v>
      </c>
      <c r="E37" s="4" t="s">
        <v>89</v>
      </c>
      <c r="F37" s="4" t="s">
        <v>10</v>
      </c>
      <c r="G37" s="4">
        <v>1</v>
      </c>
      <c r="H37" s="4" t="s">
        <v>97</v>
      </c>
    </row>
    <row r="38" spans="1:8" ht="28.15" customHeight="1" x14ac:dyDescent="0.2">
      <c r="A38" s="4">
        <v>37</v>
      </c>
      <c r="B38" s="4" t="s">
        <v>12</v>
      </c>
      <c r="C38" s="4" t="s">
        <v>98</v>
      </c>
      <c r="D38" s="4" t="s">
        <v>99</v>
      </c>
      <c r="E38" s="4" t="s">
        <v>100</v>
      </c>
      <c r="F38" s="4" t="s">
        <v>10</v>
      </c>
      <c r="G38" s="4">
        <v>5</v>
      </c>
      <c r="H38" s="4" t="s">
        <v>101</v>
      </c>
    </row>
    <row r="39" spans="1:8" ht="28.15" customHeight="1" x14ac:dyDescent="0.2">
      <c r="A39" s="4">
        <v>38</v>
      </c>
      <c r="B39" s="4" t="s">
        <v>12</v>
      </c>
      <c r="C39" s="4" t="s">
        <v>102</v>
      </c>
      <c r="D39" s="4"/>
      <c r="E39" s="4"/>
      <c r="F39" s="4" t="s">
        <v>103</v>
      </c>
      <c r="G39" s="4">
        <v>770</v>
      </c>
      <c r="H39" s="4"/>
    </row>
    <row r="40" spans="1:8" ht="28.15" customHeight="1" x14ac:dyDescent="0.2">
      <c r="A40" s="4">
        <v>39</v>
      </c>
      <c r="B40" s="4" t="s">
        <v>12</v>
      </c>
      <c r="C40" s="4" t="s">
        <v>104</v>
      </c>
      <c r="D40" s="4"/>
      <c r="E40" s="4"/>
      <c r="F40" s="4" t="s">
        <v>103</v>
      </c>
      <c r="G40" s="4">
        <v>770</v>
      </c>
      <c r="H40" s="4"/>
    </row>
    <row r="41" spans="1:8" ht="28.15" customHeight="1" x14ac:dyDescent="0.2">
      <c r="A41" s="4">
        <v>40</v>
      </c>
      <c r="B41" s="4" t="s">
        <v>12</v>
      </c>
      <c r="C41" s="4" t="s">
        <v>105</v>
      </c>
      <c r="D41" s="4" t="s">
        <v>106</v>
      </c>
      <c r="E41" s="4"/>
      <c r="F41" s="4" t="s">
        <v>10</v>
      </c>
      <c r="G41" s="4">
        <v>1</v>
      </c>
      <c r="H41" s="4" t="s">
        <v>107</v>
      </c>
    </row>
    <row r="42" spans="1:8" ht="28.15" customHeight="1" x14ac:dyDescent="0.2">
      <c r="A42" s="4">
        <v>41</v>
      </c>
      <c r="B42" s="4" t="s">
        <v>12</v>
      </c>
      <c r="C42" s="4" t="s">
        <v>108</v>
      </c>
      <c r="D42" s="4" t="s">
        <v>109</v>
      </c>
      <c r="E42" s="4"/>
      <c r="F42" s="4" t="s">
        <v>10</v>
      </c>
      <c r="G42" s="4">
        <v>9</v>
      </c>
      <c r="H42" s="4" t="s">
        <v>110</v>
      </c>
    </row>
    <row r="43" spans="1:8" ht="28.15" customHeight="1" x14ac:dyDescent="0.2">
      <c r="A43" s="4">
        <v>42</v>
      </c>
      <c r="B43" s="4" t="s">
        <v>8</v>
      </c>
      <c r="C43" s="4" t="s">
        <v>111</v>
      </c>
      <c r="D43" s="4"/>
      <c r="E43" s="4"/>
      <c r="F43" s="4" t="s">
        <v>10</v>
      </c>
      <c r="G43" s="4">
        <v>240</v>
      </c>
      <c r="H43" s="4" t="s">
        <v>112</v>
      </c>
    </row>
    <row r="44" spans="1:8" ht="28.15" customHeight="1" x14ac:dyDescent="0.2">
      <c r="A44" s="4">
        <v>43</v>
      </c>
      <c r="B44" s="4" t="s">
        <v>8</v>
      </c>
      <c r="C44" s="4" t="s">
        <v>113</v>
      </c>
      <c r="D44" s="4"/>
      <c r="E44" s="4" t="s">
        <v>114</v>
      </c>
      <c r="F44" s="4" t="s">
        <v>10</v>
      </c>
      <c r="G44" s="4">
        <v>240</v>
      </c>
      <c r="H44" s="4" t="s">
        <v>115</v>
      </c>
    </row>
    <row r="45" spans="1:8" ht="28.15" customHeight="1" x14ac:dyDescent="0.2">
      <c r="A45" s="4">
        <v>44</v>
      </c>
      <c r="B45" s="4" t="s">
        <v>8</v>
      </c>
      <c r="C45" s="4" t="s">
        <v>116</v>
      </c>
      <c r="D45" s="4"/>
      <c r="E45" s="4" t="s">
        <v>117</v>
      </c>
      <c r="F45" s="4" t="s">
        <v>10</v>
      </c>
      <c r="G45" s="4">
        <v>120</v>
      </c>
      <c r="H45" s="4" t="s">
        <v>118</v>
      </c>
    </row>
    <row r="46" spans="1:8" ht="28.15" customHeight="1" x14ac:dyDescent="0.2">
      <c r="A46" s="4">
        <v>45</v>
      </c>
      <c r="B46" s="4" t="s">
        <v>8</v>
      </c>
      <c r="C46" s="4" t="s">
        <v>119</v>
      </c>
      <c r="D46" s="4"/>
      <c r="E46" s="4"/>
      <c r="F46" s="4" t="s">
        <v>10</v>
      </c>
      <c r="G46" s="4">
        <v>3</v>
      </c>
      <c r="H46" s="4" t="s">
        <v>120</v>
      </c>
    </row>
    <row r="47" spans="1:8" ht="28.15" customHeight="1" x14ac:dyDescent="0.2">
      <c r="A47" s="4">
        <v>46</v>
      </c>
      <c r="B47" s="4" t="s">
        <v>8</v>
      </c>
      <c r="C47" s="4" t="s">
        <v>121</v>
      </c>
      <c r="D47" s="4"/>
      <c r="E47" s="4"/>
      <c r="F47" s="4" t="s">
        <v>10</v>
      </c>
      <c r="G47" s="4">
        <v>120</v>
      </c>
      <c r="H47" s="4" t="s">
        <v>122</v>
      </c>
    </row>
    <row r="48" spans="1:8" ht="28.15" customHeight="1" x14ac:dyDescent="0.2">
      <c r="A48" s="4">
        <v>47</v>
      </c>
      <c r="B48" s="4" t="s">
        <v>12</v>
      </c>
      <c r="C48" s="4" t="s">
        <v>123</v>
      </c>
      <c r="D48" s="4"/>
      <c r="E48" s="4"/>
      <c r="F48" s="4" t="s">
        <v>10</v>
      </c>
      <c r="G48" s="4">
        <v>9</v>
      </c>
      <c r="H48" s="4"/>
    </row>
    <row r="49" spans="1:8" ht="28.15" customHeight="1" x14ac:dyDescent="0.2">
      <c r="A49" s="4">
        <v>48</v>
      </c>
      <c r="B49" s="4" t="s">
        <v>12</v>
      </c>
      <c r="C49" s="4" t="s">
        <v>124</v>
      </c>
      <c r="D49" s="4" t="s">
        <v>125</v>
      </c>
      <c r="E49" s="4" t="s">
        <v>126</v>
      </c>
      <c r="F49" s="4" t="s">
        <v>74</v>
      </c>
      <c r="G49" s="4">
        <v>22</v>
      </c>
      <c r="H49" s="4" t="s">
        <v>125</v>
      </c>
    </row>
    <row r="50" spans="1:8" ht="28.15" customHeight="1" x14ac:dyDescent="0.2">
      <c r="A50" s="4">
        <v>49</v>
      </c>
      <c r="B50" s="4" t="s">
        <v>12</v>
      </c>
      <c r="C50" s="4" t="s">
        <v>127</v>
      </c>
      <c r="D50" s="4" t="s">
        <v>128</v>
      </c>
      <c r="E50" s="4" t="s">
        <v>129</v>
      </c>
      <c r="F50" s="4" t="s">
        <v>74</v>
      </c>
      <c r="G50" s="4">
        <v>180</v>
      </c>
      <c r="H50" s="4" t="s">
        <v>128</v>
      </c>
    </row>
    <row r="51" spans="1:8" ht="28.15" customHeight="1" x14ac:dyDescent="0.2">
      <c r="A51" s="4">
        <v>50</v>
      </c>
      <c r="B51" s="4" t="s">
        <v>12</v>
      </c>
      <c r="C51" s="4" t="s">
        <v>130</v>
      </c>
      <c r="D51" s="4" t="s">
        <v>131</v>
      </c>
      <c r="E51" s="4" t="s">
        <v>132</v>
      </c>
      <c r="F51" s="4" t="s">
        <v>10</v>
      </c>
      <c r="G51" s="4">
        <v>60</v>
      </c>
      <c r="H51" s="4" t="s">
        <v>131</v>
      </c>
    </row>
    <row r="52" spans="1:8" ht="28.15" customHeight="1" x14ac:dyDescent="0.2">
      <c r="A52" s="4">
        <v>51</v>
      </c>
      <c r="B52" s="4" t="s">
        <v>12</v>
      </c>
      <c r="C52" s="4" t="s">
        <v>133</v>
      </c>
      <c r="D52" s="4" t="s">
        <v>134</v>
      </c>
      <c r="E52" s="4" t="s">
        <v>135</v>
      </c>
      <c r="F52" s="4" t="s">
        <v>10</v>
      </c>
      <c r="G52" s="4">
        <v>130</v>
      </c>
      <c r="H52" s="4" t="s">
        <v>134</v>
      </c>
    </row>
    <row r="53" spans="1:8" ht="28.15" customHeight="1" x14ac:dyDescent="0.2">
      <c r="A53" s="4">
        <v>52</v>
      </c>
      <c r="B53" s="4" t="s">
        <v>12</v>
      </c>
      <c r="C53" s="4" t="s">
        <v>136</v>
      </c>
      <c r="D53" s="4" t="s">
        <v>137</v>
      </c>
      <c r="E53" s="4"/>
      <c r="F53" s="4" t="s">
        <v>10</v>
      </c>
      <c r="G53" s="4">
        <v>415</v>
      </c>
      <c r="H53" s="4" t="s">
        <v>137</v>
      </c>
    </row>
    <row r="54" spans="1:8" ht="28.15" customHeight="1" x14ac:dyDescent="0.2">
      <c r="A54" s="4">
        <v>53</v>
      </c>
      <c r="B54" s="4" t="s">
        <v>12</v>
      </c>
      <c r="C54" s="4" t="s">
        <v>138</v>
      </c>
      <c r="D54" s="4" t="s">
        <v>139</v>
      </c>
      <c r="E54" s="4"/>
      <c r="F54" s="4" t="s">
        <v>10</v>
      </c>
      <c r="G54" s="4">
        <v>17</v>
      </c>
      <c r="H54" s="4" t="s">
        <v>140</v>
      </c>
    </row>
    <row r="55" spans="1:8" ht="28.15" customHeight="1" x14ac:dyDescent="0.2">
      <c r="A55" s="4">
        <v>54</v>
      </c>
      <c r="B55" s="4" t="s">
        <v>12</v>
      </c>
      <c r="C55" s="4" t="s">
        <v>141</v>
      </c>
      <c r="D55" s="4" t="s">
        <v>142</v>
      </c>
      <c r="E55" s="4"/>
      <c r="F55" s="4" t="s">
        <v>10</v>
      </c>
      <c r="G55" s="4">
        <v>9</v>
      </c>
      <c r="H55" s="4" t="s">
        <v>142</v>
      </c>
    </row>
    <row r="56" spans="1:8" ht="28.15" customHeight="1" x14ac:dyDescent="0.2">
      <c r="A56" s="4">
        <v>55</v>
      </c>
      <c r="B56" s="4" t="s">
        <v>12</v>
      </c>
      <c r="C56" s="4" t="s">
        <v>143</v>
      </c>
      <c r="D56" s="4" t="s">
        <v>144</v>
      </c>
      <c r="E56" s="4" t="s">
        <v>145</v>
      </c>
      <c r="F56" s="4" t="s">
        <v>10</v>
      </c>
      <c r="G56" s="4">
        <v>2</v>
      </c>
      <c r="H56" s="4" t="s">
        <v>146</v>
      </c>
    </row>
    <row r="57" spans="1:8" ht="28.15" customHeight="1" x14ac:dyDescent="0.2">
      <c r="A57" s="4">
        <v>56</v>
      </c>
      <c r="B57" s="4" t="s">
        <v>8</v>
      </c>
      <c r="C57" s="4" t="s">
        <v>147</v>
      </c>
      <c r="D57" s="4"/>
      <c r="E57" s="4"/>
      <c r="F57" s="4" t="s">
        <v>10</v>
      </c>
      <c r="G57" s="4">
        <v>20</v>
      </c>
      <c r="H57" s="4" t="s">
        <v>148</v>
      </c>
    </row>
    <row r="58" spans="1:8" ht="28.15" customHeight="1" x14ac:dyDescent="0.2">
      <c r="A58" s="4">
        <v>57</v>
      </c>
      <c r="B58" s="4" t="s">
        <v>12</v>
      </c>
      <c r="C58" s="4" t="s">
        <v>147</v>
      </c>
      <c r="D58" s="4" t="s">
        <v>149</v>
      </c>
      <c r="E58" s="4"/>
      <c r="F58" s="4" t="s">
        <v>10</v>
      </c>
      <c r="G58" s="4">
        <v>6</v>
      </c>
      <c r="H58" s="4" t="s">
        <v>150</v>
      </c>
    </row>
    <row r="59" spans="1:8" ht="28.15" customHeight="1" x14ac:dyDescent="0.2">
      <c r="A59" s="4">
        <v>58</v>
      </c>
      <c r="B59" s="4" t="s">
        <v>12</v>
      </c>
      <c r="C59" s="4" t="s">
        <v>151</v>
      </c>
      <c r="D59" s="4" t="s">
        <v>152</v>
      </c>
      <c r="E59" s="4" t="s">
        <v>153</v>
      </c>
      <c r="F59" s="4" t="s">
        <v>74</v>
      </c>
      <c r="G59" s="4">
        <v>6</v>
      </c>
      <c r="H59" s="4" t="s">
        <v>152</v>
      </c>
    </row>
    <row r="60" spans="1:8" ht="28.15" customHeight="1" x14ac:dyDescent="0.2">
      <c r="A60" s="4">
        <v>59</v>
      </c>
      <c r="B60" s="4" t="s">
        <v>12</v>
      </c>
      <c r="C60" s="4" t="s">
        <v>154</v>
      </c>
      <c r="D60" s="4" t="s">
        <v>155</v>
      </c>
      <c r="E60" s="4"/>
      <c r="F60" s="4" t="s">
        <v>10</v>
      </c>
      <c r="G60" s="4">
        <v>31</v>
      </c>
      <c r="H60" s="4" t="s">
        <v>155</v>
      </c>
    </row>
    <row r="61" spans="1:8" ht="28.15" customHeight="1" x14ac:dyDescent="0.2">
      <c r="A61" s="4">
        <v>60</v>
      </c>
      <c r="B61" s="4" t="s">
        <v>12</v>
      </c>
      <c r="C61" s="4" t="s">
        <v>156</v>
      </c>
      <c r="D61" s="4"/>
      <c r="E61" s="4"/>
      <c r="F61" s="4" t="s">
        <v>10</v>
      </c>
      <c r="G61" s="4">
        <v>17</v>
      </c>
      <c r="H61" s="4"/>
    </row>
    <row r="62" spans="1:8" ht="28.15" customHeight="1" x14ac:dyDescent="0.2">
      <c r="A62" s="4">
        <v>61</v>
      </c>
      <c r="B62" s="4" t="s">
        <v>12</v>
      </c>
      <c r="C62" s="4" t="s">
        <v>157</v>
      </c>
      <c r="D62" s="4" t="s">
        <v>158</v>
      </c>
      <c r="E62" s="4"/>
      <c r="F62" s="4" t="s">
        <v>10</v>
      </c>
      <c r="G62" s="4">
        <v>200</v>
      </c>
      <c r="H62" s="4" t="s">
        <v>158</v>
      </c>
    </row>
    <row r="63" spans="1:8" ht="28.15" customHeight="1" x14ac:dyDescent="0.2">
      <c r="A63" s="4">
        <v>62</v>
      </c>
      <c r="B63" s="4" t="s">
        <v>8</v>
      </c>
      <c r="C63" s="4" t="s">
        <v>159</v>
      </c>
      <c r="D63" s="4"/>
      <c r="E63" s="4"/>
      <c r="F63" s="4" t="s">
        <v>10</v>
      </c>
      <c r="G63" s="4">
        <v>1</v>
      </c>
      <c r="H63" s="4" t="s">
        <v>160</v>
      </c>
    </row>
    <row r="64" spans="1:8" ht="28.15" customHeight="1" x14ac:dyDescent="0.2">
      <c r="A64" s="4">
        <v>63</v>
      </c>
      <c r="B64" s="4" t="s">
        <v>12</v>
      </c>
      <c r="C64" s="4" t="s">
        <v>161</v>
      </c>
      <c r="D64" s="4" t="s">
        <v>162</v>
      </c>
      <c r="E64" s="4"/>
      <c r="F64" s="4" t="s">
        <v>10</v>
      </c>
      <c r="G64" s="4">
        <v>1</v>
      </c>
      <c r="H64" s="4" t="s">
        <v>162</v>
      </c>
    </row>
    <row r="65" spans="1:8" ht="28.15" customHeight="1" x14ac:dyDescent="0.2">
      <c r="A65" s="4">
        <v>64</v>
      </c>
      <c r="B65" s="4" t="s">
        <v>12</v>
      </c>
      <c r="C65" s="4" t="s">
        <v>163</v>
      </c>
      <c r="D65" s="4" t="s">
        <v>164</v>
      </c>
      <c r="E65" s="4"/>
      <c r="F65" s="4" t="s">
        <v>10</v>
      </c>
      <c r="G65" s="4">
        <v>10</v>
      </c>
      <c r="H65" s="4" t="s">
        <v>165</v>
      </c>
    </row>
    <row r="66" spans="1:8" ht="28.15" customHeight="1" x14ac:dyDescent="0.2">
      <c r="A66" s="4">
        <v>65</v>
      </c>
      <c r="B66" s="4" t="s">
        <v>12</v>
      </c>
      <c r="C66" s="4" t="s">
        <v>166</v>
      </c>
      <c r="D66" s="4"/>
      <c r="E66" s="4" t="s">
        <v>167</v>
      </c>
      <c r="F66" s="4" t="s">
        <v>10</v>
      </c>
      <c r="G66" s="4">
        <v>5</v>
      </c>
      <c r="H66" s="4"/>
    </row>
    <row r="67" spans="1:8" ht="28.15" customHeight="1" x14ac:dyDescent="0.2">
      <c r="A67" s="4">
        <v>66</v>
      </c>
      <c r="B67" s="4" t="s">
        <v>12</v>
      </c>
      <c r="C67" s="4" t="s">
        <v>168</v>
      </c>
      <c r="D67" s="4" t="s">
        <v>169</v>
      </c>
      <c r="E67" s="4"/>
      <c r="F67" s="4" t="s">
        <v>103</v>
      </c>
      <c r="G67" s="4">
        <v>46</v>
      </c>
      <c r="H67" s="4" t="s">
        <v>169</v>
      </c>
    </row>
    <row r="68" spans="1:8" ht="28.15" customHeight="1" x14ac:dyDescent="0.2">
      <c r="A68" s="4">
        <v>67</v>
      </c>
      <c r="B68" s="4" t="s">
        <v>12</v>
      </c>
      <c r="C68" s="4" t="s">
        <v>170</v>
      </c>
      <c r="D68" s="4" t="s">
        <v>171</v>
      </c>
      <c r="E68" s="4"/>
      <c r="F68" s="4" t="s">
        <v>103</v>
      </c>
      <c r="G68" s="4">
        <v>85</v>
      </c>
      <c r="H68" s="4" t="s">
        <v>171</v>
      </c>
    </row>
    <row r="69" spans="1:8" ht="28.15" customHeight="1" x14ac:dyDescent="0.2">
      <c r="A69" s="4">
        <v>68</v>
      </c>
      <c r="B69" s="4" t="s">
        <v>12</v>
      </c>
      <c r="C69" s="4" t="s">
        <v>172</v>
      </c>
      <c r="D69" s="4" t="s">
        <v>173</v>
      </c>
      <c r="E69" s="4"/>
      <c r="F69" s="4" t="s">
        <v>103</v>
      </c>
      <c r="G69" s="4">
        <v>120</v>
      </c>
      <c r="H69" s="4" t="s">
        <v>173</v>
      </c>
    </row>
    <row r="70" spans="1:8" ht="28.15" customHeight="1" x14ac:dyDescent="0.2">
      <c r="A70" s="4">
        <v>69</v>
      </c>
      <c r="B70" s="4" t="s">
        <v>12</v>
      </c>
      <c r="C70" s="4" t="s">
        <v>174</v>
      </c>
      <c r="D70" s="4" t="s">
        <v>175</v>
      </c>
      <c r="E70" s="4"/>
      <c r="F70" s="4" t="s">
        <v>10</v>
      </c>
      <c r="G70" s="4">
        <v>10</v>
      </c>
      <c r="H70" s="4" t="s">
        <v>175</v>
      </c>
    </row>
    <row r="71" spans="1:8" ht="28.15" customHeight="1" x14ac:dyDescent="0.2">
      <c r="A71" s="4">
        <v>70</v>
      </c>
      <c r="B71" s="4" t="s">
        <v>8</v>
      </c>
      <c r="C71" s="4" t="s">
        <v>176</v>
      </c>
      <c r="D71" s="4"/>
      <c r="E71" s="4"/>
      <c r="F71" s="4" t="s">
        <v>74</v>
      </c>
      <c r="G71" s="4">
        <v>18</v>
      </c>
      <c r="H71" s="4" t="s">
        <v>177</v>
      </c>
    </row>
    <row r="72" spans="1:8" ht="28.15" customHeight="1" x14ac:dyDescent="0.2">
      <c r="A72" s="4">
        <v>71</v>
      </c>
      <c r="B72" s="4" t="s">
        <v>12</v>
      </c>
      <c r="C72" s="4" t="s">
        <v>178</v>
      </c>
      <c r="D72" s="4" t="s">
        <v>179</v>
      </c>
      <c r="E72" s="4"/>
      <c r="F72" s="4" t="s">
        <v>74</v>
      </c>
      <c r="G72" s="4">
        <v>7</v>
      </c>
      <c r="H72" s="4" t="s">
        <v>180</v>
      </c>
    </row>
    <row r="73" spans="1:8" ht="28.15" customHeight="1" x14ac:dyDescent="0.2">
      <c r="A73" s="4">
        <v>72</v>
      </c>
      <c r="B73" s="4" t="s">
        <v>12</v>
      </c>
      <c r="C73" s="4" t="s">
        <v>181</v>
      </c>
      <c r="D73" s="4" t="s">
        <v>182</v>
      </c>
      <c r="E73" s="4"/>
      <c r="F73" s="4" t="s">
        <v>10</v>
      </c>
      <c r="G73" s="4">
        <v>13</v>
      </c>
      <c r="H73" s="4" t="s">
        <v>183</v>
      </c>
    </row>
    <row r="74" spans="1:8" ht="28.15" customHeight="1" x14ac:dyDescent="0.2">
      <c r="A74" s="4">
        <v>73</v>
      </c>
      <c r="B74" s="4" t="s">
        <v>12</v>
      </c>
      <c r="C74" s="4" t="s">
        <v>184</v>
      </c>
      <c r="D74" s="4" t="s">
        <v>185</v>
      </c>
      <c r="E74" s="4"/>
      <c r="F74" s="4" t="s">
        <v>10</v>
      </c>
      <c r="G74" s="4">
        <v>2</v>
      </c>
      <c r="H74" s="4" t="s">
        <v>186</v>
      </c>
    </row>
    <row r="75" spans="1:8" ht="28.15" customHeight="1" x14ac:dyDescent="0.2">
      <c r="A75" s="4">
        <v>74</v>
      </c>
      <c r="B75" s="4" t="s">
        <v>12</v>
      </c>
      <c r="C75" s="4" t="s">
        <v>187</v>
      </c>
      <c r="D75" s="4" t="s">
        <v>188</v>
      </c>
      <c r="E75" s="4"/>
      <c r="F75" s="4" t="s">
        <v>10</v>
      </c>
      <c r="G75" s="4">
        <v>17</v>
      </c>
      <c r="H75" s="4" t="s">
        <v>188</v>
      </c>
    </row>
    <row r="76" spans="1:8" ht="28.15" customHeight="1" x14ac:dyDescent="0.2">
      <c r="A76" s="4">
        <v>75</v>
      </c>
      <c r="B76" s="4" t="s">
        <v>12</v>
      </c>
      <c r="C76" s="4" t="s">
        <v>189</v>
      </c>
      <c r="D76" s="4" t="s">
        <v>190</v>
      </c>
      <c r="E76" s="4" t="s">
        <v>191</v>
      </c>
      <c r="F76" s="4" t="s">
        <v>74</v>
      </c>
      <c r="G76" s="4">
        <v>6</v>
      </c>
      <c r="H76" s="4" t="s">
        <v>190</v>
      </c>
    </row>
    <row r="77" spans="1:8" ht="28.15" customHeight="1" x14ac:dyDescent="0.2">
      <c r="A77" s="4">
        <v>76</v>
      </c>
      <c r="B77" s="4" t="s">
        <v>12</v>
      </c>
      <c r="C77" s="4" t="s">
        <v>192</v>
      </c>
      <c r="D77" s="4" t="s">
        <v>193</v>
      </c>
      <c r="E77" s="4" t="s">
        <v>194</v>
      </c>
      <c r="F77" s="4" t="s">
        <v>74</v>
      </c>
      <c r="G77" s="4">
        <v>2</v>
      </c>
      <c r="H77" s="4" t="s">
        <v>193</v>
      </c>
    </row>
    <row r="78" spans="1:8" ht="28.15" customHeight="1" x14ac:dyDescent="0.2">
      <c r="A78" s="4">
        <v>77</v>
      </c>
      <c r="B78" s="4" t="s">
        <v>12</v>
      </c>
      <c r="C78" s="4" t="s">
        <v>195</v>
      </c>
      <c r="D78" s="4" t="s">
        <v>196</v>
      </c>
      <c r="E78" s="4" t="s">
        <v>197</v>
      </c>
      <c r="F78" s="4" t="s">
        <v>74</v>
      </c>
      <c r="G78" s="4">
        <v>20</v>
      </c>
      <c r="H78" s="4" t="s">
        <v>196</v>
      </c>
    </row>
    <row r="79" spans="1:8" ht="28.15" customHeight="1" x14ac:dyDescent="0.2">
      <c r="A79" s="4">
        <v>78</v>
      </c>
      <c r="B79" s="4" t="s">
        <v>12</v>
      </c>
      <c r="C79" s="4" t="s">
        <v>198</v>
      </c>
      <c r="D79" s="4" t="s">
        <v>199</v>
      </c>
      <c r="E79" s="4" t="s">
        <v>200</v>
      </c>
      <c r="F79" s="4" t="s">
        <v>10</v>
      </c>
      <c r="G79" s="4">
        <v>16</v>
      </c>
      <c r="H79" s="4" t="s">
        <v>201</v>
      </c>
    </row>
    <row r="80" spans="1:8" ht="28.15" customHeight="1" x14ac:dyDescent="0.2">
      <c r="A80" s="4">
        <v>79</v>
      </c>
      <c r="B80" s="4" t="s">
        <v>12</v>
      </c>
      <c r="C80" s="4" t="s">
        <v>202</v>
      </c>
      <c r="D80" s="4" t="s">
        <v>203</v>
      </c>
      <c r="E80" s="4"/>
      <c r="F80" s="4" t="s">
        <v>10</v>
      </c>
      <c r="G80" s="4">
        <v>2</v>
      </c>
      <c r="H80" s="4" t="s">
        <v>204</v>
      </c>
    </row>
    <row r="81" spans="1:8" ht="28.15" customHeight="1" x14ac:dyDescent="0.2">
      <c r="A81" s="4">
        <v>80</v>
      </c>
      <c r="B81" s="4" t="s">
        <v>12</v>
      </c>
      <c r="C81" s="4" t="s">
        <v>205</v>
      </c>
      <c r="D81" s="4" t="s">
        <v>206</v>
      </c>
      <c r="E81" s="4" t="s">
        <v>207</v>
      </c>
      <c r="F81" s="4" t="s">
        <v>10</v>
      </c>
      <c r="G81" s="4">
        <v>10</v>
      </c>
      <c r="H81" s="4" t="s">
        <v>208</v>
      </c>
    </row>
    <row r="82" spans="1:8" ht="28.15" customHeight="1" x14ac:dyDescent="0.2">
      <c r="A82" s="4">
        <v>81</v>
      </c>
      <c r="B82" s="4" t="s">
        <v>12</v>
      </c>
      <c r="C82" s="4" t="s">
        <v>209</v>
      </c>
      <c r="D82" s="4" t="s">
        <v>210</v>
      </c>
      <c r="E82" s="4" t="s">
        <v>211</v>
      </c>
      <c r="F82" s="4" t="s">
        <v>10</v>
      </c>
      <c r="G82" s="4">
        <v>8</v>
      </c>
      <c r="H82" s="4" t="s">
        <v>210</v>
      </c>
    </row>
    <row r="83" spans="1:8" ht="28.15" customHeight="1" x14ac:dyDescent="0.2">
      <c r="A83" s="4">
        <v>82</v>
      </c>
      <c r="B83" s="4" t="s">
        <v>8</v>
      </c>
      <c r="C83" s="4" t="s">
        <v>212</v>
      </c>
      <c r="D83" s="4"/>
      <c r="E83" s="4"/>
      <c r="F83" s="4" t="s">
        <v>10</v>
      </c>
      <c r="G83" s="4">
        <v>40</v>
      </c>
      <c r="H83" s="4" t="s">
        <v>213</v>
      </c>
    </row>
    <row r="84" spans="1:8" ht="28.15" customHeight="1" x14ac:dyDescent="0.2">
      <c r="A84" s="4">
        <v>83</v>
      </c>
      <c r="B84" s="4" t="s">
        <v>12</v>
      </c>
      <c r="C84" s="4" t="s">
        <v>214</v>
      </c>
      <c r="D84" s="4" t="s">
        <v>215</v>
      </c>
      <c r="E84" s="4" t="s">
        <v>216</v>
      </c>
      <c r="F84" s="4" t="s">
        <v>10</v>
      </c>
      <c r="G84" s="4">
        <v>2</v>
      </c>
      <c r="H84" s="4" t="s">
        <v>217</v>
      </c>
    </row>
    <row r="85" spans="1:8" ht="28.15" customHeight="1" x14ac:dyDescent="0.2">
      <c r="A85" s="4">
        <v>84</v>
      </c>
      <c r="B85" s="4" t="s">
        <v>12</v>
      </c>
      <c r="C85" s="4" t="s">
        <v>218</v>
      </c>
      <c r="D85" s="4" t="s">
        <v>219</v>
      </c>
      <c r="E85" s="4"/>
      <c r="F85" s="4" t="s">
        <v>10</v>
      </c>
      <c r="G85" s="4">
        <v>2</v>
      </c>
      <c r="H85" s="4" t="s">
        <v>219</v>
      </c>
    </row>
    <row r="86" spans="1:8" ht="28.15" customHeight="1" x14ac:dyDescent="0.2">
      <c r="A86" s="4">
        <v>85</v>
      </c>
      <c r="B86" s="4" t="s">
        <v>12</v>
      </c>
      <c r="C86" s="4" t="s">
        <v>220</v>
      </c>
      <c r="D86" s="4" t="s">
        <v>221</v>
      </c>
      <c r="E86" s="4"/>
      <c r="F86" s="4" t="s">
        <v>10</v>
      </c>
      <c r="G86" s="4">
        <v>2</v>
      </c>
      <c r="H86" s="4" t="s">
        <v>222</v>
      </c>
    </row>
    <row r="87" spans="1:8" ht="28.15" customHeight="1" x14ac:dyDescent="0.2">
      <c r="A87" s="4">
        <v>86</v>
      </c>
      <c r="B87" s="4" t="s">
        <v>12</v>
      </c>
      <c r="C87" s="4" t="s">
        <v>223</v>
      </c>
      <c r="D87" s="4"/>
      <c r="E87" s="4" t="s">
        <v>224</v>
      </c>
      <c r="F87" s="4" t="s">
        <v>74</v>
      </c>
      <c r="G87" s="4">
        <v>5</v>
      </c>
      <c r="H87" s="4"/>
    </row>
    <row r="88" spans="1:8" ht="28.15" customHeight="1" x14ac:dyDescent="0.2">
      <c r="A88" s="4">
        <v>87</v>
      </c>
      <c r="B88" s="4" t="s">
        <v>12</v>
      </c>
      <c r="C88" s="4" t="s">
        <v>225</v>
      </c>
      <c r="D88" s="4" t="s">
        <v>226</v>
      </c>
      <c r="E88" s="4"/>
      <c r="F88" s="4" t="s">
        <v>10</v>
      </c>
      <c r="G88" s="4">
        <v>2</v>
      </c>
      <c r="H88" s="4" t="s">
        <v>226</v>
      </c>
    </row>
    <row r="89" spans="1:8" ht="28.15" customHeight="1" x14ac:dyDescent="0.2">
      <c r="A89" s="4">
        <v>88</v>
      </c>
      <c r="B89" s="4" t="s">
        <v>12</v>
      </c>
      <c r="C89" s="4" t="s">
        <v>227</v>
      </c>
      <c r="D89" s="4" t="s">
        <v>228</v>
      </c>
      <c r="E89" s="4"/>
      <c r="F89" s="4" t="s">
        <v>10</v>
      </c>
      <c r="G89" s="4">
        <v>10</v>
      </c>
      <c r="H89" s="4" t="s">
        <v>229</v>
      </c>
    </row>
    <row r="90" spans="1:8" ht="28.15" customHeight="1" x14ac:dyDescent="0.2">
      <c r="A90" s="4">
        <v>89</v>
      </c>
      <c r="B90" s="4" t="s">
        <v>230</v>
      </c>
      <c r="C90" s="4" t="s">
        <v>231</v>
      </c>
      <c r="D90" s="4"/>
      <c r="E90" s="4"/>
      <c r="F90" s="4" t="s">
        <v>10</v>
      </c>
      <c r="G90" s="4">
        <v>1</v>
      </c>
      <c r="H90" s="4" t="s">
        <v>232</v>
      </c>
    </row>
    <row r="91" spans="1:8" ht="28.15" customHeight="1" x14ac:dyDescent="0.2">
      <c r="A91" s="4">
        <v>90</v>
      </c>
      <c r="B91" s="4" t="s">
        <v>230</v>
      </c>
      <c r="C91" s="4" t="s">
        <v>233</v>
      </c>
      <c r="D91" s="4"/>
      <c r="E91" s="4"/>
      <c r="F91" s="4" t="s">
        <v>10</v>
      </c>
      <c r="G91" s="4">
        <v>5</v>
      </c>
      <c r="H91" s="4" t="s">
        <v>234</v>
      </c>
    </row>
    <row r="92" spans="1:8" ht="28.15" customHeight="1" x14ac:dyDescent="0.2">
      <c r="A92" s="4">
        <v>91</v>
      </c>
      <c r="B92" s="4" t="s">
        <v>8</v>
      </c>
      <c r="C92" s="4" t="s">
        <v>235</v>
      </c>
      <c r="D92" s="4"/>
      <c r="E92" s="4" t="s">
        <v>236</v>
      </c>
      <c r="F92" s="4" t="s">
        <v>10</v>
      </c>
      <c r="G92" s="4">
        <v>2</v>
      </c>
      <c r="H92" s="4" t="s">
        <v>237</v>
      </c>
    </row>
    <row r="93" spans="1:8" ht="28.15" customHeight="1" x14ac:dyDescent="0.2">
      <c r="A93" s="4">
        <v>92</v>
      </c>
      <c r="B93" s="4" t="s">
        <v>12</v>
      </c>
      <c r="C93" s="4" t="s">
        <v>238</v>
      </c>
      <c r="D93" s="4" t="s">
        <v>239</v>
      </c>
      <c r="E93" s="4" t="s">
        <v>240</v>
      </c>
      <c r="F93" s="4" t="s">
        <v>10</v>
      </c>
      <c r="G93" s="4">
        <v>1</v>
      </c>
      <c r="H93" s="4" t="s">
        <v>239</v>
      </c>
    </row>
    <row r="94" spans="1:8" ht="28.15" customHeight="1" x14ac:dyDescent="0.2">
      <c r="A94" s="4">
        <v>93</v>
      </c>
      <c r="B94" s="4" t="s">
        <v>12</v>
      </c>
      <c r="C94" s="4" t="s">
        <v>241</v>
      </c>
      <c r="D94" s="4"/>
      <c r="E94" s="4"/>
      <c r="F94" s="4" t="s">
        <v>10</v>
      </c>
      <c r="G94" s="4">
        <v>200</v>
      </c>
      <c r="H94" s="4"/>
    </row>
    <row r="95" spans="1:8" ht="28.15" customHeight="1" x14ac:dyDescent="0.2">
      <c r="A95" s="4">
        <v>94</v>
      </c>
      <c r="B95" s="4" t="s">
        <v>12</v>
      </c>
      <c r="C95" s="4" t="s">
        <v>242</v>
      </c>
      <c r="D95" s="4" t="s">
        <v>243</v>
      </c>
      <c r="E95" s="4"/>
      <c r="F95" s="4" t="s">
        <v>74</v>
      </c>
      <c r="G95" s="4">
        <v>6</v>
      </c>
      <c r="H95" s="4" t="s">
        <v>243</v>
      </c>
    </row>
    <row r="96" spans="1:8" ht="28.15" customHeight="1" x14ac:dyDescent="0.2">
      <c r="A96" s="4">
        <v>95</v>
      </c>
      <c r="B96" s="4" t="s">
        <v>12</v>
      </c>
      <c r="C96" s="4" t="s">
        <v>244</v>
      </c>
      <c r="D96" s="4" t="s">
        <v>245</v>
      </c>
      <c r="E96" s="4"/>
      <c r="F96" s="4" t="s">
        <v>246</v>
      </c>
      <c r="G96" s="4">
        <v>2</v>
      </c>
      <c r="H96" s="4" t="s">
        <v>245</v>
      </c>
    </row>
    <row r="97" spans="1:8" ht="28.15" customHeight="1" x14ac:dyDescent="0.2">
      <c r="A97" s="4">
        <v>96</v>
      </c>
      <c r="B97" s="4" t="s">
        <v>12</v>
      </c>
      <c r="C97" s="4" t="s">
        <v>244</v>
      </c>
      <c r="D97" s="4" t="s">
        <v>247</v>
      </c>
      <c r="E97" s="4"/>
      <c r="F97" s="4" t="s">
        <v>246</v>
      </c>
      <c r="G97" s="4">
        <v>2</v>
      </c>
      <c r="H97" s="4" t="s">
        <v>247</v>
      </c>
    </row>
    <row r="98" spans="1:8" ht="28.15" customHeight="1" x14ac:dyDescent="0.2">
      <c r="A98" s="4">
        <v>97</v>
      </c>
      <c r="B98" s="4" t="s">
        <v>12</v>
      </c>
      <c r="C98" s="4" t="s">
        <v>248</v>
      </c>
      <c r="D98" s="4" t="s">
        <v>249</v>
      </c>
      <c r="E98" s="4"/>
      <c r="F98" s="4" t="s">
        <v>246</v>
      </c>
      <c r="G98" s="4">
        <v>6</v>
      </c>
      <c r="H98" s="4" t="s">
        <v>249</v>
      </c>
    </row>
    <row r="99" spans="1:8" ht="28.15" customHeight="1" x14ac:dyDescent="0.2">
      <c r="A99" s="4">
        <v>98</v>
      </c>
      <c r="B99" s="4" t="s">
        <v>12</v>
      </c>
      <c r="C99" s="4" t="s">
        <v>250</v>
      </c>
      <c r="D99" s="4"/>
      <c r="E99" s="4" t="s">
        <v>251</v>
      </c>
      <c r="F99" s="4" t="s">
        <v>74</v>
      </c>
      <c r="G99" s="4">
        <v>20</v>
      </c>
      <c r="H99" s="4"/>
    </row>
    <row r="100" spans="1:8" ht="28.15" customHeight="1" x14ac:dyDescent="0.2">
      <c r="A100" s="4">
        <v>99</v>
      </c>
      <c r="B100" s="4" t="s">
        <v>12</v>
      </c>
      <c r="C100" s="4" t="s">
        <v>252</v>
      </c>
      <c r="D100" s="4"/>
      <c r="E100" s="4" t="s">
        <v>251</v>
      </c>
      <c r="F100" s="4" t="s">
        <v>74</v>
      </c>
      <c r="G100" s="4">
        <v>20</v>
      </c>
      <c r="H100" s="4"/>
    </row>
    <row r="101" spans="1:8" ht="28.15" customHeight="1" x14ac:dyDescent="0.2">
      <c r="A101" s="4">
        <v>100</v>
      </c>
      <c r="B101" s="4" t="s">
        <v>12</v>
      </c>
      <c r="C101" s="4" t="s">
        <v>253</v>
      </c>
      <c r="D101" s="4"/>
      <c r="E101" s="4"/>
      <c r="F101" s="4" t="s">
        <v>10</v>
      </c>
      <c r="G101" s="4">
        <v>1000</v>
      </c>
      <c r="H101" s="4"/>
    </row>
    <row r="102" spans="1:8" ht="28.15" customHeight="1" x14ac:dyDescent="0.2">
      <c r="A102" s="4">
        <v>101</v>
      </c>
      <c r="B102" s="4" t="s">
        <v>12</v>
      </c>
      <c r="C102" s="4" t="s">
        <v>254</v>
      </c>
      <c r="D102" s="4"/>
      <c r="E102" s="4"/>
      <c r="F102" s="4" t="s">
        <v>10</v>
      </c>
      <c r="G102" s="4">
        <v>5</v>
      </c>
      <c r="H102" s="4"/>
    </row>
    <row r="103" spans="1:8" ht="28.15" customHeight="1" x14ac:dyDescent="0.2">
      <c r="A103" s="4">
        <v>102</v>
      </c>
      <c r="B103" s="4" t="s">
        <v>12</v>
      </c>
      <c r="C103" s="4" t="s">
        <v>255</v>
      </c>
      <c r="D103" s="4" t="s">
        <v>256</v>
      </c>
      <c r="E103" s="4"/>
      <c r="F103" s="4" t="s">
        <v>10</v>
      </c>
      <c r="G103" s="4">
        <v>60</v>
      </c>
      <c r="H103" s="4" t="s">
        <v>257</v>
      </c>
    </row>
    <row r="104" spans="1:8" ht="28.15" customHeight="1" x14ac:dyDescent="0.2">
      <c r="A104" s="4">
        <v>103</v>
      </c>
      <c r="B104" s="4" t="s">
        <v>12</v>
      </c>
      <c r="C104" s="4" t="s">
        <v>258</v>
      </c>
      <c r="D104" s="4" t="s">
        <v>259</v>
      </c>
      <c r="E104" s="4"/>
      <c r="F104" s="4" t="s">
        <v>10</v>
      </c>
      <c r="G104" s="4">
        <v>80</v>
      </c>
      <c r="H104" s="4" t="s">
        <v>259</v>
      </c>
    </row>
    <row r="105" spans="1:8" ht="28.15" customHeight="1" x14ac:dyDescent="0.2">
      <c r="A105" s="4">
        <v>104</v>
      </c>
      <c r="B105" s="4" t="s">
        <v>12</v>
      </c>
      <c r="C105" s="4" t="s">
        <v>260</v>
      </c>
      <c r="D105" s="4" t="s">
        <v>261</v>
      </c>
      <c r="E105" s="4"/>
      <c r="F105" s="4" t="s">
        <v>10</v>
      </c>
      <c r="G105" s="4">
        <v>40</v>
      </c>
      <c r="H105" s="4" t="s">
        <v>261</v>
      </c>
    </row>
    <row r="106" spans="1:8" ht="28.15" customHeight="1" x14ac:dyDescent="0.2">
      <c r="A106" s="4">
        <v>105</v>
      </c>
      <c r="B106" s="4" t="s">
        <v>12</v>
      </c>
      <c r="C106" s="4" t="s">
        <v>262</v>
      </c>
      <c r="D106" s="4" t="s">
        <v>263</v>
      </c>
      <c r="E106" s="4"/>
      <c r="F106" s="4" t="s">
        <v>10</v>
      </c>
      <c r="G106" s="4">
        <v>66</v>
      </c>
      <c r="H106" s="4" t="s">
        <v>263</v>
      </c>
    </row>
    <row r="107" spans="1:8" ht="28.15" customHeight="1" x14ac:dyDescent="0.2">
      <c r="A107" s="4">
        <v>106</v>
      </c>
      <c r="B107" s="4" t="s">
        <v>12</v>
      </c>
      <c r="C107" s="4" t="s">
        <v>264</v>
      </c>
      <c r="D107" s="4" t="s">
        <v>265</v>
      </c>
      <c r="E107" s="4"/>
      <c r="F107" s="4" t="s">
        <v>10</v>
      </c>
      <c r="G107" s="4">
        <v>34</v>
      </c>
      <c r="H107" s="4" t="s">
        <v>265</v>
      </c>
    </row>
    <row r="108" spans="1:8" ht="28.15" customHeight="1" x14ac:dyDescent="0.2">
      <c r="A108" s="4">
        <v>107</v>
      </c>
      <c r="B108" s="4" t="s">
        <v>8</v>
      </c>
      <c r="C108" s="4" t="s">
        <v>266</v>
      </c>
      <c r="D108" s="4"/>
      <c r="E108" s="4"/>
      <c r="F108" s="4" t="s">
        <v>10</v>
      </c>
      <c r="G108" s="4">
        <v>40</v>
      </c>
      <c r="H108" s="4" t="s">
        <v>267</v>
      </c>
    </row>
    <row r="109" spans="1:8" ht="28.15" customHeight="1" x14ac:dyDescent="0.2">
      <c r="A109" s="4">
        <v>108</v>
      </c>
      <c r="B109" s="4" t="s">
        <v>8</v>
      </c>
      <c r="C109" s="4" t="s">
        <v>268</v>
      </c>
      <c r="D109" s="4"/>
      <c r="E109" s="4"/>
      <c r="F109" s="4" t="s">
        <v>10</v>
      </c>
      <c r="G109" s="4">
        <v>10</v>
      </c>
      <c r="H109" s="4"/>
    </row>
    <row r="110" spans="1:8" ht="28.15" customHeight="1" x14ac:dyDescent="0.2">
      <c r="A110" s="4">
        <v>109</v>
      </c>
      <c r="B110" s="4" t="s">
        <v>8</v>
      </c>
      <c r="C110" s="4" t="s">
        <v>269</v>
      </c>
      <c r="D110" s="4"/>
      <c r="E110" s="4"/>
      <c r="F110" s="4" t="s">
        <v>10</v>
      </c>
      <c r="G110" s="4">
        <v>1</v>
      </c>
      <c r="H110" s="4" t="s">
        <v>270</v>
      </c>
    </row>
    <row r="111" spans="1:8" ht="28.15" customHeight="1" x14ac:dyDescent="0.2">
      <c r="A111" s="4">
        <v>110</v>
      </c>
      <c r="B111" s="4" t="s">
        <v>8</v>
      </c>
      <c r="C111" s="4" t="s">
        <v>271</v>
      </c>
      <c r="D111" s="4"/>
      <c r="E111" s="4"/>
      <c r="F111" s="4" t="s">
        <v>10</v>
      </c>
      <c r="G111" s="4">
        <v>1</v>
      </c>
      <c r="H111" s="4" t="s">
        <v>272</v>
      </c>
    </row>
    <row r="112" spans="1:8" ht="28.15" customHeight="1" x14ac:dyDescent="0.2">
      <c r="A112" s="4">
        <v>111</v>
      </c>
      <c r="B112" s="4" t="s">
        <v>12</v>
      </c>
      <c r="C112" s="4" t="s">
        <v>273</v>
      </c>
      <c r="D112" s="4" t="s">
        <v>274</v>
      </c>
      <c r="E112" s="4" t="s">
        <v>275</v>
      </c>
      <c r="F112" s="4" t="s">
        <v>74</v>
      </c>
      <c r="G112" s="4">
        <v>6</v>
      </c>
      <c r="H112" s="4" t="s">
        <v>274</v>
      </c>
    </row>
    <row r="113" spans="1:8" ht="28.15" customHeight="1" x14ac:dyDescent="0.2">
      <c r="A113" s="4">
        <v>112</v>
      </c>
      <c r="B113" s="4" t="s">
        <v>12</v>
      </c>
      <c r="C113" s="4" t="s">
        <v>276</v>
      </c>
      <c r="D113" s="4" t="s">
        <v>277</v>
      </c>
      <c r="E113" s="4" t="s">
        <v>278</v>
      </c>
      <c r="F113" s="4" t="s">
        <v>74</v>
      </c>
      <c r="G113" s="4">
        <v>1</v>
      </c>
      <c r="H113" s="4" t="s">
        <v>277</v>
      </c>
    </row>
    <row r="114" spans="1:8" ht="28.15" customHeight="1" x14ac:dyDescent="0.2">
      <c r="A114" s="4">
        <v>113</v>
      </c>
      <c r="B114" s="4" t="s">
        <v>12</v>
      </c>
      <c r="C114" s="4" t="s">
        <v>279</v>
      </c>
      <c r="D114" s="4" t="s">
        <v>280</v>
      </c>
      <c r="E114" s="4" t="s">
        <v>281</v>
      </c>
      <c r="F114" s="4" t="s">
        <v>74</v>
      </c>
      <c r="G114" s="4">
        <v>4</v>
      </c>
      <c r="H114" s="4" t="s">
        <v>280</v>
      </c>
    </row>
    <row r="115" spans="1:8" ht="28.15" customHeight="1" x14ac:dyDescent="0.2">
      <c r="A115" s="4">
        <v>114</v>
      </c>
      <c r="B115" s="4" t="s">
        <v>12</v>
      </c>
      <c r="C115" s="4" t="s">
        <v>282</v>
      </c>
      <c r="D115" s="4" t="s">
        <v>283</v>
      </c>
      <c r="E115" s="4" t="s">
        <v>284</v>
      </c>
      <c r="F115" s="4" t="s">
        <v>74</v>
      </c>
      <c r="G115" s="4">
        <v>4</v>
      </c>
      <c r="H115" s="4" t="s">
        <v>283</v>
      </c>
    </row>
    <row r="116" spans="1:8" ht="28.15" customHeight="1" x14ac:dyDescent="0.2">
      <c r="A116" s="4">
        <v>115</v>
      </c>
      <c r="B116" s="4" t="s">
        <v>12</v>
      </c>
      <c r="C116" s="4" t="s">
        <v>285</v>
      </c>
      <c r="D116" s="4" t="s">
        <v>286</v>
      </c>
      <c r="E116" s="4" t="s">
        <v>287</v>
      </c>
      <c r="F116" s="4" t="s">
        <v>74</v>
      </c>
      <c r="G116" s="4">
        <v>6</v>
      </c>
      <c r="H116" s="4" t="s">
        <v>286</v>
      </c>
    </row>
    <row r="117" spans="1:8" ht="28.15" customHeight="1" x14ac:dyDescent="0.2">
      <c r="A117" s="4">
        <v>116</v>
      </c>
      <c r="B117" s="4" t="s">
        <v>12</v>
      </c>
      <c r="C117" s="4" t="s">
        <v>288</v>
      </c>
      <c r="D117" s="4" t="s">
        <v>289</v>
      </c>
      <c r="E117" s="4"/>
      <c r="F117" s="4" t="s">
        <v>10</v>
      </c>
      <c r="G117" s="4">
        <v>450</v>
      </c>
      <c r="H117" s="4" t="s">
        <v>289</v>
      </c>
    </row>
    <row r="118" spans="1:8" ht="28.15" customHeight="1" x14ac:dyDescent="0.2">
      <c r="A118" s="4">
        <v>117</v>
      </c>
      <c r="B118" s="4" t="s">
        <v>12</v>
      </c>
      <c r="C118" s="4" t="s">
        <v>290</v>
      </c>
      <c r="D118" s="4" t="s">
        <v>291</v>
      </c>
      <c r="E118" s="4" t="s">
        <v>292</v>
      </c>
      <c r="F118" s="4" t="s">
        <v>74</v>
      </c>
      <c r="G118" s="4">
        <v>1</v>
      </c>
      <c r="H118" s="4" t="s">
        <v>291</v>
      </c>
    </row>
    <row r="119" spans="1:8" ht="28.15" customHeight="1" x14ac:dyDescent="0.2">
      <c r="A119" s="4">
        <v>118</v>
      </c>
      <c r="B119" s="4" t="s">
        <v>12</v>
      </c>
      <c r="C119" s="4" t="s">
        <v>293</v>
      </c>
      <c r="D119" s="4" t="s">
        <v>294</v>
      </c>
      <c r="E119" s="4"/>
      <c r="F119" s="4" t="s">
        <v>10</v>
      </c>
      <c r="G119" s="4">
        <v>1300</v>
      </c>
      <c r="H119" s="4" t="s">
        <v>294</v>
      </c>
    </row>
    <row r="120" spans="1:8" ht="28.15" customHeight="1" x14ac:dyDescent="0.2">
      <c r="A120" s="4">
        <v>119</v>
      </c>
      <c r="B120" s="4" t="s">
        <v>12</v>
      </c>
      <c r="C120" s="4" t="s">
        <v>295</v>
      </c>
      <c r="D120" s="4" t="s">
        <v>296</v>
      </c>
      <c r="E120" s="4" t="s">
        <v>297</v>
      </c>
      <c r="F120" s="4" t="s">
        <v>10</v>
      </c>
      <c r="G120" s="4">
        <v>2</v>
      </c>
      <c r="H120" s="4" t="s">
        <v>298</v>
      </c>
    </row>
    <row r="121" spans="1:8" ht="28.15" customHeight="1" x14ac:dyDescent="0.2">
      <c r="A121" s="4">
        <v>120</v>
      </c>
      <c r="B121" s="4" t="s">
        <v>12</v>
      </c>
      <c r="C121" s="4" t="s">
        <v>299</v>
      </c>
      <c r="D121" s="4" t="s">
        <v>300</v>
      </c>
      <c r="E121" s="4" t="s">
        <v>301</v>
      </c>
      <c r="F121" s="4" t="s">
        <v>10</v>
      </c>
      <c r="G121" s="4">
        <v>122</v>
      </c>
      <c r="H121" s="4" t="s">
        <v>300</v>
      </c>
    </row>
    <row r="122" spans="1:8" ht="28.15" customHeight="1" x14ac:dyDescent="0.2">
      <c r="A122" s="4">
        <v>121</v>
      </c>
      <c r="B122" s="4" t="s">
        <v>8</v>
      </c>
      <c r="C122" s="4" t="s">
        <v>302</v>
      </c>
      <c r="D122" s="4"/>
      <c r="E122" s="4"/>
      <c r="F122" s="4" t="s">
        <v>10</v>
      </c>
      <c r="G122" s="4">
        <v>268</v>
      </c>
      <c r="H122" s="4" t="s">
        <v>303</v>
      </c>
    </row>
    <row r="123" spans="1:8" ht="28.15" customHeight="1" x14ac:dyDescent="0.2">
      <c r="A123" s="4">
        <v>122</v>
      </c>
      <c r="B123" s="4" t="s">
        <v>230</v>
      </c>
      <c r="C123" s="4" t="s">
        <v>304</v>
      </c>
      <c r="D123" s="4"/>
      <c r="E123" s="4" t="s">
        <v>305</v>
      </c>
      <c r="F123" s="4" t="s">
        <v>10</v>
      </c>
      <c r="G123" s="4">
        <v>17</v>
      </c>
      <c r="H123" s="4" t="s">
        <v>306</v>
      </c>
    </row>
    <row r="124" spans="1:8" ht="28.15" customHeight="1" x14ac:dyDescent="0.2">
      <c r="A124" s="4">
        <v>123</v>
      </c>
      <c r="B124" s="4" t="s">
        <v>12</v>
      </c>
      <c r="C124" s="4" t="s">
        <v>307</v>
      </c>
      <c r="D124" s="4" t="s">
        <v>308</v>
      </c>
      <c r="E124" s="4" t="s">
        <v>309</v>
      </c>
      <c r="F124" s="4" t="s">
        <v>10</v>
      </c>
      <c r="G124" s="4">
        <v>1</v>
      </c>
      <c r="H124" s="4" t="s">
        <v>310</v>
      </c>
    </row>
    <row r="125" spans="1:8" ht="28.15" customHeight="1" x14ac:dyDescent="0.2">
      <c r="A125" s="4">
        <v>124</v>
      </c>
      <c r="B125" s="4" t="s">
        <v>12</v>
      </c>
      <c r="C125" s="4" t="s">
        <v>311</v>
      </c>
      <c r="D125" s="4" t="s">
        <v>312</v>
      </c>
      <c r="E125" s="4" t="s">
        <v>313</v>
      </c>
      <c r="F125" s="4" t="s">
        <v>74</v>
      </c>
      <c r="G125" s="4">
        <v>1</v>
      </c>
      <c r="H125" s="4" t="s">
        <v>312</v>
      </c>
    </row>
    <row r="126" spans="1:8" ht="28.15" customHeight="1" x14ac:dyDescent="0.2">
      <c r="A126" s="4">
        <v>125</v>
      </c>
      <c r="B126" s="4" t="s">
        <v>12</v>
      </c>
      <c r="C126" s="4" t="s">
        <v>314</v>
      </c>
      <c r="D126" s="4" t="s">
        <v>312</v>
      </c>
      <c r="E126" s="4" t="s">
        <v>315</v>
      </c>
      <c r="F126" s="4" t="s">
        <v>74</v>
      </c>
      <c r="G126" s="4">
        <v>1</v>
      </c>
      <c r="H126" s="4" t="s">
        <v>312</v>
      </c>
    </row>
    <row r="127" spans="1:8" ht="28.15" customHeight="1" x14ac:dyDescent="0.2">
      <c r="A127" s="4">
        <v>126</v>
      </c>
      <c r="B127" s="4" t="s">
        <v>12</v>
      </c>
      <c r="C127" s="4" t="s">
        <v>316</v>
      </c>
      <c r="D127" s="4" t="s">
        <v>317</v>
      </c>
      <c r="E127" s="4" t="s">
        <v>318</v>
      </c>
      <c r="F127" s="4" t="s">
        <v>74</v>
      </c>
      <c r="G127" s="4">
        <v>1</v>
      </c>
      <c r="H127" s="4" t="s">
        <v>317</v>
      </c>
    </row>
    <row r="128" spans="1:8" ht="28.15" customHeight="1" x14ac:dyDescent="0.2">
      <c r="A128" s="4">
        <v>127</v>
      </c>
      <c r="B128" s="4" t="s">
        <v>12</v>
      </c>
      <c r="C128" s="4" t="s">
        <v>319</v>
      </c>
      <c r="D128" s="4" t="s">
        <v>320</v>
      </c>
      <c r="E128" s="4"/>
      <c r="F128" s="4" t="s">
        <v>10</v>
      </c>
      <c r="G128" s="4">
        <v>550</v>
      </c>
      <c r="H128" s="4" t="s">
        <v>321</v>
      </c>
    </row>
    <row r="129" spans="1:8" ht="28.15" customHeight="1" x14ac:dyDescent="0.2">
      <c r="A129" s="4">
        <v>128</v>
      </c>
      <c r="B129" s="4" t="s">
        <v>12</v>
      </c>
      <c r="C129" s="4" t="s">
        <v>322</v>
      </c>
      <c r="D129" s="4" t="s">
        <v>323</v>
      </c>
      <c r="E129" s="4"/>
      <c r="F129" s="4" t="s">
        <v>10</v>
      </c>
      <c r="G129" s="4">
        <v>730</v>
      </c>
      <c r="H129" s="4" t="s">
        <v>324</v>
      </c>
    </row>
    <row r="130" spans="1:8" ht="28.15" customHeight="1" x14ac:dyDescent="0.2">
      <c r="A130" s="4">
        <v>129</v>
      </c>
      <c r="B130" s="4" t="s">
        <v>12</v>
      </c>
      <c r="C130" s="4" t="s">
        <v>325</v>
      </c>
      <c r="D130" s="4"/>
      <c r="E130" s="4" t="s">
        <v>326</v>
      </c>
      <c r="F130" s="4" t="s">
        <v>74</v>
      </c>
      <c r="G130" s="4">
        <v>50</v>
      </c>
      <c r="H130" s="4" t="s">
        <v>327</v>
      </c>
    </row>
    <row r="131" spans="1:8" ht="28.15" customHeight="1" x14ac:dyDescent="0.2">
      <c r="A131" s="4">
        <v>130</v>
      </c>
      <c r="B131" s="4" t="s">
        <v>12</v>
      </c>
      <c r="C131" s="4" t="s">
        <v>328</v>
      </c>
      <c r="D131" s="4" t="s">
        <v>329</v>
      </c>
      <c r="E131" s="4"/>
      <c r="F131" s="4" t="s">
        <v>10</v>
      </c>
      <c r="G131" s="4">
        <v>10</v>
      </c>
      <c r="H131" s="4" t="s">
        <v>330</v>
      </c>
    </row>
    <row r="132" spans="1:8" ht="28.15" customHeight="1" x14ac:dyDescent="0.2">
      <c r="A132" s="4">
        <v>131</v>
      </c>
      <c r="B132" s="4" t="s">
        <v>230</v>
      </c>
      <c r="C132" s="4" t="s">
        <v>331</v>
      </c>
      <c r="D132" s="4"/>
      <c r="E132" s="4"/>
      <c r="F132" s="4" t="s">
        <v>10</v>
      </c>
      <c r="G132" s="4">
        <v>142</v>
      </c>
      <c r="H132" s="4" t="s">
        <v>332</v>
      </c>
    </row>
    <row r="133" spans="1:8" ht="28.15" customHeight="1" x14ac:dyDescent="0.2">
      <c r="A133" s="4">
        <v>132</v>
      </c>
      <c r="B133" s="4" t="s">
        <v>8</v>
      </c>
      <c r="C133" s="4" t="s">
        <v>333</v>
      </c>
      <c r="D133" s="4"/>
      <c r="E133" s="4"/>
      <c r="F133" s="4" t="s">
        <v>10</v>
      </c>
      <c r="G133" s="4">
        <v>272</v>
      </c>
      <c r="H133" s="4" t="s">
        <v>334</v>
      </c>
    </row>
    <row r="134" spans="1:8" ht="28.15" customHeight="1" x14ac:dyDescent="0.2">
      <c r="A134" s="4">
        <v>133</v>
      </c>
      <c r="B134" s="4" t="s">
        <v>12</v>
      </c>
      <c r="C134" s="4" t="s">
        <v>335</v>
      </c>
      <c r="D134" s="4" t="s">
        <v>336</v>
      </c>
      <c r="E134" s="4"/>
      <c r="F134" s="4" t="s">
        <v>10</v>
      </c>
      <c r="G134" s="4">
        <v>26</v>
      </c>
      <c r="H134" s="4" t="s">
        <v>336</v>
      </c>
    </row>
    <row r="135" spans="1:8" ht="28.15" customHeight="1" x14ac:dyDescent="0.2">
      <c r="A135" s="4">
        <v>134</v>
      </c>
      <c r="B135" s="4" t="s">
        <v>12</v>
      </c>
      <c r="C135" s="4" t="s">
        <v>337</v>
      </c>
      <c r="D135" s="4" t="s">
        <v>338</v>
      </c>
      <c r="E135" s="4" t="s">
        <v>339</v>
      </c>
      <c r="F135" s="4" t="s">
        <v>10</v>
      </c>
      <c r="G135" s="4">
        <v>26</v>
      </c>
      <c r="H135" s="4" t="s">
        <v>338</v>
      </c>
    </row>
    <row r="136" spans="1:8" ht="28.15" customHeight="1" x14ac:dyDescent="0.2">
      <c r="A136" s="4">
        <v>135</v>
      </c>
      <c r="B136" s="4" t="s">
        <v>12</v>
      </c>
      <c r="C136" s="4" t="s">
        <v>340</v>
      </c>
      <c r="D136" s="4" t="s">
        <v>341</v>
      </c>
      <c r="E136" s="4" t="s">
        <v>342</v>
      </c>
      <c r="F136" s="4" t="s">
        <v>10</v>
      </c>
      <c r="G136" s="4">
        <v>300</v>
      </c>
      <c r="H136" s="4" t="s">
        <v>341</v>
      </c>
    </row>
    <row r="137" spans="1:8" ht="28.15" customHeight="1" x14ac:dyDescent="0.2">
      <c r="A137" s="4">
        <v>136</v>
      </c>
      <c r="B137" s="4" t="s">
        <v>12</v>
      </c>
      <c r="C137" s="4" t="s">
        <v>343</v>
      </c>
      <c r="D137" s="4"/>
      <c r="E137" s="4"/>
      <c r="F137" s="4" t="s">
        <v>10</v>
      </c>
      <c r="G137" s="4">
        <v>1500</v>
      </c>
      <c r="H137" s="4"/>
    </row>
    <row r="138" spans="1:8" ht="28.15" customHeight="1" x14ac:dyDescent="0.2">
      <c r="A138" s="4">
        <v>137</v>
      </c>
      <c r="B138" s="4" t="s">
        <v>12</v>
      </c>
      <c r="C138" s="4" t="s">
        <v>344</v>
      </c>
      <c r="D138" s="4"/>
      <c r="E138" s="4"/>
      <c r="F138" s="4" t="s">
        <v>10</v>
      </c>
      <c r="G138" s="4">
        <v>1240</v>
      </c>
      <c r="H138" s="4"/>
    </row>
    <row r="139" spans="1:8" ht="28.15" customHeight="1" x14ac:dyDescent="0.2">
      <c r="A139" s="4">
        <v>138</v>
      </c>
      <c r="B139" s="4" t="s">
        <v>12</v>
      </c>
      <c r="C139" s="4" t="s">
        <v>345</v>
      </c>
      <c r="D139" s="4" t="s">
        <v>346</v>
      </c>
      <c r="E139" s="4"/>
      <c r="F139" s="4" t="s">
        <v>10</v>
      </c>
      <c r="G139" s="4">
        <v>26</v>
      </c>
      <c r="H139" s="4" t="s">
        <v>346</v>
      </c>
    </row>
    <row r="140" spans="1:8" ht="28.15" customHeight="1" x14ac:dyDescent="0.2">
      <c r="A140" s="4">
        <v>139</v>
      </c>
      <c r="B140" s="4" t="s">
        <v>8</v>
      </c>
      <c r="C140" s="4" t="s">
        <v>347</v>
      </c>
      <c r="D140" s="4" t="s">
        <v>348</v>
      </c>
      <c r="E140" s="4" t="s">
        <v>349</v>
      </c>
      <c r="F140" s="4" t="s">
        <v>74</v>
      </c>
      <c r="G140" s="4">
        <v>2</v>
      </c>
      <c r="H140" s="4" t="s">
        <v>350</v>
      </c>
    </row>
    <row r="141" spans="1:8" ht="28.15" customHeight="1" x14ac:dyDescent="0.2">
      <c r="A141" s="4">
        <v>140</v>
      </c>
      <c r="B141" s="4" t="s">
        <v>8</v>
      </c>
      <c r="C141" s="4" t="s">
        <v>351</v>
      </c>
      <c r="D141" s="4" t="s">
        <v>352</v>
      </c>
      <c r="E141" s="4" t="s">
        <v>353</v>
      </c>
      <c r="F141" s="4" t="s">
        <v>74</v>
      </c>
      <c r="G141" s="4">
        <v>5</v>
      </c>
      <c r="H141" s="4" t="s">
        <v>354</v>
      </c>
    </row>
    <row r="142" spans="1:8" ht="28.15" customHeight="1" x14ac:dyDescent="0.2">
      <c r="A142" s="4">
        <v>141</v>
      </c>
      <c r="B142" s="4" t="s">
        <v>8</v>
      </c>
      <c r="C142" s="4" t="s">
        <v>351</v>
      </c>
      <c r="D142" s="4"/>
      <c r="E142" s="4" t="s">
        <v>353</v>
      </c>
      <c r="F142" s="4" t="s">
        <v>74</v>
      </c>
      <c r="G142" s="4">
        <v>5</v>
      </c>
      <c r="H142" s="4" t="s">
        <v>355</v>
      </c>
    </row>
    <row r="143" spans="1:8" ht="28.15" customHeight="1" x14ac:dyDescent="0.2">
      <c r="A143" s="4">
        <v>142</v>
      </c>
      <c r="B143" s="4" t="s">
        <v>8</v>
      </c>
      <c r="C143" s="4" t="s">
        <v>356</v>
      </c>
      <c r="D143" s="4"/>
      <c r="E143" s="4"/>
      <c r="F143" s="4" t="s">
        <v>10</v>
      </c>
      <c r="G143" s="4">
        <v>2</v>
      </c>
      <c r="H143" s="4" t="s">
        <v>357</v>
      </c>
    </row>
    <row r="144" spans="1:8" ht="28.15" customHeight="1" x14ac:dyDescent="0.2">
      <c r="A144" s="4">
        <v>143</v>
      </c>
      <c r="B144" s="4" t="s">
        <v>12</v>
      </c>
      <c r="C144" s="4" t="s">
        <v>358</v>
      </c>
      <c r="D144" s="4" t="s">
        <v>359</v>
      </c>
      <c r="E144" s="4" t="s">
        <v>360</v>
      </c>
      <c r="F144" s="4" t="s">
        <v>74</v>
      </c>
      <c r="G144" s="4">
        <v>750</v>
      </c>
      <c r="H144" s="4" t="s">
        <v>359</v>
      </c>
    </row>
    <row r="145" spans="1:8" ht="28.15" customHeight="1" x14ac:dyDescent="0.2">
      <c r="A145" s="4">
        <v>144</v>
      </c>
      <c r="B145" s="4" t="s">
        <v>12</v>
      </c>
      <c r="C145" s="4" t="s">
        <v>361</v>
      </c>
      <c r="D145" s="4"/>
      <c r="E145" s="4"/>
      <c r="F145" s="4" t="s">
        <v>362</v>
      </c>
      <c r="G145" s="4">
        <v>25</v>
      </c>
      <c r="H145" s="4"/>
    </row>
    <row r="146" spans="1:8" ht="28.15" customHeight="1" x14ac:dyDescent="0.2">
      <c r="A146" s="4">
        <v>145</v>
      </c>
      <c r="B146" s="4" t="s">
        <v>12</v>
      </c>
      <c r="C146" s="4" t="s">
        <v>363</v>
      </c>
      <c r="D146" s="4" t="s">
        <v>364</v>
      </c>
      <c r="E146" s="4"/>
      <c r="F146" s="4" t="s">
        <v>74</v>
      </c>
      <c r="G146" s="4">
        <v>26</v>
      </c>
      <c r="H146" s="4" t="s">
        <v>365</v>
      </c>
    </row>
    <row r="147" spans="1:8" ht="28.15" customHeight="1" x14ac:dyDescent="0.2">
      <c r="A147" s="4">
        <v>146</v>
      </c>
      <c r="B147" s="4" t="s">
        <v>12</v>
      </c>
      <c r="C147" s="4" t="s">
        <v>366</v>
      </c>
      <c r="D147" s="4" t="s">
        <v>367</v>
      </c>
      <c r="E147" s="4"/>
      <c r="F147" s="4" t="s">
        <v>10</v>
      </c>
      <c r="G147" s="4">
        <v>11</v>
      </c>
      <c r="H147" s="4" t="s">
        <v>368</v>
      </c>
    </row>
    <row r="148" spans="1:8" ht="28.15" customHeight="1" x14ac:dyDescent="0.2">
      <c r="A148" s="4">
        <v>147</v>
      </c>
      <c r="B148" s="4" t="s">
        <v>8</v>
      </c>
      <c r="C148" s="4" t="s">
        <v>369</v>
      </c>
      <c r="D148" s="4"/>
      <c r="E148" s="4"/>
      <c r="F148" s="4" t="s">
        <v>10</v>
      </c>
      <c r="G148" s="4">
        <v>10</v>
      </c>
      <c r="H148" s="4" t="s">
        <v>370</v>
      </c>
    </row>
    <row r="149" spans="1:8" ht="28.15" customHeight="1" x14ac:dyDescent="0.2">
      <c r="A149" s="4">
        <v>148</v>
      </c>
      <c r="B149" s="4" t="s">
        <v>12</v>
      </c>
      <c r="C149" s="4" t="s">
        <v>371</v>
      </c>
      <c r="D149" s="4" t="s">
        <v>372</v>
      </c>
      <c r="E149" s="4" t="s">
        <v>373</v>
      </c>
      <c r="F149" s="4" t="s">
        <v>10</v>
      </c>
      <c r="G149" s="4">
        <v>13</v>
      </c>
      <c r="H149" s="4" t="s">
        <v>372</v>
      </c>
    </row>
    <row r="150" spans="1:8" ht="28.15" customHeight="1" x14ac:dyDescent="0.2">
      <c r="A150" s="4">
        <v>149</v>
      </c>
      <c r="B150" s="4" t="s">
        <v>12</v>
      </c>
      <c r="C150" s="4" t="s">
        <v>374</v>
      </c>
      <c r="D150" s="4" t="s">
        <v>372</v>
      </c>
      <c r="E150" s="4" t="s">
        <v>375</v>
      </c>
      <c r="F150" s="4" t="s">
        <v>10</v>
      </c>
      <c r="G150" s="4">
        <v>6</v>
      </c>
      <c r="H150" s="4" t="s">
        <v>372</v>
      </c>
    </row>
    <row r="151" spans="1:8" ht="28.15" customHeight="1" x14ac:dyDescent="0.2">
      <c r="A151" s="4">
        <v>150</v>
      </c>
      <c r="B151" s="4" t="s">
        <v>12</v>
      </c>
      <c r="C151" s="4" t="s">
        <v>376</v>
      </c>
      <c r="D151" s="4" t="s">
        <v>377</v>
      </c>
      <c r="E151" s="4" t="s">
        <v>378</v>
      </c>
      <c r="F151" s="4" t="s">
        <v>10</v>
      </c>
      <c r="G151" s="4">
        <v>3</v>
      </c>
      <c r="H151" s="4" t="s">
        <v>377</v>
      </c>
    </row>
    <row r="152" spans="1:8" ht="28.15" customHeight="1" x14ac:dyDescent="0.2">
      <c r="A152" s="4">
        <v>151</v>
      </c>
      <c r="B152" s="4" t="s">
        <v>12</v>
      </c>
      <c r="C152" s="4" t="s">
        <v>379</v>
      </c>
      <c r="D152" s="4" t="s">
        <v>380</v>
      </c>
      <c r="E152" s="4"/>
      <c r="F152" s="4" t="s">
        <v>10</v>
      </c>
      <c r="G152" s="4">
        <v>2</v>
      </c>
      <c r="H152" s="4" t="s">
        <v>381</v>
      </c>
    </row>
    <row r="153" spans="1:8" ht="28.15" customHeight="1" x14ac:dyDescent="0.2">
      <c r="A153" s="4">
        <v>152</v>
      </c>
      <c r="B153" s="4" t="s">
        <v>12</v>
      </c>
      <c r="C153" s="4" t="s">
        <v>382</v>
      </c>
      <c r="D153" s="4" t="s">
        <v>383</v>
      </c>
      <c r="E153" s="4" t="s">
        <v>384</v>
      </c>
      <c r="F153" s="4" t="s">
        <v>74</v>
      </c>
      <c r="G153" s="4">
        <v>1</v>
      </c>
      <c r="H153" s="4" t="s">
        <v>383</v>
      </c>
    </row>
    <row r="154" spans="1:8" ht="28.15" customHeight="1" x14ac:dyDescent="0.2">
      <c r="A154" s="4">
        <v>153</v>
      </c>
      <c r="B154" s="4" t="s">
        <v>12</v>
      </c>
      <c r="C154" s="4" t="s">
        <v>385</v>
      </c>
      <c r="D154" s="4" t="s">
        <v>386</v>
      </c>
      <c r="E154" s="4" t="s">
        <v>387</v>
      </c>
      <c r="F154" s="4" t="s">
        <v>74</v>
      </c>
      <c r="G154" s="4">
        <v>1</v>
      </c>
      <c r="H154" s="4" t="s">
        <v>386</v>
      </c>
    </row>
    <row r="155" spans="1:8" ht="28.15" customHeight="1" x14ac:dyDescent="0.2">
      <c r="A155" s="4">
        <v>154</v>
      </c>
      <c r="B155" s="4" t="s">
        <v>12</v>
      </c>
      <c r="C155" s="4" t="s">
        <v>388</v>
      </c>
      <c r="D155" s="4" t="s">
        <v>389</v>
      </c>
      <c r="E155" s="4" t="s">
        <v>390</v>
      </c>
      <c r="F155" s="4" t="s">
        <v>74</v>
      </c>
      <c r="G155" s="4">
        <v>1</v>
      </c>
      <c r="H155" s="4" t="s">
        <v>389</v>
      </c>
    </row>
    <row r="156" spans="1:8" ht="28.15" customHeight="1" x14ac:dyDescent="0.2">
      <c r="A156" s="4">
        <v>155</v>
      </c>
      <c r="B156" s="4" t="s">
        <v>12</v>
      </c>
      <c r="C156" s="4" t="s">
        <v>391</v>
      </c>
      <c r="D156" s="4" t="s">
        <v>392</v>
      </c>
      <c r="E156" s="4" t="s">
        <v>393</v>
      </c>
      <c r="F156" s="4" t="s">
        <v>74</v>
      </c>
      <c r="G156" s="4">
        <v>5</v>
      </c>
      <c r="H156" s="4" t="s">
        <v>392</v>
      </c>
    </row>
    <row r="157" spans="1:8" ht="28.15" customHeight="1" x14ac:dyDescent="0.2">
      <c r="A157" s="4">
        <v>156</v>
      </c>
      <c r="B157" s="4" t="s">
        <v>12</v>
      </c>
      <c r="C157" s="4" t="s">
        <v>394</v>
      </c>
      <c r="D157" s="4" t="s">
        <v>395</v>
      </c>
      <c r="E157" s="4" t="s">
        <v>396</v>
      </c>
      <c r="F157" s="4" t="s">
        <v>74</v>
      </c>
      <c r="G157" s="4">
        <v>1</v>
      </c>
      <c r="H157" s="4" t="s">
        <v>395</v>
      </c>
    </row>
  </sheetData>
  <pageMargins left="0.39370078740157483" right="0.39370078740157483" top="0.39370078740157483" bottom="0.39370078740157483" header="0" footer="0"/>
  <pageSetup pageOrder="overThenDown"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80"/>
  <sheetViews>
    <sheetView tabSelected="1" zoomScale="40" zoomScaleNormal="40" workbookViewId="0">
      <selection activeCell="U16" sqref="U16"/>
    </sheetView>
  </sheetViews>
  <sheetFormatPr defaultColWidth="29.6640625" defaultRowHeight="11.25" x14ac:dyDescent="0.2"/>
  <cols>
    <col min="1" max="1" width="6.1640625" style="6" customWidth="1"/>
    <col min="2" max="2" width="40.1640625" style="6" customWidth="1"/>
    <col min="3" max="3" width="40" style="6" customWidth="1"/>
    <col min="4" max="4" width="17.83203125" style="6" customWidth="1"/>
    <col min="5" max="5" width="62" style="54" customWidth="1"/>
    <col min="6" max="6" width="16.5" style="6" bestFit="1" customWidth="1"/>
    <col min="7" max="7" width="13.33203125" style="6" customWidth="1"/>
    <col min="8" max="8" width="32.5" style="6" customWidth="1"/>
    <col min="9" max="9" width="0" style="19" hidden="1" customWidth="1"/>
    <col min="10" max="10" width="9.5" style="9" hidden="1" customWidth="1"/>
    <col min="11" max="11" width="10.5" style="44" hidden="1" customWidth="1"/>
    <col min="12" max="12" width="14.83203125" style="19" hidden="1" customWidth="1"/>
    <col min="13" max="13" width="18" style="13" hidden="1" customWidth="1"/>
    <col min="14" max="14" width="20.6640625" style="13" hidden="1" customWidth="1"/>
    <col min="15" max="15" width="9.33203125" style="13" hidden="1" customWidth="1"/>
    <col min="16" max="16" width="24.5" style="19" customWidth="1"/>
    <col min="17" max="17" width="24.83203125" style="19" customWidth="1"/>
    <col min="18" max="18" width="13.5" style="13" customWidth="1"/>
    <col min="19" max="20" width="19.6640625" style="13" customWidth="1"/>
    <col min="21" max="16384" width="29.6640625" style="13"/>
  </cols>
  <sheetData>
    <row r="1" spans="1:19" s="57" customFormat="1" ht="48" customHeight="1" x14ac:dyDescent="0.2">
      <c r="A1" s="73"/>
      <c r="B1" s="75" t="s">
        <v>679</v>
      </c>
      <c r="C1" s="73"/>
      <c r="D1" s="73"/>
      <c r="E1" s="73"/>
      <c r="F1" s="73"/>
      <c r="G1" s="73"/>
      <c r="H1" s="73"/>
      <c r="I1" s="55"/>
      <c r="J1" s="56"/>
      <c r="K1" s="74"/>
      <c r="L1" s="55"/>
      <c r="P1" s="55"/>
      <c r="Q1" s="55"/>
    </row>
    <row r="2" spans="1:19" s="50" customFormat="1" ht="87.75" customHeight="1" x14ac:dyDescent="0.2">
      <c r="A2" s="46" t="s">
        <v>0</v>
      </c>
      <c r="B2" s="46" t="s">
        <v>2</v>
      </c>
      <c r="C2" s="46" t="s">
        <v>3</v>
      </c>
      <c r="D2" s="46" t="s">
        <v>4</v>
      </c>
      <c r="E2" s="45" t="s">
        <v>397</v>
      </c>
      <c r="F2" s="46" t="s">
        <v>5</v>
      </c>
      <c r="G2" s="46" t="s">
        <v>6</v>
      </c>
      <c r="H2" s="46" t="s">
        <v>7</v>
      </c>
      <c r="I2" s="47"/>
      <c r="J2" s="48" t="s">
        <v>637</v>
      </c>
      <c r="K2" s="48"/>
      <c r="L2" s="49" t="s">
        <v>638</v>
      </c>
      <c r="M2" s="48" t="s">
        <v>639</v>
      </c>
      <c r="N2" s="48"/>
      <c r="O2" s="48" t="s">
        <v>665</v>
      </c>
      <c r="P2" s="49" t="s">
        <v>677</v>
      </c>
      <c r="Q2" s="49" t="s">
        <v>678</v>
      </c>
      <c r="R2" s="48" t="s">
        <v>666</v>
      </c>
      <c r="S2" s="48" t="s">
        <v>675</v>
      </c>
    </row>
    <row r="3" spans="1:19" ht="15" customHeight="1" x14ac:dyDescent="0.2">
      <c r="A3" s="7">
        <v>1</v>
      </c>
      <c r="B3" s="5" t="s">
        <v>9</v>
      </c>
      <c r="C3" s="5"/>
      <c r="D3" s="5"/>
      <c r="E3" s="51" t="s">
        <v>399</v>
      </c>
      <c r="F3" s="7" t="s">
        <v>10</v>
      </c>
      <c r="G3" s="7">
        <v>7</v>
      </c>
      <c r="H3" s="5" t="s">
        <v>11</v>
      </c>
      <c r="I3" s="8">
        <v>235000</v>
      </c>
      <c r="K3" s="9"/>
      <c r="L3" s="24">
        <v>235000</v>
      </c>
      <c r="M3" s="25">
        <f>K3+L3</f>
        <v>235000</v>
      </c>
      <c r="N3" s="25">
        <f>M3*G3</f>
        <v>1645000</v>
      </c>
      <c r="O3" s="26">
        <v>1.5</v>
      </c>
      <c r="P3" s="24">
        <f>O3*M3</f>
        <v>352500</v>
      </c>
      <c r="Q3" s="24">
        <f>P3*G3</f>
        <v>2467500</v>
      </c>
      <c r="R3" s="27" t="s">
        <v>674</v>
      </c>
      <c r="S3" s="27"/>
    </row>
    <row r="4" spans="1:19" ht="22.5" x14ac:dyDescent="0.2">
      <c r="A4" s="7">
        <v>2</v>
      </c>
      <c r="B4" s="5" t="s">
        <v>13</v>
      </c>
      <c r="C4" s="5" t="s">
        <v>14</v>
      </c>
      <c r="D4" s="5"/>
      <c r="E4" s="51" t="s">
        <v>400</v>
      </c>
      <c r="F4" s="7" t="s">
        <v>10</v>
      </c>
      <c r="G4" s="7">
        <v>140</v>
      </c>
      <c r="H4" s="5" t="s">
        <v>14</v>
      </c>
      <c r="I4" s="19">
        <v>20000</v>
      </c>
      <c r="K4" s="9"/>
      <c r="L4" s="24">
        <v>20000</v>
      </c>
      <c r="M4" s="25">
        <f t="shared" ref="M4:M67" si="0">K4+L4</f>
        <v>20000</v>
      </c>
      <c r="N4" s="25">
        <f t="shared" ref="N4:N67" si="1">M4*G4</f>
        <v>2800000</v>
      </c>
      <c r="O4" s="26">
        <v>1.5</v>
      </c>
      <c r="P4" s="24">
        <f>O4*M4</f>
        <v>30000</v>
      </c>
      <c r="Q4" s="24">
        <f>P4*G4</f>
        <v>4200000</v>
      </c>
      <c r="R4" s="27" t="s">
        <v>674</v>
      </c>
      <c r="S4" s="27"/>
    </row>
    <row r="5" spans="1:19" ht="22.5" x14ac:dyDescent="0.2">
      <c r="A5" s="7">
        <v>3</v>
      </c>
      <c r="B5" s="5" t="s">
        <v>15</v>
      </c>
      <c r="C5" s="5" t="s">
        <v>16</v>
      </c>
      <c r="D5" s="5"/>
      <c r="E5" s="51" t="s">
        <v>640</v>
      </c>
      <c r="F5" s="7" t="s">
        <v>10</v>
      </c>
      <c r="G5" s="7">
        <v>9</v>
      </c>
      <c r="H5" s="5" t="s">
        <v>16</v>
      </c>
      <c r="I5" s="18" t="s">
        <v>641</v>
      </c>
      <c r="K5" s="9"/>
      <c r="L5" s="24">
        <v>429000</v>
      </c>
      <c r="M5" s="25">
        <f t="shared" si="0"/>
        <v>429000</v>
      </c>
      <c r="N5" s="25">
        <f t="shared" si="1"/>
        <v>3861000</v>
      </c>
      <c r="O5" s="26">
        <v>1.5</v>
      </c>
      <c r="P5" s="24">
        <f>O5*M5</f>
        <v>643500</v>
      </c>
      <c r="Q5" s="24">
        <f>P5*G5</f>
        <v>5791500</v>
      </c>
      <c r="R5" s="27" t="s">
        <v>674</v>
      </c>
      <c r="S5" s="27"/>
    </row>
    <row r="6" spans="1:19" ht="78.75" x14ac:dyDescent="0.2">
      <c r="A6" s="7">
        <v>4</v>
      </c>
      <c r="B6" s="5" t="s">
        <v>17</v>
      </c>
      <c r="C6" s="5" t="s">
        <v>18</v>
      </c>
      <c r="D6" s="5"/>
      <c r="E6" s="51" t="s">
        <v>401</v>
      </c>
      <c r="F6" s="7" t="s">
        <v>10</v>
      </c>
      <c r="G6" s="7">
        <v>2</v>
      </c>
      <c r="H6" s="5" t="s">
        <v>19</v>
      </c>
      <c r="I6" s="19">
        <v>1300000</v>
      </c>
      <c r="K6" s="9"/>
      <c r="L6" s="24">
        <v>1300000</v>
      </c>
      <c r="M6" s="25">
        <f t="shared" si="0"/>
        <v>1300000</v>
      </c>
      <c r="N6" s="25">
        <f t="shared" si="1"/>
        <v>2600000</v>
      </c>
      <c r="O6" s="26">
        <v>1.5</v>
      </c>
      <c r="P6" s="24">
        <f>O6*M6</f>
        <v>1950000</v>
      </c>
      <c r="Q6" s="24">
        <f>P6*G6</f>
        <v>3900000</v>
      </c>
      <c r="R6" s="27" t="s">
        <v>674</v>
      </c>
      <c r="S6" s="27"/>
    </row>
    <row r="7" spans="1:19" ht="22.5" x14ac:dyDescent="0.2">
      <c r="A7" s="7">
        <v>5</v>
      </c>
      <c r="B7" s="5" t="s">
        <v>20</v>
      </c>
      <c r="C7" s="5" t="s">
        <v>21</v>
      </c>
      <c r="D7" s="5"/>
      <c r="E7" s="51" t="s">
        <v>402</v>
      </c>
      <c r="F7" s="7" t="s">
        <v>10</v>
      </c>
      <c r="G7" s="7">
        <v>280</v>
      </c>
      <c r="H7" s="5" t="s">
        <v>21</v>
      </c>
      <c r="I7" s="19" t="s">
        <v>403</v>
      </c>
      <c r="K7" s="9"/>
      <c r="L7" s="24">
        <f>12500*1.81</f>
        <v>22625</v>
      </c>
      <c r="M7" s="25">
        <f t="shared" si="0"/>
        <v>22625</v>
      </c>
      <c r="N7" s="25">
        <f t="shared" si="1"/>
        <v>6335000</v>
      </c>
      <c r="O7" s="26">
        <v>1.5</v>
      </c>
      <c r="P7" s="24">
        <f>O7*M7</f>
        <v>33937.5</v>
      </c>
      <c r="Q7" s="24">
        <f>P7*G7</f>
        <v>9502500</v>
      </c>
      <c r="R7" s="27" t="s">
        <v>668</v>
      </c>
      <c r="S7" s="27"/>
    </row>
    <row r="8" spans="1:19" ht="33.75" x14ac:dyDescent="0.2">
      <c r="A8" s="7">
        <v>6</v>
      </c>
      <c r="B8" s="5" t="s">
        <v>22</v>
      </c>
      <c r="C8" s="5" t="s">
        <v>23</v>
      </c>
      <c r="D8" s="5"/>
      <c r="E8" s="51" t="s">
        <v>404</v>
      </c>
      <c r="F8" s="7" t="s">
        <v>10</v>
      </c>
      <c r="G8" s="7">
        <v>100</v>
      </c>
      <c r="H8" s="5" t="s">
        <v>23</v>
      </c>
      <c r="I8" s="19">
        <v>46000</v>
      </c>
      <c r="K8" s="9"/>
      <c r="L8" s="24">
        <v>46000</v>
      </c>
      <c r="M8" s="25">
        <f t="shared" si="0"/>
        <v>46000</v>
      </c>
      <c r="N8" s="25">
        <f t="shared" si="1"/>
        <v>4600000</v>
      </c>
      <c r="O8" s="26">
        <v>1.5</v>
      </c>
      <c r="P8" s="24">
        <f>O8*M8</f>
        <v>69000</v>
      </c>
      <c r="Q8" s="24">
        <f>P8*G8</f>
        <v>6900000</v>
      </c>
      <c r="R8" s="27" t="s">
        <v>674</v>
      </c>
      <c r="S8" s="27"/>
    </row>
    <row r="9" spans="1:19" ht="33.75" x14ac:dyDescent="0.2">
      <c r="A9" s="7">
        <v>7</v>
      </c>
      <c r="B9" s="5" t="s">
        <v>24</v>
      </c>
      <c r="C9" s="5" t="s">
        <v>25</v>
      </c>
      <c r="D9" s="5"/>
      <c r="E9" s="51" t="s">
        <v>405</v>
      </c>
      <c r="F9" s="7" t="s">
        <v>10</v>
      </c>
      <c r="G9" s="7">
        <v>36</v>
      </c>
      <c r="H9" s="5" t="s">
        <v>25</v>
      </c>
      <c r="I9" s="15" t="s">
        <v>406</v>
      </c>
      <c r="K9" s="9"/>
      <c r="L9" s="24">
        <v>55000</v>
      </c>
      <c r="M9" s="25">
        <f t="shared" si="0"/>
        <v>55000</v>
      </c>
      <c r="N9" s="25">
        <f t="shared" si="1"/>
        <v>1980000</v>
      </c>
      <c r="O9" s="26">
        <v>1.5</v>
      </c>
      <c r="P9" s="24">
        <f>O9*M9</f>
        <v>82500</v>
      </c>
      <c r="Q9" s="24">
        <f>P9*G9</f>
        <v>2970000</v>
      </c>
      <c r="R9" s="27" t="s">
        <v>674</v>
      </c>
      <c r="S9" s="27"/>
    </row>
    <row r="10" spans="1:19" ht="22.5" x14ac:dyDescent="0.2">
      <c r="A10" s="7">
        <v>8</v>
      </c>
      <c r="B10" s="5" t="s">
        <v>26</v>
      </c>
      <c r="C10" s="5" t="s">
        <v>27</v>
      </c>
      <c r="D10" s="5"/>
      <c r="E10" s="51" t="s">
        <v>407</v>
      </c>
      <c r="F10" s="7" t="s">
        <v>10</v>
      </c>
      <c r="G10" s="7">
        <v>7</v>
      </c>
      <c r="H10" s="5" t="s">
        <v>27</v>
      </c>
      <c r="I10" s="16" t="s">
        <v>408</v>
      </c>
      <c r="K10" s="9"/>
      <c r="L10" s="24">
        <v>219000</v>
      </c>
      <c r="M10" s="25">
        <f t="shared" si="0"/>
        <v>219000</v>
      </c>
      <c r="N10" s="25">
        <f t="shared" si="1"/>
        <v>1533000</v>
      </c>
      <c r="O10" s="26">
        <v>1.5</v>
      </c>
      <c r="P10" s="24">
        <f>O10*M10</f>
        <v>328500</v>
      </c>
      <c r="Q10" s="24">
        <f>P10*G10</f>
        <v>2299500</v>
      </c>
      <c r="R10" s="27" t="s">
        <v>674</v>
      </c>
      <c r="S10" s="27"/>
    </row>
    <row r="11" spans="1:19" ht="33.75" x14ac:dyDescent="0.2">
      <c r="A11" s="7">
        <v>9</v>
      </c>
      <c r="B11" s="5" t="s">
        <v>28</v>
      </c>
      <c r="C11" s="5" t="s">
        <v>29</v>
      </c>
      <c r="D11" s="5"/>
      <c r="E11" s="51" t="s">
        <v>409</v>
      </c>
      <c r="F11" s="7" t="s">
        <v>10</v>
      </c>
      <c r="G11" s="7">
        <v>32</v>
      </c>
      <c r="H11" s="5" t="s">
        <v>29</v>
      </c>
      <c r="I11" s="15" t="s">
        <v>410</v>
      </c>
      <c r="K11" s="9"/>
      <c r="L11" s="24">
        <v>32000</v>
      </c>
      <c r="M11" s="25">
        <f t="shared" si="0"/>
        <v>32000</v>
      </c>
      <c r="N11" s="25">
        <f t="shared" si="1"/>
        <v>1024000</v>
      </c>
      <c r="O11" s="26">
        <v>1.5</v>
      </c>
      <c r="P11" s="24">
        <f>O11*M11</f>
        <v>48000</v>
      </c>
      <c r="Q11" s="24">
        <f>P11*G11</f>
        <v>1536000</v>
      </c>
      <c r="R11" s="27" t="s">
        <v>674</v>
      </c>
      <c r="S11" s="27"/>
    </row>
    <row r="12" spans="1:19" ht="22.5" x14ac:dyDescent="0.2">
      <c r="A12" s="7">
        <v>10</v>
      </c>
      <c r="B12" s="5" t="s">
        <v>30</v>
      </c>
      <c r="C12" s="5" t="s">
        <v>31</v>
      </c>
      <c r="D12" s="5"/>
      <c r="E12" s="51" t="s">
        <v>413</v>
      </c>
      <c r="F12" s="7" t="s">
        <v>10</v>
      </c>
      <c r="G12" s="7">
        <v>262</v>
      </c>
      <c r="H12" s="5" t="s">
        <v>31</v>
      </c>
      <c r="I12" s="28" t="s">
        <v>414</v>
      </c>
      <c r="K12" s="9"/>
      <c r="L12" s="24">
        <v>23000</v>
      </c>
      <c r="M12" s="25">
        <f t="shared" si="0"/>
        <v>23000</v>
      </c>
      <c r="N12" s="25">
        <f t="shared" si="1"/>
        <v>6026000</v>
      </c>
      <c r="O12" s="26">
        <v>1.5</v>
      </c>
      <c r="P12" s="24">
        <f>O12*M12</f>
        <v>34500</v>
      </c>
      <c r="Q12" s="24">
        <f>P12*G12</f>
        <v>9039000</v>
      </c>
      <c r="R12" s="27" t="s">
        <v>674</v>
      </c>
      <c r="S12" s="27"/>
    </row>
    <row r="13" spans="1:19" ht="22.5" x14ac:dyDescent="0.2">
      <c r="A13" s="7">
        <v>11</v>
      </c>
      <c r="B13" s="5" t="s">
        <v>32</v>
      </c>
      <c r="C13" s="5" t="s">
        <v>33</v>
      </c>
      <c r="D13" s="5"/>
      <c r="E13" s="51" t="s">
        <v>411</v>
      </c>
      <c r="F13" s="7" t="s">
        <v>10</v>
      </c>
      <c r="G13" s="7">
        <v>42</v>
      </c>
      <c r="H13" s="5" t="s">
        <v>33</v>
      </c>
      <c r="I13" s="15" t="s">
        <v>412</v>
      </c>
      <c r="K13" s="9"/>
      <c r="L13" s="24">
        <v>15200</v>
      </c>
      <c r="M13" s="25">
        <f t="shared" si="0"/>
        <v>15200</v>
      </c>
      <c r="N13" s="25">
        <f t="shared" si="1"/>
        <v>638400</v>
      </c>
      <c r="O13" s="26">
        <v>1.5</v>
      </c>
      <c r="P13" s="24">
        <f>O13*M13</f>
        <v>22800</v>
      </c>
      <c r="Q13" s="24">
        <f>P13*G13</f>
        <v>957600</v>
      </c>
      <c r="R13" s="27" t="s">
        <v>674</v>
      </c>
      <c r="S13" s="27"/>
    </row>
    <row r="14" spans="1:19" ht="22.5" x14ac:dyDescent="0.2">
      <c r="A14" s="7">
        <v>12</v>
      </c>
      <c r="B14" s="5" t="s">
        <v>34</v>
      </c>
      <c r="C14" s="5" t="s">
        <v>35</v>
      </c>
      <c r="D14" s="5" t="s">
        <v>36</v>
      </c>
      <c r="E14" s="51" t="s">
        <v>415</v>
      </c>
      <c r="F14" s="7" t="s">
        <v>10</v>
      </c>
      <c r="G14" s="7">
        <v>52</v>
      </c>
      <c r="H14" s="5" t="s">
        <v>35</v>
      </c>
      <c r="I14" s="15" t="s">
        <v>416</v>
      </c>
      <c r="K14" s="9"/>
      <c r="L14" s="24">
        <v>56100</v>
      </c>
      <c r="M14" s="25">
        <f t="shared" si="0"/>
        <v>56100</v>
      </c>
      <c r="N14" s="25">
        <f t="shared" si="1"/>
        <v>2917200</v>
      </c>
      <c r="O14" s="26">
        <v>1.5</v>
      </c>
      <c r="P14" s="24">
        <f>O14*M14</f>
        <v>84150</v>
      </c>
      <c r="Q14" s="24">
        <f>P14*G14</f>
        <v>4375800</v>
      </c>
      <c r="R14" s="27" t="s">
        <v>674</v>
      </c>
      <c r="S14" s="27"/>
    </row>
    <row r="15" spans="1:19" ht="33.75" x14ac:dyDescent="0.2">
      <c r="A15" s="7">
        <v>13</v>
      </c>
      <c r="B15" s="5" t="s">
        <v>37</v>
      </c>
      <c r="C15" s="5" t="s">
        <v>38</v>
      </c>
      <c r="D15" s="5"/>
      <c r="E15" s="51" t="s">
        <v>417</v>
      </c>
      <c r="F15" s="7" t="s">
        <v>10</v>
      </c>
      <c r="G15" s="7">
        <v>2</v>
      </c>
      <c r="H15" s="5" t="s">
        <v>38</v>
      </c>
      <c r="I15" s="18" t="s">
        <v>642</v>
      </c>
      <c r="K15" s="9"/>
      <c r="L15" s="24">
        <f>12500*325</f>
        <v>4062500</v>
      </c>
      <c r="M15" s="25">
        <f t="shared" si="0"/>
        <v>4062500</v>
      </c>
      <c r="N15" s="25">
        <f t="shared" si="1"/>
        <v>8125000</v>
      </c>
      <c r="O15" s="26">
        <v>1.5</v>
      </c>
      <c r="P15" s="24">
        <f>O15*M15</f>
        <v>6093750</v>
      </c>
      <c r="Q15" s="24">
        <f>P15*G15</f>
        <v>12187500</v>
      </c>
      <c r="R15" s="27" t="s">
        <v>674</v>
      </c>
      <c r="S15" s="27"/>
    </row>
    <row r="16" spans="1:19" s="65" customFormat="1" ht="22.5" x14ac:dyDescent="0.2">
      <c r="A16" s="58">
        <v>14</v>
      </c>
      <c r="B16" s="59" t="s">
        <v>39</v>
      </c>
      <c r="C16" s="59"/>
      <c r="D16" s="59"/>
      <c r="E16" s="59"/>
      <c r="F16" s="58" t="s">
        <v>10</v>
      </c>
      <c r="G16" s="58">
        <v>155</v>
      </c>
      <c r="H16" s="59" t="s">
        <v>40</v>
      </c>
      <c r="I16" s="60"/>
      <c r="J16" s="61"/>
      <c r="K16" s="61"/>
      <c r="L16" s="62"/>
      <c r="M16" s="63">
        <f t="shared" si="0"/>
        <v>0</v>
      </c>
      <c r="N16" s="63">
        <f t="shared" si="1"/>
        <v>0</v>
      </c>
      <c r="O16" s="61">
        <v>1.5</v>
      </c>
      <c r="P16" s="62">
        <f>O16*M16</f>
        <v>0</v>
      </c>
      <c r="Q16" s="62">
        <f>P16*G16</f>
        <v>0</v>
      </c>
      <c r="R16" s="64"/>
      <c r="S16" s="64" t="s">
        <v>667</v>
      </c>
    </row>
    <row r="17" spans="1:20" ht="67.5" x14ac:dyDescent="0.2">
      <c r="A17" s="7">
        <v>15</v>
      </c>
      <c r="B17" s="5" t="s">
        <v>41</v>
      </c>
      <c r="C17" s="5" t="s">
        <v>42</v>
      </c>
      <c r="D17" s="5"/>
      <c r="E17" s="51" t="s">
        <v>418</v>
      </c>
      <c r="F17" s="7" t="s">
        <v>10</v>
      </c>
      <c r="G17" s="7">
        <v>16</v>
      </c>
      <c r="H17" s="5" t="s">
        <v>42</v>
      </c>
      <c r="I17" s="18" t="s">
        <v>643</v>
      </c>
      <c r="J17" s="9">
        <v>1</v>
      </c>
      <c r="K17" s="9"/>
      <c r="L17" s="24">
        <f>12500*262</f>
        <v>3275000</v>
      </c>
      <c r="M17" s="25">
        <f t="shared" si="0"/>
        <v>3275000</v>
      </c>
      <c r="N17" s="25">
        <f t="shared" si="1"/>
        <v>52400000</v>
      </c>
      <c r="O17" s="26">
        <v>1.5</v>
      </c>
      <c r="P17" s="24">
        <f>O17*M17</f>
        <v>4912500</v>
      </c>
      <c r="Q17" s="24">
        <f>P17*G17</f>
        <v>78600000</v>
      </c>
      <c r="R17" s="27" t="s">
        <v>668</v>
      </c>
      <c r="S17" s="27"/>
    </row>
    <row r="18" spans="1:20" ht="90" x14ac:dyDescent="0.2">
      <c r="A18" s="7">
        <v>16</v>
      </c>
      <c r="B18" s="5" t="s">
        <v>43</v>
      </c>
      <c r="C18" s="5" t="s">
        <v>44</v>
      </c>
      <c r="D18" s="5"/>
      <c r="E18" s="51" t="s">
        <v>420</v>
      </c>
      <c r="F18" s="7" t="s">
        <v>10</v>
      </c>
      <c r="G18" s="7">
        <v>2</v>
      </c>
      <c r="H18" s="5" t="s">
        <v>45</v>
      </c>
      <c r="I18" s="18" t="s">
        <v>644</v>
      </c>
      <c r="J18" s="9">
        <v>2</v>
      </c>
      <c r="K18" s="9"/>
      <c r="L18" s="24">
        <f>12500*362</f>
        <v>4525000</v>
      </c>
      <c r="M18" s="25">
        <f t="shared" si="0"/>
        <v>4525000</v>
      </c>
      <c r="N18" s="25">
        <f t="shared" si="1"/>
        <v>9050000</v>
      </c>
      <c r="O18" s="26">
        <v>1.5</v>
      </c>
      <c r="P18" s="24">
        <f>O18*M18</f>
        <v>6787500</v>
      </c>
      <c r="Q18" s="24">
        <f>P18*G18</f>
        <v>13575000</v>
      </c>
      <c r="R18" s="27" t="s">
        <v>668</v>
      </c>
      <c r="S18" s="27"/>
    </row>
    <row r="19" spans="1:20" ht="33.75" x14ac:dyDescent="0.2">
      <c r="A19" s="7">
        <v>17</v>
      </c>
      <c r="B19" s="5" t="s">
        <v>46</v>
      </c>
      <c r="C19" s="5" t="s">
        <v>47</v>
      </c>
      <c r="D19" s="5"/>
      <c r="E19" s="51" t="s">
        <v>422</v>
      </c>
      <c r="F19" s="7" t="s">
        <v>10</v>
      </c>
      <c r="G19" s="7">
        <v>3</v>
      </c>
      <c r="H19" s="5" t="s">
        <v>47</v>
      </c>
      <c r="I19" s="19" t="s">
        <v>421</v>
      </c>
      <c r="J19" s="9">
        <v>1</v>
      </c>
      <c r="K19" s="9"/>
      <c r="L19" s="24">
        <f>12500*168</f>
        <v>2100000</v>
      </c>
      <c r="M19" s="25">
        <f t="shared" si="0"/>
        <v>2100000</v>
      </c>
      <c r="N19" s="25">
        <f t="shared" si="1"/>
        <v>6300000</v>
      </c>
      <c r="O19" s="26">
        <v>1.5</v>
      </c>
      <c r="P19" s="24">
        <f>O19*M19</f>
        <v>3150000</v>
      </c>
      <c r="Q19" s="24">
        <f>P19*G19</f>
        <v>9450000</v>
      </c>
      <c r="R19" s="27" t="s">
        <v>668</v>
      </c>
      <c r="S19" s="27"/>
    </row>
    <row r="20" spans="1:20" ht="67.5" x14ac:dyDescent="0.2">
      <c r="A20" s="7">
        <v>18</v>
      </c>
      <c r="B20" s="5" t="s">
        <v>48</v>
      </c>
      <c r="C20" s="5"/>
      <c r="D20" s="5">
        <v>1478120000</v>
      </c>
      <c r="E20" s="51" t="s">
        <v>423</v>
      </c>
      <c r="F20" s="7" t="s">
        <v>10</v>
      </c>
      <c r="G20" s="7">
        <v>8</v>
      </c>
      <c r="H20" s="5" t="s">
        <v>50</v>
      </c>
      <c r="I20" s="19" t="s">
        <v>419</v>
      </c>
      <c r="J20" s="9">
        <v>1</v>
      </c>
      <c r="K20" s="9"/>
      <c r="L20" s="24">
        <f>12500*262</f>
        <v>3275000</v>
      </c>
      <c r="M20" s="25">
        <f t="shared" si="0"/>
        <v>3275000</v>
      </c>
      <c r="N20" s="25">
        <f t="shared" si="1"/>
        <v>26200000</v>
      </c>
      <c r="O20" s="26">
        <v>1.5</v>
      </c>
      <c r="P20" s="24">
        <f>O20*M20</f>
        <v>4912500</v>
      </c>
      <c r="Q20" s="24">
        <f>P20*G20</f>
        <v>39300000</v>
      </c>
      <c r="R20" s="27" t="s">
        <v>668</v>
      </c>
      <c r="S20" s="27"/>
    </row>
    <row r="21" spans="1:20" ht="22.5" x14ac:dyDescent="0.2">
      <c r="A21" s="7">
        <v>19</v>
      </c>
      <c r="B21" s="5" t="s">
        <v>51</v>
      </c>
      <c r="C21" s="5"/>
      <c r="D21" s="5">
        <v>1478140000</v>
      </c>
      <c r="E21" s="51" t="s">
        <v>420</v>
      </c>
      <c r="F21" s="7" t="s">
        <v>10</v>
      </c>
      <c r="G21" s="7">
        <v>1</v>
      </c>
      <c r="H21" s="5" t="s">
        <v>53</v>
      </c>
      <c r="I21" s="19" t="s">
        <v>645</v>
      </c>
      <c r="J21" s="9">
        <v>2</v>
      </c>
      <c r="K21" s="9"/>
      <c r="L21" s="24">
        <f>12500*347</f>
        <v>4337500</v>
      </c>
      <c r="M21" s="25">
        <f t="shared" si="0"/>
        <v>4337500</v>
      </c>
      <c r="N21" s="25">
        <f t="shared" si="1"/>
        <v>4337500</v>
      </c>
      <c r="O21" s="26">
        <v>1.5</v>
      </c>
      <c r="P21" s="24">
        <f>O21*M21</f>
        <v>6506250</v>
      </c>
      <c r="Q21" s="24">
        <f>P21*G21</f>
        <v>6506250</v>
      </c>
      <c r="R21" s="27" t="s">
        <v>668</v>
      </c>
      <c r="S21" s="27"/>
    </row>
    <row r="22" spans="1:20" s="65" customFormat="1" ht="45" x14ac:dyDescent="0.2">
      <c r="A22" s="58">
        <v>20</v>
      </c>
      <c r="B22" s="59" t="s">
        <v>54</v>
      </c>
      <c r="C22" s="59" t="s">
        <v>55</v>
      </c>
      <c r="D22" s="59"/>
      <c r="E22" s="59"/>
      <c r="F22" s="58" t="s">
        <v>10</v>
      </c>
      <c r="G22" s="58">
        <v>5</v>
      </c>
      <c r="H22" s="59" t="s">
        <v>55</v>
      </c>
      <c r="I22" s="60"/>
      <c r="J22" s="61"/>
      <c r="K22" s="61"/>
      <c r="L22" s="62"/>
      <c r="M22" s="63">
        <f t="shared" si="0"/>
        <v>0</v>
      </c>
      <c r="N22" s="63">
        <f t="shared" si="1"/>
        <v>0</v>
      </c>
      <c r="O22" s="61">
        <v>1.5</v>
      </c>
      <c r="P22" s="62">
        <f>O22*M22</f>
        <v>0</v>
      </c>
      <c r="Q22" s="62">
        <f>P22*G22</f>
        <v>0</v>
      </c>
      <c r="R22" s="64"/>
      <c r="S22" s="64" t="s">
        <v>667</v>
      </c>
    </row>
    <row r="23" spans="1:20" ht="22.5" x14ac:dyDescent="0.2">
      <c r="A23" s="7">
        <v>21</v>
      </c>
      <c r="B23" s="5" t="s">
        <v>56</v>
      </c>
      <c r="C23" s="5"/>
      <c r="D23" s="5"/>
      <c r="E23" s="51" t="s">
        <v>424</v>
      </c>
      <c r="F23" s="7" t="s">
        <v>10</v>
      </c>
      <c r="G23" s="7">
        <v>5</v>
      </c>
      <c r="H23" s="5"/>
      <c r="I23" s="19" t="s">
        <v>425</v>
      </c>
      <c r="K23" s="9"/>
      <c r="L23" s="24">
        <v>360000</v>
      </c>
      <c r="M23" s="25">
        <f t="shared" si="0"/>
        <v>360000</v>
      </c>
      <c r="N23" s="25">
        <f t="shared" si="1"/>
        <v>1800000</v>
      </c>
      <c r="O23" s="26">
        <v>1.5</v>
      </c>
      <c r="P23" s="24">
        <f>O23*M23</f>
        <v>540000</v>
      </c>
      <c r="Q23" s="24">
        <f>P23*G23</f>
        <v>2700000</v>
      </c>
      <c r="R23" s="27" t="s">
        <v>674</v>
      </c>
      <c r="S23" s="27"/>
    </row>
    <row r="24" spans="1:20" ht="22.5" x14ac:dyDescent="0.2">
      <c r="A24" s="7">
        <v>22</v>
      </c>
      <c r="B24" s="5" t="s">
        <v>56</v>
      </c>
      <c r="C24" s="5" t="s">
        <v>57</v>
      </c>
      <c r="D24" s="5"/>
      <c r="E24" s="51" t="s">
        <v>424</v>
      </c>
      <c r="F24" s="7" t="s">
        <v>10</v>
      </c>
      <c r="G24" s="7">
        <v>1</v>
      </c>
      <c r="H24" s="5" t="s">
        <v>57</v>
      </c>
      <c r="I24" s="19" t="s">
        <v>426</v>
      </c>
      <c r="K24" s="9"/>
      <c r="L24" s="24">
        <v>360000</v>
      </c>
      <c r="M24" s="25">
        <f t="shared" si="0"/>
        <v>360000</v>
      </c>
      <c r="N24" s="25">
        <f t="shared" si="1"/>
        <v>360000</v>
      </c>
      <c r="O24" s="26">
        <v>1.5</v>
      </c>
      <c r="P24" s="24">
        <f>O24*M24</f>
        <v>540000</v>
      </c>
      <c r="Q24" s="24">
        <f>P24*G24</f>
        <v>540000</v>
      </c>
      <c r="R24" s="27" t="s">
        <v>674</v>
      </c>
      <c r="S24" s="27"/>
    </row>
    <row r="25" spans="1:20" ht="56.25" x14ac:dyDescent="0.2">
      <c r="A25" s="7">
        <v>23</v>
      </c>
      <c r="B25" s="5" t="s">
        <v>58</v>
      </c>
      <c r="C25" s="5" t="s">
        <v>59</v>
      </c>
      <c r="D25" s="5"/>
      <c r="E25" s="51" t="s">
        <v>427</v>
      </c>
      <c r="F25" s="7" t="s">
        <v>10</v>
      </c>
      <c r="G25" s="7">
        <v>1</v>
      </c>
      <c r="H25" s="5" t="s">
        <v>59</v>
      </c>
      <c r="I25" s="19" t="s">
        <v>428</v>
      </c>
      <c r="K25" s="9"/>
      <c r="L25" s="30">
        <v>320000</v>
      </c>
      <c r="M25" s="25">
        <f t="shared" si="0"/>
        <v>320000</v>
      </c>
      <c r="N25" s="25">
        <f t="shared" si="1"/>
        <v>320000</v>
      </c>
      <c r="O25" s="26">
        <v>1.5</v>
      </c>
      <c r="P25" s="24">
        <f>O25*M25</f>
        <v>480000</v>
      </c>
      <c r="Q25" s="24">
        <f>P25*G25</f>
        <v>480000</v>
      </c>
      <c r="R25" s="27" t="s">
        <v>674</v>
      </c>
      <c r="S25" s="27"/>
      <c r="T25" s="13" t="s">
        <v>429</v>
      </c>
    </row>
    <row r="26" spans="1:20" s="65" customFormat="1" x14ac:dyDescent="0.2">
      <c r="A26" s="58">
        <v>24</v>
      </c>
      <c r="B26" s="59" t="s">
        <v>60</v>
      </c>
      <c r="C26" s="59"/>
      <c r="D26" s="59"/>
      <c r="E26" s="59"/>
      <c r="F26" s="58" t="s">
        <v>10</v>
      </c>
      <c r="G26" s="58">
        <v>240</v>
      </c>
      <c r="H26" s="59" t="s">
        <v>61</v>
      </c>
      <c r="I26" s="60"/>
      <c r="J26" s="61"/>
      <c r="K26" s="61"/>
      <c r="L26" s="62"/>
      <c r="M26" s="63">
        <f t="shared" si="0"/>
        <v>0</v>
      </c>
      <c r="N26" s="63">
        <f t="shared" si="1"/>
        <v>0</v>
      </c>
      <c r="O26" s="61">
        <v>1.5</v>
      </c>
      <c r="P26" s="62">
        <f>O26*M26</f>
        <v>0</v>
      </c>
      <c r="Q26" s="62">
        <f>P26*G26</f>
        <v>0</v>
      </c>
      <c r="R26" s="64"/>
      <c r="S26" s="64" t="s">
        <v>667</v>
      </c>
    </row>
    <row r="27" spans="1:20" ht="33.75" x14ac:dyDescent="0.2">
      <c r="A27" s="7">
        <v>25</v>
      </c>
      <c r="B27" s="5" t="s">
        <v>62</v>
      </c>
      <c r="C27" s="5" t="s">
        <v>63</v>
      </c>
      <c r="D27" s="5"/>
      <c r="E27" s="51" t="s">
        <v>430</v>
      </c>
      <c r="F27" s="7" t="s">
        <v>10</v>
      </c>
      <c r="G27" s="7">
        <v>26</v>
      </c>
      <c r="H27" s="5" t="s">
        <v>63</v>
      </c>
      <c r="I27" s="19" t="s">
        <v>431</v>
      </c>
      <c r="J27" s="9" t="s">
        <v>432</v>
      </c>
      <c r="K27" s="9"/>
      <c r="L27" s="24">
        <f>12500*19</f>
        <v>237500</v>
      </c>
      <c r="M27" s="25">
        <f t="shared" si="0"/>
        <v>237500</v>
      </c>
      <c r="N27" s="25">
        <f t="shared" si="1"/>
        <v>6175000</v>
      </c>
      <c r="O27" s="26">
        <v>1.5</v>
      </c>
      <c r="P27" s="24">
        <f>O27*M27</f>
        <v>356250</v>
      </c>
      <c r="Q27" s="24">
        <f>P27*G27</f>
        <v>9262500</v>
      </c>
      <c r="R27" s="27" t="s">
        <v>674</v>
      </c>
      <c r="S27" s="27"/>
    </row>
    <row r="28" spans="1:20" ht="22.5" x14ac:dyDescent="0.2">
      <c r="A28" s="7">
        <v>26</v>
      </c>
      <c r="B28" s="5" t="s">
        <v>64</v>
      </c>
      <c r="C28" s="5" t="s">
        <v>65</v>
      </c>
      <c r="D28" s="5"/>
      <c r="E28" s="51" t="s">
        <v>433</v>
      </c>
      <c r="F28" s="7" t="s">
        <v>10</v>
      </c>
      <c r="G28" s="7">
        <v>14</v>
      </c>
      <c r="H28" s="5" t="s">
        <v>65</v>
      </c>
      <c r="I28" s="17" t="s">
        <v>434</v>
      </c>
      <c r="K28" s="9"/>
      <c r="L28" s="24">
        <v>49000</v>
      </c>
      <c r="M28" s="25">
        <f t="shared" si="0"/>
        <v>49000</v>
      </c>
      <c r="N28" s="25">
        <f t="shared" si="1"/>
        <v>686000</v>
      </c>
      <c r="O28" s="26">
        <v>1.5</v>
      </c>
      <c r="P28" s="24">
        <f>O28*M28</f>
        <v>73500</v>
      </c>
      <c r="Q28" s="24">
        <f>P28*G28</f>
        <v>1029000</v>
      </c>
      <c r="R28" s="27" t="s">
        <v>674</v>
      </c>
      <c r="S28" s="27"/>
    </row>
    <row r="29" spans="1:20" ht="45" x14ac:dyDescent="0.2">
      <c r="A29" s="7">
        <v>27</v>
      </c>
      <c r="B29" s="5" t="s">
        <v>66</v>
      </c>
      <c r="C29" s="5" t="s">
        <v>67</v>
      </c>
      <c r="D29" s="5"/>
      <c r="E29" s="51" t="s">
        <v>435</v>
      </c>
      <c r="F29" s="7" t="s">
        <v>10</v>
      </c>
      <c r="G29" s="7">
        <v>42</v>
      </c>
      <c r="H29" s="5" t="s">
        <v>67</v>
      </c>
      <c r="I29" s="17" t="s">
        <v>436</v>
      </c>
      <c r="K29" s="9"/>
      <c r="L29" s="24">
        <v>50000</v>
      </c>
      <c r="M29" s="25">
        <f t="shared" si="0"/>
        <v>50000</v>
      </c>
      <c r="N29" s="25">
        <f t="shared" si="1"/>
        <v>2100000</v>
      </c>
      <c r="O29" s="26">
        <v>1.5</v>
      </c>
      <c r="P29" s="24">
        <f>O29*M29</f>
        <v>75000</v>
      </c>
      <c r="Q29" s="24">
        <f>P29*G29</f>
        <v>3150000</v>
      </c>
      <c r="R29" s="27" t="s">
        <v>674</v>
      </c>
      <c r="S29" s="27"/>
    </row>
    <row r="30" spans="1:20" ht="22.5" x14ac:dyDescent="0.2">
      <c r="A30" s="7">
        <v>28</v>
      </c>
      <c r="B30" s="5" t="s">
        <v>68</v>
      </c>
      <c r="C30" s="5" t="s">
        <v>69</v>
      </c>
      <c r="D30" s="5" t="s">
        <v>70</v>
      </c>
      <c r="E30" s="51" t="s">
        <v>437</v>
      </c>
      <c r="F30" s="7" t="s">
        <v>10</v>
      </c>
      <c r="G30" s="7">
        <v>26</v>
      </c>
      <c r="H30" s="5" t="s">
        <v>69</v>
      </c>
      <c r="I30" s="19" t="s">
        <v>438</v>
      </c>
      <c r="J30" s="9" t="s">
        <v>439</v>
      </c>
      <c r="K30" s="9"/>
      <c r="L30" s="24">
        <f>12500*136</f>
        <v>1700000</v>
      </c>
      <c r="M30" s="25">
        <f t="shared" si="0"/>
        <v>1700000</v>
      </c>
      <c r="N30" s="25">
        <f t="shared" si="1"/>
        <v>44200000</v>
      </c>
      <c r="O30" s="26">
        <v>1.5</v>
      </c>
      <c r="P30" s="24">
        <f>O30*M30</f>
        <v>2550000</v>
      </c>
      <c r="Q30" s="24">
        <f>P30*G30</f>
        <v>66300000</v>
      </c>
      <c r="R30" s="27" t="s">
        <v>674</v>
      </c>
      <c r="S30" s="27"/>
    </row>
    <row r="31" spans="1:20" ht="33.75" x14ac:dyDescent="0.2">
      <c r="A31" s="7">
        <v>29</v>
      </c>
      <c r="B31" s="5" t="s">
        <v>71</v>
      </c>
      <c r="C31" s="5" t="s">
        <v>72</v>
      </c>
      <c r="D31" s="5">
        <v>2659000000</v>
      </c>
      <c r="E31" s="51" t="s">
        <v>440</v>
      </c>
      <c r="F31" s="7" t="s">
        <v>74</v>
      </c>
      <c r="G31" s="7">
        <v>2</v>
      </c>
      <c r="H31" s="5" t="s">
        <v>72</v>
      </c>
      <c r="I31" s="19" t="s">
        <v>646</v>
      </c>
      <c r="K31" s="9"/>
      <c r="L31" s="24">
        <f>12500*4.4*10</f>
        <v>550000.00000000012</v>
      </c>
      <c r="M31" s="25">
        <f t="shared" si="0"/>
        <v>550000.00000000012</v>
      </c>
      <c r="N31" s="25">
        <f t="shared" si="1"/>
        <v>1100000.0000000002</v>
      </c>
      <c r="O31" s="26">
        <v>1.5</v>
      </c>
      <c r="P31" s="24">
        <f>O31*M31</f>
        <v>825000.00000000023</v>
      </c>
      <c r="Q31" s="24">
        <f>P31*G31</f>
        <v>1650000.0000000005</v>
      </c>
      <c r="R31" s="27" t="s">
        <v>674</v>
      </c>
      <c r="S31" s="27"/>
    </row>
    <row r="32" spans="1:20" ht="33.75" x14ac:dyDescent="0.2">
      <c r="A32" s="7">
        <v>30</v>
      </c>
      <c r="B32" s="5" t="s">
        <v>75</v>
      </c>
      <c r="C32" s="5" t="s">
        <v>76</v>
      </c>
      <c r="D32" s="5">
        <v>2658970000</v>
      </c>
      <c r="E32" s="51" t="s">
        <v>441</v>
      </c>
      <c r="F32" s="7" t="s">
        <v>10</v>
      </c>
      <c r="G32" s="7">
        <v>44</v>
      </c>
      <c r="H32" s="5" t="s">
        <v>78</v>
      </c>
      <c r="I32" s="19" t="s">
        <v>647</v>
      </c>
      <c r="K32" s="9"/>
      <c r="L32" s="24">
        <f>12500*16</f>
        <v>200000</v>
      </c>
      <c r="M32" s="25">
        <f t="shared" si="0"/>
        <v>200000</v>
      </c>
      <c r="N32" s="25">
        <f t="shared" si="1"/>
        <v>8800000</v>
      </c>
      <c r="O32" s="26">
        <v>1.5</v>
      </c>
      <c r="P32" s="24">
        <f>O32*M32</f>
        <v>300000</v>
      </c>
      <c r="Q32" s="24">
        <f>P32*G32</f>
        <v>13200000</v>
      </c>
      <c r="R32" s="27" t="s">
        <v>668</v>
      </c>
      <c r="S32" s="27"/>
    </row>
    <row r="33" spans="1:20" ht="33.75" x14ac:dyDescent="0.2">
      <c r="A33" s="7">
        <v>31</v>
      </c>
      <c r="B33" s="5" t="s">
        <v>79</v>
      </c>
      <c r="C33" s="5" t="s">
        <v>80</v>
      </c>
      <c r="D33" s="5">
        <v>2658980000</v>
      </c>
      <c r="E33" s="51" t="s">
        <v>442</v>
      </c>
      <c r="F33" s="7" t="s">
        <v>10</v>
      </c>
      <c r="G33" s="7">
        <v>50</v>
      </c>
      <c r="H33" s="5" t="s">
        <v>82</v>
      </c>
      <c r="I33" s="19" t="s">
        <v>648</v>
      </c>
      <c r="K33" s="9"/>
      <c r="L33" s="24">
        <f>12500*4</f>
        <v>50000</v>
      </c>
      <c r="M33" s="25">
        <f t="shared" si="0"/>
        <v>50000</v>
      </c>
      <c r="N33" s="25">
        <f t="shared" si="1"/>
        <v>2500000</v>
      </c>
      <c r="O33" s="26">
        <v>1.5</v>
      </c>
      <c r="P33" s="24">
        <f>O33*M33</f>
        <v>75000</v>
      </c>
      <c r="Q33" s="24">
        <f>P33*G33</f>
        <v>3750000</v>
      </c>
      <c r="R33" s="27" t="s">
        <v>668</v>
      </c>
      <c r="S33" s="27"/>
    </row>
    <row r="34" spans="1:20" s="65" customFormat="1" ht="33.75" x14ac:dyDescent="0.2">
      <c r="A34" s="58">
        <v>32</v>
      </c>
      <c r="B34" s="59" t="s">
        <v>83</v>
      </c>
      <c r="C34" s="59" t="s">
        <v>84</v>
      </c>
      <c r="D34" s="59"/>
      <c r="E34" s="59"/>
      <c r="F34" s="58" t="s">
        <v>10</v>
      </c>
      <c r="G34" s="58">
        <v>122</v>
      </c>
      <c r="H34" s="59" t="s">
        <v>84</v>
      </c>
      <c r="I34" s="60"/>
      <c r="J34" s="61"/>
      <c r="K34" s="61"/>
      <c r="L34" s="62"/>
      <c r="M34" s="63">
        <f t="shared" si="0"/>
        <v>0</v>
      </c>
      <c r="N34" s="63">
        <f t="shared" si="1"/>
        <v>0</v>
      </c>
      <c r="O34" s="61">
        <v>1.5</v>
      </c>
      <c r="P34" s="62">
        <f>O34*M34</f>
        <v>0</v>
      </c>
      <c r="Q34" s="62">
        <f>P34*G34</f>
        <v>0</v>
      </c>
      <c r="R34" s="64"/>
      <c r="S34" s="64" t="s">
        <v>667</v>
      </c>
    </row>
    <row r="35" spans="1:20" ht="45" x14ac:dyDescent="0.2">
      <c r="A35" s="7">
        <v>33</v>
      </c>
      <c r="B35" s="5" t="s">
        <v>85</v>
      </c>
      <c r="C35" s="5" t="s">
        <v>86</v>
      </c>
      <c r="D35" s="5"/>
      <c r="E35" s="51" t="s">
        <v>443</v>
      </c>
      <c r="F35" s="7" t="s">
        <v>10</v>
      </c>
      <c r="G35" s="7">
        <v>5</v>
      </c>
      <c r="H35" s="5" t="s">
        <v>86</v>
      </c>
      <c r="I35" s="19" t="s">
        <v>444</v>
      </c>
      <c r="K35" s="9"/>
      <c r="L35" s="24">
        <v>2180000</v>
      </c>
      <c r="M35" s="25">
        <f t="shared" si="0"/>
        <v>2180000</v>
      </c>
      <c r="N35" s="25">
        <f t="shared" si="1"/>
        <v>10900000</v>
      </c>
      <c r="O35" s="26">
        <v>1.5</v>
      </c>
      <c r="P35" s="24">
        <f>O35*M35</f>
        <v>3270000</v>
      </c>
      <c r="Q35" s="24">
        <f>P35*G35</f>
        <v>16350000</v>
      </c>
      <c r="R35" s="27" t="s">
        <v>674</v>
      </c>
      <c r="S35" s="27"/>
    </row>
    <row r="36" spans="1:20" ht="78.75" x14ac:dyDescent="0.2">
      <c r="A36" s="7">
        <v>34</v>
      </c>
      <c r="B36" s="5" t="s">
        <v>87</v>
      </c>
      <c r="C36" s="5" t="s">
        <v>88</v>
      </c>
      <c r="D36" s="5" t="s">
        <v>89</v>
      </c>
      <c r="E36" s="51" t="s">
        <v>445</v>
      </c>
      <c r="F36" s="7" t="s">
        <v>74</v>
      </c>
      <c r="G36" s="7">
        <v>18</v>
      </c>
      <c r="H36" s="5" t="s">
        <v>90</v>
      </c>
      <c r="I36" s="19" t="s">
        <v>447</v>
      </c>
      <c r="J36" s="9" t="s">
        <v>446</v>
      </c>
      <c r="K36" s="9">
        <f>9*34*12500</f>
        <v>3825000</v>
      </c>
      <c r="L36" s="24">
        <f>12500*849</f>
        <v>10612500</v>
      </c>
      <c r="M36" s="25">
        <f t="shared" si="0"/>
        <v>14437500</v>
      </c>
      <c r="N36" s="25">
        <f t="shared" si="1"/>
        <v>259875000</v>
      </c>
      <c r="O36" s="26">
        <v>1.5</v>
      </c>
      <c r="P36" s="24">
        <f>O36*M36</f>
        <v>21656250</v>
      </c>
      <c r="Q36" s="24">
        <f>P36*G36</f>
        <v>389812500</v>
      </c>
      <c r="R36" s="27" t="s">
        <v>674</v>
      </c>
      <c r="S36" s="27"/>
    </row>
    <row r="37" spans="1:20" ht="90" x14ac:dyDescent="0.2">
      <c r="A37" s="7">
        <v>35</v>
      </c>
      <c r="B37" s="5" t="s">
        <v>91</v>
      </c>
      <c r="C37" s="5" t="s">
        <v>92</v>
      </c>
      <c r="D37" s="5" t="s">
        <v>93</v>
      </c>
      <c r="E37" s="51" t="s">
        <v>449</v>
      </c>
      <c r="F37" s="7" t="s">
        <v>74</v>
      </c>
      <c r="G37" s="7">
        <v>1</v>
      </c>
      <c r="H37" s="5" t="s">
        <v>94</v>
      </c>
      <c r="I37" s="19" t="s">
        <v>448</v>
      </c>
      <c r="J37" s="9" t="s">
        <v>446</v>
      </c>
      <c r="K37" s="9">
        <f t="shared" ref="K37:K38" si="2">9*34*12500</f>
        <v>3825000</v>
      </c>
      <c r="L37" s="24">
        <f>12500*1025</f>
        <v>12812500</v>
      </c>
      <c r="M37" s="25">
        <f t="shared" si="0"/>
        <v>16637500</v>
      </c>
      <c r="N37" s="25">
        <f t="shared" si="1"/>
        <v>16637500</v>
      </c>
      <c r="O37" s="26">
        <v>1.5</v>
      </c>
      <c r="P37" s="24">
        <f>O37*M37</f>
        <v>24956250</v>
      </c>
      <c r="Q37" s="24">
        <f>P37*G37</f>
        <v>24956250</v>
      </c>
      <c r="R37" s="27" t="s">
        <v>674</v>
      </c>
      <c r="S37" s="27"/>
    </row>
    <row r="38" spans="1:20" ht="78.75" x14ac:dyDescent="0.2">
      <c r="A38" s="7">
        <v>36</v>
      </c>
      <c r="B38" s="5" t="s">
        <v>95</v>
      </c>
      <c r="C38" s="5" t="s">
        <v>96</v>
      </c>
      <c r="D38" s="5" t="s">
        <v>89</v>
      </c>
      <c r="E38" s="51" t="s">
        <v>450</v>
      </c>
      <c r="F38" s="7" t="s">
        <v>10</v>
      </c>
      <c r="G38" s="7">
        <v>1</v>
      </c>
      <c r="H38" s="5" t="s">
        <v>97</v>
      </c>
      <c r="I38" s="19" t="s">
        <v>451</v>
      </c>
      <c r="J38" s="9" t="s">
        <v>446</v>
      </c>
      <c r="K38" s="9">
        <f t="shared" si="2"/>
        <v>3825000</v>
      </c>
      <c r="L38" s="24">
        <f>12500*985</f>
        <v>12312500</v>
      </c>
      <c r="M38" s="25">
        <f t="shared" si="0"/>
        <v>16137500</v>
      </c>
      <c r="N38" s="25">
        <f t="shared" si="1"/>
        <v>16137500</v>
      </c>
      <c r="O38" s="26">
        <v>1.5</v>
      </c>
      <c r="P38" s="24">
        <f>O38*M38</f>
        <v>24206250</v>
      </c>
      <c r="Q38" s="24">
        <f>P38*G38</f>
        <v>24206250</v>
      </c>
      <c r="R38" s="27" t="s">
        <v>674</v>
      </c>
      <c r="S38" s="27"/>
    </row>
    <row r="39" spans="1:20" ht="78.75" x14ac:dyDescent="0.2">
      <c r="A39" s="7">
        <v>37</v>
      </c>
      <c r="B39" s="5" t="s">
        <v>98</v>
      </c>
      <c r="C39" s="5" t="s">
        <v>99</v>
      </c>
      <c r="D39" s="5" t="s">
        <v>100</v>
      </c>
      <c r="E39" s="51" t="s">
        <v>452</v>
      </c>
      <c r="F39" s="7" t="s">
        <v>10</v>
      </c>
      <c r="G39" s="7">
        <v>5</v>
      </c>
      <c r="H39" s="5" t="s">
        <v>101</v>
      </c>
      <c r="I39" s="19" t="s">
        <v>453</v>
      </c>
      <c r="J39" s="9" t="s">
        <v>454</v>
      </c>
      <c r="K39" s="9">
        <f>9*1*12500</f>
        <v>112500</v>
      </c>
      <c r="L39" s="24">
        <f>12500*380</f>
        <v>4750000</v>
      </c>
      <c r="M39" s="25">
        <f t="shared" si="0"/>
        <v>4862500</v>
      </c>
      <c r="N39" s="25">
        <f t="shared" si="1"/>
        <v>24312500</v>
      </c>
      <c r="O39" s="26">
        <v>1.5</v>
      </c>
      <c r="P39" s="24">
        <f>O39*M39</f>
        <v>7293750</v>
      </c>
      <c r="Q39" s="24">
        <f>P39*G39</f>
        <v>36468750</v>
      </c>
      <c r="R39" s="27" t="s">
        <v>674</v>
      </c>
      <c r="S39" s="27"/>
    </row>
    <row r="40" spans="1:20" ht="14.25" x14ac:dyDescent="0.2">
      <c r="A40" s="7">
        <v>38</v>
      </c>
      <c r="B40" s="5" t="s">
        <v>102</v>
      </c>
      <c r="C40" s="5"/>
      <c r="D40" s="5"/>
      <c r="E40" s="51" t="s">
        <v>455</v>
      </c>
      <c r="F40" s="7" t="s">
        <v>103</v>
      </c>
      <c r="G40" s="7">
        <v>770</v>
      </c>
      <c r="H40" s="5"/>
      <c r="I40" s="18" t="s">
        <v>456</v>
      </c>
      <c r="K40" s="9"/>
      <c r="L40" s="31">
        <v>3200</v>
      </c>
      <c r="M40" s="25">
        <f t="shared" si="0"/>
        <v>3200</v>
      </c>
      <c r="N40" s="25">
        <f t="shared" si="1"/>
        <v>2464000</v>
      </c>
      <c r="O40" s="26">
        <v>1.5</v>
      </c>
      <c r="P40" s="24">
        <f>O40*M40</f>
        <v>4800</v>
      </c>
      <c r="Q40" s="24">
        <f>P40*G40</f>
        <v>3696000</v>
      </c>
      <c r="R40" s="27" t="s">
        <v>674</v>
      </c>
      <c r="S40" s="27"/>
      <c r="T40" s="13" t="s">
        <v>457</v>
      </c>
    </row>
    <row r="41" spans="1:20" ht="14.25" x14ac:dyDescent="0.2">
      <c r="A41" s="7">
        <v>39</v>
      </c>
      <c r="B41" s="5" t="s">
        <v>104</v>
      </c>
      <c r="C41" s="5"/>
      <c r="D41" s="5"/>
      <c r="E41" s="51" t="s">
        <v>455</v>
      </c>
      <c r="F41" s="7" t="s">
        <v>103</v>
      </c>
      <c r="G41" s="7">
        <v>770</v>
      </c>
      <c r="H41" s="5"/>
      <c r="I41" s="18" t="s">
        <v>458</v>
      </c>
      <c r="K41" s="9"/>
      <c r="L41" s="31">
        <v>3200</v>
      </c>
      <c r="M41" s="25">
        <f t="shared" si="0"/>
        <v>3200</v>
      </c>
      <c r="N41" s="25">
        <f t="shared" si="1"/>
        <v>2464000</v>
      </c>
      <c r="O41" s="26">
        <v>1.5</v>
      </c>
      <c r="P41" s="24">
        <f>O41*M41</f>
        <v>4800</v>
      </c>
      <c r="Q41" s="24">
        <f>P41*G41</f>
        <v>3696000</v>
      </c>
      <c r="R41" s="27" t="s">
        <v>674</v>
      </c>
      <c r="S41" s="27"/>
    </row>
    <row r="42" spans="1:20" ht="22.5" x14ac:dyDescent="0.2">
      <c r="A42" s="7">
        <v>40</v>
      </c>
      <c r="B42" s="5" t="s">
        <v>105</v>
      </c>
      <c r="C42" s="5" t="s">
        <v>106</v>
      </c>
      <c r="D42" s="5"/>
      <c r="E42" s="51" t="s">
        <v>459</v>
      </c>
      <c r="F42" s="7" t="s">
        <v>10</v>
      </c>
      <c r="G42" s="7">
        <v>1</v>
      </c>
      <c r="H42" s="5" t="s">
        <v>107</v>
      </c>
      <c r="I42" s="18" t="s">
        <v>460</v>
      </c>
      <c r="K42" s="9"/>
      <c r="L42" s="24">
        <v>130000</v>
      </c>
      <c r="M42" s="25">
        <f t="shared" si="0"/>
        <v>130000</v>
      </c>
      <c r="N42" s="25">
        <f t="shared" si="1"/>
        <v>130000</v>
      </c>
      <c r="O42" s="26">
        <v>1.5</v>
      </c>
      <c r="P42" s="24">
        <f>O42*M42</f>
        <v>195000</v>
      </c>
      <c r="Q42" s="24">
        <f>P42*G42</f>
        <v>195000</v>
      </c>
      <c r="R42" s="27" t="s">
        <v>674</v>
      </c>
      <c r="S42" s="27"/>
    </row>
    <row r="43" spans="1:20" ht="22.5" x14ac:dyDescent="0.2">
      <c r="A43" s="7">
        <v>41</v>
      </c>
      <c r="B43" s="5" t="s">
        <v>108</v>
      </c>
      <c r="C43" s="5" t="s">
        <v>109</v>
      </c>
      <c r="D43" s="5"/>
      <c r="E43" s="51" t="s">
        <v>399</v>
      </c>
      <c r="F43" s="7" t="s">
        <v>10</v>
      </c>
      <c r="G43" s="7">
        <v>9</v>
      </c>
      <c r="H43" s="5" t="s">
        <v>110</v>
      </c>
      <c r="I43" s="10">
        <v>190000</v>
      </c>
      <c r="K43" s="9"/>
      <c r="L43" s="24">
        <v>190000</v>
      </c>
      <c r="M43" s="25">
        <f t="shared" si="0"/>
        <v>190000</v>
      </c>
      <c r="N43" s="25">
        <f t="shared" si="1"/>
        <v>1710000</v>
      </c>
      <c r="O43" s="26">
        <v>1.5</v>
      </c>
      <c r="P43" s="24">
        <f>O43*M43</f>
        <v>285000</v>
      </c>
      <c r="Q43" s="24">
        <f>P43*G43</f>
        <v>2565000</v>
      </c>
      <c r="R43" s="27" t="s">
        <v>674</v>
      </c>
      <c r="S43" s="27"/>
    </row>
    <row r="44" spans="1:20" ht="29.25" x14ac:dyDescent="0.2">
      <c r="A44" s="7">
        <v>42</v>
      </c>
      <c r="B44" s="5" t="s">
        <v>111</v>
      </c>
      <c r="C44" s="5"/>
      <c r="D44" s="5"/>
      <c r="E44" s="51" t="s">
        <v>461</v>
      </c>
      <c r="F44" s="7" t="s">
        <v>10</v>
      </c>
      <c r="G44" s="7">
        <v>240</v>
      </c>
      <c r="H44" s="5" t="s">
        <v>112</v>
      </c>
      <c r="I44" s="32" t="s">
        <v>464</v>
      </c>
      <c r="K44" s="9"/>
      <c r="L44" s="24">
        <v>35000</v>
      </c>
      <c r="M44" s="25">
        <f t="shared" si="0"/>
        <v>35000</v>
      </c>
      <c r="N44" s="25">
        <f t="shared" si="1"/>
        <v>8400000</v>
      </c>
      <c r="O44" s="26">
        <v>1.5</v>
      </c>
      <c r="P44" s="24">
        <f>O44*M44</f>
        <v>52500</v>
      </c>
      <c r="Q44" s="24">
        <f>P44*G44</f>
        <v>12600000</v>
      </c>
      <c r="R44" s="27" t="s">
        <v>674</v>
      </c>
      <c r="S44" s="27"/>
    </row>
    <row r="45" spans="1:20" ht="29.25" x14ac:dyDescent="0.2">
      <c r="A45" s="7">
        <v>43</v>
      </c>
      <c r="B45" s="5" t="s">
        <v>113</v>
      </c>
      <c r="C45" s="5"/>
      <c r="D45" s="5" t="s">
        <v>114</v>
      </c>
      <c r="E45" s="51" t="s">
        <v>462</v>
      </c>
      <c r="F45" s="7" t="s">
        <v>10</v>
      </c>
      <c r="G45" s="7">
        <v>240</v>
      </c>
      <c r="H45" s="5" t="s">
        <v>115</v>
      </c>
      <c r="I45" s="32" t="s">
        <v>465</v>
      </c>
      <c r="K45" s="9"/>
      <c r="L45" s="24">
        <v>2000</v>
      </c>
      <c r="M45" s="25">
        <f t="shared" si="0"/>
        <v>2000</v>
      </c>
      <c r="N45" s="25">
        <f t="shared" si="1"/>
        <v>480000</v>
      </c>
      <c r="O45" s="26">
        <v>1.5</v>
      </c>
      <c r="P45" s="24">
        <f>O45*M45</f>
        <v>3000</v>
      </c>
      <c r="Q45" s="24">
        <f>P45*G45</f>
        <v>720000</v>
      </c>
      <c r="R45" s="27" t="s">
        <v>674</v>
      </c>
      <c r="S45" s="27"/>
    </row>
    <row r="46" spans="1:20" x14ac:dyDescent="0.2">
      <c r="A46" s="7">
        <v>44</v>
      </c>
      <c r="B46" s="5" t="s">
        <v>116</v>
      </c>
      <c r="C46" s="5"/>
      <c r="D46" s="5" t="s">
        <v>117</v>
      </c>
      <c r="E46" s="51" t="s">
        <v>463</v>
      </c>
      <c r="F46" s="7" t="s">
        <v>10</v>
      </c>
      <c r="G46" s="7">
        <v>120</v>
      </c>
      <c r="H46" s="5" t="s">
        <v>118</v>
      </c>
      <c r="I46" s="18" t="s">
        <v>466</v>
      </c>
      <c r="K46" s="9"/>
      <c r="L46" s="24">
        <v>19000</v>
      </c>
      <c r="M46" s="25">
        <f t="shared" si="0"/>
        <v>19000</v>
      </c>
      <c r="N46" s="25">
        <f t="shared" si="1"/>
        <v>2280000</v>
      </c>
      <c r="O46" s="26">
        <v>1.5</v>
      </c>
      <c r="P46" s="24">
        <f>O46*M46</f>
        <v>28500</v>
      </c>
      <c r="Q46" s="24">
        <f>P46*G46</f>
        <v>3420000</v>
      </c>
      <c r="R46" s="27" t="s">
        <v>674</v>
      </c>
      <c r="S46" s="27"/>
    </row>
    <row r="47" spans="1:20" x14ac:dyDescent="0.2">
      <c r="A47" s="7">
        <v>45</v>
      </c>
      <c r="B47" s="5" t="s">
        <v>119</v>
      </c>
      <c r="C47" s="5"/>
      <c r="D47" s="5"/>
      <c r="E47" s="51" t="s">
        <v>119</v>
      </c>
      <c r="F47" s="7" t="s">
        <v>10</v>
      </c>
      <c r="G47" s="7">
        <v>3</v>
      </c>
      <c r="H47" s="5" t="s">
        <v>120</v>
      </c>
      <c r="I47" s="18" t="s">
        <v>467</v>
      </c>
      <c r="K47" s="9"/>
      <c r="L47" s="24">
        <v>112000</v>
      </c>
      <c r="M47" s="25">
        <f t="shared" si="0"/>
        <v>112000</v>
      </c>
      <c r="N47" s="25">
        <f t="shared" si="1"/>
        <v>336000</v>
      </c>
      <c r="O47" s="26">
        <v>1.5</v>
      </c>
      <c r="P47" s="24">
        <f>O47*M47</f>
        <v>168000</v>
      </c>
      <c r="Q47" s="24">
        <f>P47*G47</f>
        <v>504000</v>
      </c>
      <c r="R47" s="27" t="s">
        <v>674</v>
      </c>
      <c r="S47" s="27"/>
    </row>
    <row r="48" spans="1:20" x14ac:dyDescent="0.2">
      <c r="A48" s="7">
        <v>46</v>
      </c>
      <c r="B48" s="5" t="s">
        <v>121</v>
      </c>
      <c r="C48" s="5"/>
      <c r="D48" s="5"/>
      <c r="E48" s="51" t="s">
        <v>121</v>
      </c>
      <c r="F48" s="7" t="s">
        <v>10</v>
      </c>
      <c r="G48" s="7">
        <v>120</v>
      </c>
      <c r="H48" s="5" t="s">
        <v>122</v>
      </c>
      <c r="I48" s="18" t="s">
        <v>468</v>
      </c>
      <c r="K48" s="9"/>
      <c r="L48" s="24">
        <v>22000</v>
      </c>
      <c r="M48" s="25">
        <f t="shared" si="0"/>
        <v>22000</v>
      </c>
      <c r="N48" s="25">
        <f t="shared" si="1"/>
        <v>2640000</v>
      </c>
      <c r="O48" s="26">
        <v>1.5</v>
      </c>
      <c r="P48" s="24">
        <f>O48*M48</f>
        <v>33000</v>
      </c>
      <c r="Q48" s="24">
        <f>P48*G48</f>
        <v>3960000</v>
      </c>
      <c r="R48" s="27" t="s">
        <v>674</v>
      </c>
      <c r="S48" s="27"/>
    </row>
    <row r="49" spans="1:19" x14ac:dyDescent="0.2">
      <c r="A49" s="7">
        <v>47</v>
      </c>
      <c r="B49" s="5" t="s">
        <v>123</v>
      </c>
      <c r="C49" s="5"/>
      <c r="D49" s="5"/>
      <c r="E49" s="51"/>
      <c r="F49" s="7" t="s">
        <v>10</v>
      </c>
      <c r="G49" s="7">
        <v>9</v>
      </c>
      <c r="H49" s="5"/>
      <c r="I49" s="18" t="s">
        <v>469</v>
      </c>
      <c r="K49" s="9"/>
      <c r="L49" s="24">
        <v>140000</v>
      </c>
      <c r="M49" s="25">
        <f t="shared" si="0"/>
        <v>140000</v>
      </c>
      <c r="N49" s="25">
        <f t="shared" si="1"/>
        <v>1260000</v>
      </c>
      <c r="O49" s="26">
        <v>1.5</v>
      </c>
      <c r="P49" s="24">
        <f>O49*M49</f>
        <v>210000</v>
      </c>
      <c r="Q49" s="24">
        <f>P49*G49</f>
        <v>1890000</v>
      </c>
      <c r="R49" s="27" t="s">
        <v>674</v>
      </c>
      <c r="S49" s="27"/>
    </row>
    <row r="50" spans="1:19" ht="33.75" x14ac:dyDescent="0.2">
      <c r="A50" s="7">
        <v>48</v>
      </c>
      <c r="B50" s="5" t="s">
        <v>124</v>
      </c>
      <c r="C50" s="5" t="s">
        <v>125</v>
      </c>
      <c r="D50" s="5" t="s">
        <v>126</v>
      </c>
      <c r="E50" s="51" t="s">
        <v>652</v>
      </c>
      <c r="F50" s="7" t="s">
        <v>74</v>
      </c>
      <c r="G50" s="7">
        <v>22</v>
      </c>
      <c r="H50" s="5" t="s">
        <v>125</v>
      </c>
      <c r="I50" s="18" t="s">
        <v>470</v>
      </c>
      <c r="K50" s="9"/>
      <c r="L50" s="24">
        <f>12500*3</f>
        <v>37500</v>
      </c>
      <c r="M50" s="25">
        <f t="shared" si="0"/>
        <v>37500</v>
      </c>
      <c r="N50" s="25">
        <f t="shared" si="1"/>
        <v>825000</v>
      </c>
      <c r="O50" s="26">
        <v>1.5</v>
      </c>
      <c r="P50" s="24">
        <f>O50*M50</f>
        <v>56250</v>
      </c>
      <c r="Q50" s="24">
        <f>P50*G50</f>
        <v>1237500</v>
      </c>
      <c r="R50" s="27" t="s">
        <v>668</v>
      </c>
      <c r="S50" s="27"/>
    </row>
    <row r="51" spans="1:19" ht="33.75" x14ac:dyDescent="0.2">
      <c r="A51" s="7">
        <v>49</v>
      </c>
      <c r="B51" s="5" t="s">
        <v>127</v>
      </c>
      <c r="C51" s="5" t="s">
        <v>128</v>
      </c>
      <c r="D51" s="5" t="s">
        <v>129</v>
      </c>
      <c r="E51" s="51" t="s">
        <v>649</v>
      </c>
      <c r="F51" s="7" t="s">
        <v>74</v>
      </c>
      <c r="G51" s="7">
        <v>180</v>
      </c>
      <c r="H51" s="5" t="s">
        <v>128</v>
      </c>
      <c r="I51" s="18" t="s">
        <v>471</v>
      </c>
      <c r="K51" s="9"/>
      <c r="L51" s="24">
        <f>12500*2</f>
        <v>25000</v>
      </c>
      <c r="M51" s="25">
        <f t="shared" si="0"/>
        <v>25000</v>
      </c>
      <c r="N51" s="25">
        <f t="shared" si="1"/>
        <v>4500000</v>
      </c>
      <c r="O51" s="26">
        <v>1.5</v>
      </c>
      <c r="P51" s="24">
        <f>O51*M51</f>
        <v>37500</v>
      </c>
      <c r="Q51" s="24">
        <f>P51*G51</f>
        <v>6750000</v>
      </c>
      <c r="R51" s="27" t="s">
        <v>668</v>
      </c>
      <c r="S51" s="27"/>
    </row>
    <row r="52" spans="1:19" ht="33.75" x14ac:dyDescent="0.2">
      <c r="A52" s="7">
        <v>50</v>
      </c>
      <c r="B52" s="5" t="s">
        <v>130</v>
      </c>
      <c r="C52" s="5" t="s">
        <v>131</v>
      </c>
      <c r="D52" s="5">
        <v>1020120000</v>
      </c>
      <c r="E52" s="51" t="s">
        <v>650</v>
      </c>
      <c r="F52" s="7" t="s">
        <v>10</v>
      </c>
      <c r="G52" s="7">
        <v>60</v>
      </c>
      <c r="H52" s="5" t="s">
        <v>131</v>
      </c>
      <c r="I52" s="18" t="s">
        <v>472</v>
      </c>
      <c r="K52" s="9"/>
      <c r="L52" s="24">
        <f>12500*2.6</f>
        <v>32500</v>
      </c>
      <c r="M52" s="25">
        <f t="shared" si="0"/>
        <v>32500</v>
      </c>
      <c r="N52" s="25">
        <f t="shared" si="1"/>
        <v>1950000</v>
      </c>
      <c r="O52" s="26">
        <v>1.5</v>
      </c>
      <c r="P52" s="24">
        <f>O52*M52</f>
        <v>48750</v>
      </c>
      <c r="Q52" s="24">
        <f>P52*G52</f>
        <v>2925000</v>
      </c>
      <c r="R52" s="27" t="s">
        <v>668</v>
      </c>
      <c r="S52" s="27"/>
    </row>
    <row r="53" spans="1:19" ht="33.75" x14ac:dyDescent="0.2">
      <c r="A53" s="7">
        <v>51</v>
      </c>
      <c r="B53" s="5" t="s">
        <v>133</v>
      </c>
      <c r="C53" s="5" t="s">
        <v>134</v>
      </c>
      <c r="D53" s="5" t="s">
        <v>135</v>
      </c>
      <c r="E53" s="51" t="s">
        <v>651</v>
      </c>
      <c r="F53" s="20" t="s">
        <v>10</v>
      </c>
      <c r="G53" s="7">
        <v>130</v>
      </c>
      <c r="H53" s="5" t="s">
        <v>134</v>
      </c>
      <c r="I53" s="18" t="s">
        <v>474</v>
      </c>
      <c r="K53" s="9"/>
      <c r="L53" s="24">
        <f>12500*2.2</f>
        <v>27500.000000000004</v>
      </c>
      <c r="M53" s="25">
        <f t="shared" si="0"/>
        <v>27500.000000000004</v>
      </c>
      <c r="N53" s="25">
        <f t="shared" si="1"/>
        <v>3575000.0000000005</v>
      </c>
      <c r="O53" s="26">
        <v>1.5</v>
      </c>
      <c r="P53" s="24">
        <f>O53*M53</f>
        <v>41250.000000000007</v>
      </c>
      <c r="Q53" s="24">
        <f>P53*G53</f>
        <v>5362500.0000000009</v>
      </c>
      <c r="R53" s="27" t="s">
        <v>668</v>
      </c>
      <c r="S53" s="27"/>
    </row>
    <row r="54" spans="1:19" ht="22.5" x14ac:dyDescent="0.2">
      <c r="A54" s="7">
        <v>52</v>
      </c>
      <c r="B54" s="5" t="s">
        <v>136</v>
      </c>
      <c r="C54" s="5" t="s">
        <v>137</v>
      </c>
      <c r="D54" s="5"/>
      <c r="E54" s="51" t="s">
        <v>136</v>
      </c>
      <c r="F54" s="7" t="s">
        <v>10</v>
      </c>
      <c r="G54" s="7">
        <v>415</v>
      </c>
      <c r="H54" s="5" t="s">
        <v>137</v>
      </c>
      <c r="I54" s="18" t="s">
        <v>473</v>
      </c>
      <c r="K54" s="9"/>
      <c r="L54" s="24">
        <f>12500*7.2</f>
        <v>90000</v>
      </c>
      <c r="M54" s="25">
        <f t="shared" si="0"/>
        <v>90000</v>
      </c>
      <c r="N54" s="25">
        <f t="shared" si="1"/>
        <v>37350000</v>
      </c>
      <c r="O54" s="26">
        <v>1.5</v>
      </c>
      <c r="P54" s="24">
        <f>O54*M54</f>
        <v>135000</v>
      </c>
      <c r="Q54" s="24">
        <f>P54*G54</f>
        <v>56025000</v>
      </c>
      <c r="R54" s="27" t="s">
        <v>668</v>
      </c>
      <c r="S54" s="27"/>
    </row>
    <row r="55" spans="1:19" ht="56.25" x14ac:dyDescent="0.2">
      <c r="A55" s="7">
        <v>53</v>
      </c>
      <c r="B55" s="5" t="s">
        <v>138</v>
      </c>
      <c r="C55" s="5" t="s">
        <v>139</v>
      </c>
      <c r="D55" s="5"/>
      <c r="E55" s="51" t="s">
        <v>475</v>
      </c>
      <c r="F55" s="7" t="s">
        <v>10</v>
      </c>
      <c r="G55" s="7">
        <v>17</v>
      </c>
      <c r="H55" s="5" t="s">
        <v>140</v>
      </c>
      <c r="I55" s="18" t="s">
        <v>476</v>
      </c>
      <c r="J55" s="11" t="s">
        <v>477</v>
      </c>
      <c r="K55" s="11"/>
      <c r="L55" s="24">
        <f>12500*30</f>
        <v>375000</v>
      </c>
      <c r="M55" s="25">
        <f t="shared" si="0"/>
        <v>375000</v>
      </c>
      <c r="N55" s="25">
        <f t="shared" si="1"/>
        <v>6375000</v>
      </c>
      <c r="O55" s="26">
        <v>1.5</v>
      </c>
      <c r="P55" s="24">
        <f>O55*M55</f>
        <v>562500</v>
      </c>
      <c r="Q55" s="24">
        <f>P55*G55</f>
        <v>9562500</v>
      </c>
      <c r="R55" s="27" t="s">
        <v>674</v>
      </c>
      <c r="S55" s="27"/>
    </row>
    <row r="56" spans="1:19" s="65" customFormat="1" ht="33.75" x14ac:dyDescent="0.2">
      <c r="A56" s="58">
        <v>54</v>
      </c>
      <c r="B56" s="59" t="s">
        <v>141</v>
      </c>
      <c r="C56" s="59" t="s">
        <v>142</v>
      </c>
      <c r="D56" s="59"/>
      <c r="E56" s="59"/>
      <c r="F56" s="58" t="s">
        <v>10</v>
      </c>
      <c r="G56" s="58">
        <v>9</v>
      </c>
      <c r="H56" s="59" t="s">
        <v>142</v>
      </c>
      <c r="I56" s="60"/>
      <c r="J56" s="61"/>
      <c r="K56" s="61"/>
      <c r="L56" s="62"/>
      <c r="M56" s="63">
        <f t="shared" si="0"/>
        <v>0</v>
      </c>
      <c r="N56" s="63">
        <f t="shared" si="1"/>
        <v>0</v>
      </c>
      <c r="O56" s="61">
        <v>1.5</v>
      </c>
      <c r="P56" s="62">
        <f>O56*M56</f>
        <v>0</v>
      </c>
      <c r="Q56" s="62">
        <f>P56*G56</f>
        <v>0</v>
      </c>
      <c r="R56" s="64"/>
      <c r="S56" s="64" t="s">
        <v>667</v>
      </c>
    </row>
    <row r="57" spans="1:19" ht="157.5" x14ac:dyDescent="0.2">
      <c r="A57" s="7">
        <v>55</v>
      </c>
      <c r="B57" s="5" t="s">
        <v>143</v>
      </c>
      <c r="C57" s="5" t="s">
        <v>144</v>
      </c>
      <c r="D57" s="5" t="s">
        <v>145</v>
      </c>
      <c r="E57" s="51" t="s">
        <v>478</v>
      </c>
      <c r="F57" s="7" t="s">
        <v>10</v>
      </c>
      <c r="G57" s="7">
        <v>2</v>
      </c>
      <c r="H57" s="5" t="s">
        <v>146</v>
      </c>
      <c r="I57" s="18" t="s">
        <v>479</v>
      </c>
      <c r="J57" s="9">
        <v>2</v>
      </c>
      <c r="K57" s="9">
        <f>9*12500*J57</f>
        <v>225000</v>
      </c>
      <c r="L57" s="24">
        <f>12500*1450</f>
        <v>18125000</v>
      </c>
      <c r="M57" s="25">
        <f t="shared" si="0"/>
        <v>18350000</v>
      </c>
      <c r="N57" s="25">
        <f t="shared" si="1"/>
        <v>36700000</v>
      </c>
      <c r="O57" s="26">
        <v>1.5</v>
      </c>
      <c r="P57" s="24">
        <f>O57*M57</f>
        <v>27525000</v>
      </c>
      <c r="Q57" s="24">
        <f>P57*G57</f>
        <v>55050000</v>
      </c>
      <c r="R57" s="27" t="s">
        <v>669</v>
      </c>
      <c r="S57" s="27"/>
    </row>
    <row r="58" spans="1:19" ht="56.25" x14ac:dyDescent="0.2">
      <c r="A58" s="7">
        <v>56</v>
      </c>
      <c r="B58" s="5" t="s">
        <v>147</v>
      </c>
      <c r="C58" s="5"/>
      <c r="D58" s="5"/>
      <c r="E58" s="51" t="s">
        <v>480</v>
      </c>
      <c r="F58" s="7" t="s">
        <v>10</v>
      </c>
      <c r="G58" s="7">
        <v>20</v>
      </c>
      <c r="H58" s="5" t="s">
        <v>148</v>
      </c>
      <c r="I58" s="18" t="s">
        <v>481</v>
      </c>
      <c r="J58" s="9">
        <v>1.2</v>
      </c>
      <c r="K58" s="9">
        <f>9*12500*J58</f>
        <v>135000</v>
      </c>
      <c r="L58" s="24">
        <f>12500*525</f>
        <v>6562500</v>
      </c>
      <c r="M58" s="25">
        <f t="shared" si="0"/>
        <v>6697500</v>
      </c>
      <c r="N58" s="25">
        <f t="shared" si="1"/>
        <v>133950000</v>
      </c>
      <c r="O58" s="26">
        <v>1.5</v>
      </c>
      <c r="P58" s="24">
        <f>O58*M58</f>
        <v>10046250</v>
      </c>
      <c r="Q58" s="24">
        <f>P58*G58</f>
        <v>200925000</v>
      </c>
      <c r="R58" s="27" t="s">
        <v>668</v>
      </c>
      <c r="S58" s="27"/>
    </row>
    <row r="59" spans="1:19" ht="67.5" x14ac:dyDescent="0.2">
      <c r="A59" s="7">
        <v>57</v>
      </c>
      <c r="B59" s="5" t="s">
        <v>147</v>
      </c>
      <c r="C59" s="5" t="s">
        <v>149</v>
      </c>
      <c r="D59" s="5"/>
      <c r="E59" s="51" t="s">
        <v>482</v>
      </c>
      <c r="F59" s="7" t="s">
        <v>10</v>
      </c>
      <c r="G59" s="7">
        <v>6</v>
      </c>
      <c r="H59" s="5" t="s">
        <v>150</v>
      </c>
      <c r="I59" s="18" t="s">
        <v>483</v>
      </c>
      <c r="J59" s="33" t="s">
        <v>484</v>
      </c>
      <c r="K59" s="9">
        <f>9*12500*1</f>
        <v>112500</v>
      </c>
      <c r="L59" s="24">
        <f>12500*2350</f>
        <v>29375000</v>
      </c>
      <c r="M59" s="25">
        <f t="shared" si="0"/>
        <v>29487500</v>
      </c>
      <c r="N59" s="25">
        <f t="shared" si="1"/>
        <v>176925000</v>
      </c>
      <c r="O59" s="26">
        <v>1.5</v>
      </c>
      <c r="P59" s="24">
        <f>O59*M59</f>
        <v>44231250</v>
      </c>
      <c r="Q59" s="24">
        <f>P59*G59</f>
        <v>265387500</v>
      </c>
      <c r="R59" s="27" t="s">
        <v>668</v>
      </c>
      <c r="S59" s="27"/>
    </row>
    <row r="60" spans="1:19" ht="33.75" x14ac:dyDescent="0.2">
      <c r="A60" s="7">
        <v>58</v>
      </c>
      <c r="B60" s="5" t="s">
        <v>151</v>
      </c>
      <c r="C60" s="5" t="s">
        <v>152</v>
      </c>
      <c r="D60" s="5">
        <v>2659060000</v>
      </c>
      <c r="E60" s="51" t="s">
        <v>487</v>
      </c>
      <c r="F60" s="12" t="s">
        <v>74</v>
      </c>
      <c r="G60" s="12">
        <v>6</v>
      </c>
      <c r="H60" s="5" t="s">
        <v>152</v>
      </c>
      <c r="I60" s="18" t="s">
        <v>653</v>
      </c>
      <c r="K60" s="9"/>
      <c r="L60" s="24">
        <f>12500*73</f>
        <v>912500</v>
      </c>
      <c r="M60" s="25">
        <f t="shared" si="0"/>
        <v>912500</v>
      </c>
      <c r="N60" s="25">
        <f t="shared" si="1"/>
        <v>5475000</v>
      </c>
      <c r="O60" s="26">
        <v>1.5</v>
      </c>
      <c r="P60" s="24">
        <f>O60*M60</f>
        <v>1368750</v>
      </c>
      <c r="Q60" s="24">
        <f>P60*G60</f>
        <v>8212500</v>
      </c>
      <c r="R60" s="27" t="s">
        <v>674</v>
      </c>
      <c r="S60" s="27"/>
    </row>
    <row r="61" spans="1:19" ht="22.5" x14ac:dyDescent="0.2">
      <c r="A61" s="7">
        <v>59</v>
      </c>
      <c r="B61" s="5" t="s">
        <v>154</v>
      </c>
      <c r="C61" s="5" t="s">
        <v>155</v>
      </c>
      <c r="D61" s="5"/>
      <c r="E61" s="51" t="s">
        <v>485</v>
      </c>
      <c r="F61" s="7" t="s">
        <v>10</v>
      </c>
      <c r="G61" s="7">
        <v>31</v>
      </c>
      <c r="H61" s="5" t="s">
        <v>155</v>
      </c>
      <c r="I61" s="18" t="s">
        <v>486</v>
      </c>
      <c r="J61" s="9">
        <v>3</v>
      </c>
      <c r="K61" s="9"/>
      <c r="L61" s="24">
        <f>12500*15</f>
        <v>187500</v>
      </c>
      <c r="M61" s="25">
        <f t="shared" si="0"/>
        <v>187500</v>
      </c>
      <c r="N61" s="25">
        <f t="shared" si="1"/>
        <v>5812500</v>
      </c>
      <c r="O61" s="26">
        <v>1.5</v>
      </c>
      <c r="P61" s="24">
        <f>O61*M61</f>
        <v>281250</v>
      </c>
      <c r="Q61" s="24">
        <f>P61*G61</f>
        <v>8718750</v>
      </c>
      <c r="R61" s="27" t="s">
        <v>674</v>
      </c>
      <c r="S61" s="27"/>
    </row>
    <row r="62" spans="1:19" ht="22.5" x14ac:dyDescent="0.2">
      <c r="A62" s="7">
        <v>60</v>
      </c>
      <c r="B62" s="5" t="s">
        <v>156</v>
      </c>
      <c r="C62" s="5"/>
      <c r="D62" s="5"/>
      <c r="E62" s="51" t="s">
        <v>488</v>
      </c>
      <c r="F62" s="7" t="s">
        <v>10</v>
      </c>
      <c r="G62" s="7">
        <v>17</v>
      </c>
      <c r="H62" s="5"/>
      <c r="I62" s="18" t="s">
        <v>489</v>
      </c>
      <c r="K62" s="9"/>
      <c r="L62" s="24">
        <f>12500*2</f>
        <v>25000</v>
      </c>
      <c r="M62" s="25">
        <f t="shared" si="0"/>
        <v>25000</v>
      </c>
      <c r="N62" s="25">
        <f t="shared" si="1"/>
        <v>425000</v>
      </c>
      <c r="O62" s="26">
        <v>1.5</v>
      </c>
      <c r="P62" s="24">
        <f>O62*M62</f>
        <v>37500</v>
      </c>
      <c r="Q62" s="24">
        <f>P62*G62</f>
        <v>637500</v>
      </c>
      <c r="R62" s="27" t="s">
        <v>674</v>
      </c>
      <c r="S62" s="27"/>
    </row>
    <row r="63" spans="1:19" x14ac:dyDescent="0.2">
      <c r="A63" s="7">
        <v>61</v>
      </c>
      <c r="B63" s="5" t="s">
        <v>157</v>
      </c>
      <c r="C63" s="5" t="s">
        <v>158</v>
      </c>
      <c r="D63" s="5"/>
      <c r="E63" s="51" t="s">
        <v>490</v>
      </c>
      <c r="F63" s="7" t="s">
        <v>10</v>
      </c>
      <c r="G63" s="7">
        <v>200</v>
      </c>
      <c r="H63" s="5" t="s">
        <v>158</v>
      </c>
      <c r="I63" s="19">
        <v>7000</v>
      </c>
      <c r="K63" s="9"/>
      <c r="L63" s="24">
        <v>7000</v>
      </c>
      <c r="M63" s="25">
        <f t="shared" si="0"/>
        <v>7000</v>
      </c>
      <c r="N63" s="25">
        <f t="shared" si="1"/>
        <v>1400000</v>
      </c>
      <c r="O63" s="26">
        <v>1.5</v>
      </c>
      <c r="P63" s="24">
        <f>O63*M63</f>
        <v>10500</v>
      </c>
      <c r="Q63" s="24">
        <f>P63*G63</f>
        <v>2100000</v>
      </c>
      <c r="R63" s="27" t="s">
        <v>674</v>
      </c>
      <c r="S63" s="27"/>
    </row>
    <row r="64" spans="1:19" ht="180" x14ac:dyDescent="0.2">
      <c r="A64" s="7">
        <v>62</v>
      </c>
      <c r="B64" s="5" t="s">
        <v>159</v>
      </c>
      <c r="C64" s="5"/>
      <c r="D64" s="5"/>
      <c r="E64" s="51" t="s">
        <v>491</v>
      </c>
      <c r="F64" s="7" t="s">
        <v>10</v>
      </c>
      <c r="G64" s="7">
        <v>1</v>
      </c>
      <c r="H64" s="5" t="s">
        <v>160</v>
      </c>
      <c r="I64" s="18" t="s">
        <v>492</v>
      </c>
      <c r="J64" s="9">
        <v>6</v>
      </c>
      <c r="K64" s="9"/>
      <c r="L64" s="24">
        <f>12500*1740</f>
        <v>21750000</v>
      </c>
      <c r="M64" s="25">
        <f t="shared" si="0"/>
        <v>21750000</v>
      </c>
      <c r="N64" s="25">
        <f t="shared" si="1"/>
        <v>21750000</v>
      </c>
      <c r="O64" s="26">
        <v>1.5</v>
      </c>
      <c r="P64" s="24">
        <f>O64*M64</f>
        <v>32625000</v>
      </c>
      <c r="Q64" s="24">
        <f>P64*G64</f>
        <v>32625000</v>
      </c>
      <c r="R64" s="27" t="s">
        <v>669</v>
      </c>
      <c r="S64" s="27"/>
    </row>
    <row r="65" spans="1:19" ht="33.75" x14ac:dyDescent="0.2">
      <c r="A65" s="7">
        <v>63</v>
      </c>
      <c r="B65" s="5" t="s">
        <v>161</v>
      </c>
      <c r="C65" s="5" t="s">
        <v>162</v>
      </c>
      <c r="D65" s="5"/>
      <c r="E65" s="51" t="s">
        <v>493</v>
      </c>
      <c r="F65" s="7" t="s">
        <v>10</v>
      </c>
      <c r="G65" s="7">
        <v>1</v>
      </c>
      <c r="H65" s="5" t="s">
        <v>162</v>
      </c>
      <c r="I65" s="18" t="s">
        <v>494</v>
      </c>
      <c r="J65" s="9">
        <v>6</v>
      </c>
      <c r="K65" s="9"/>
      <c r="L65" s="24">
        <f>12500*2314</f>
        <v>28925000</v>
      </c>
      <c r="M65" s="25">
        <f t="shared" si="0"/>
        <v>28925000</v>
      </c>
      <c r="N65" s="25">
        <f t="shared" si="1"/>
        <v>28925000</v>
      </c>
      <c r="O65" s="26">
        <v>1.5</v>
      </c>
      <c r="P65" s="24">
        <f>O65*M65</f>
        <v>43387500</v>
      </c>
      <c r="Q65" s="24">
        <f>P65*G65</f>
        <v>43387500</v>
      </c>
      <c r="R65" s="27" t="s">
        <v>669</v>
      </c>
      <c r="S65" s="27"/>
    </row>
    <row r="66" spans="1:19" ht="56.25" x14ac:dyDescent="0.2">
      <c r="A66" s="7">
        <v>64</v>
      </c>
      <c r="B66" s="5" t="s">
        <v>163</v>
      </c>
      <c r="C66" s="5" t="s">
        <v>164</v>
      </c>
      <c r="D66" s="5"/>
      <c r="E66" s="51" t="s">
        <v>495</v>
      </c>
      <c r="F66" s="7" t="s">
        <v>10</v>
      </c>
      <c r="G66" s="7">
        <v>10</v>
      </c>
      <c r="H66" s="5" t="s">
        <v>165</v>
      </c>
      <c r="I66" s="18" t="s">
        <v>496</v>
      </c>
      <c r="K66" s="9"/>
      <c r="L66" s="24">
        <v>101000</v>
      </c>
      <c r="M66" s="25">
        <f t="shared" si="0"/>
        <v>101000</v>
      </c>
      <c r="N66" s="25">
        <f t="shared" si="1"/>
        <v>1010000</v>
      </c>
      <c r="O66" s="26">
        <v>1.5</v>
      </c>
      <c r="P66" s="24">
        <f>O66*M66</f>
        <v>151500</v>
      </c>
      <c r="Q66" s="24">
        <f>P66*G66</f>
        <v>1515000</v>
      </c>
      <c r="R66" s="27" t="s">
        <v>669</v>
      </c>
      <c r="S66" s="27"/>
    </row>
    <row r="67" spans="1:19" ht="22.5" x14ac:dyDescent="0.2">
      <c r="A67" s="7">
        <v>65</v>
      </c>
      <c r="B67" s="5" t="s">
        <v>166</v>
      </c>
      <c r="C67" s="5"/>
      <c r="D67" s="5" t="s">
        <v>167</v>
      </c>
      <c r="E67" s="51" t="s">
        <v>498</v>
      </c>
      <c r="F67" s="7" t="s">
        <v>10</v>
      </c>
      <c r="G67" s="7">
        <v>5</v>
      </c>
      <c r="H67" s="5"/>
      <c r="I67" s="18" t="s">
        <v>497</v>
      </c>
      <c r="K67" s="9"/>
      <c r="L67" s="24">
        <f>12500*57</f>
        <v>712500</v>
      </c>
      <c r="M67" s="25">
        <f t="shared" si="0"/>
        <v>712500</v>
      </c>
      <c r="N67" s="25">
        <f t="shared" si="1"/>
        <v>3562500</v>
      </c>
      <c r="O67" s="26">
        <v>1.5</v>
      </c>
      <c r="P67" s="24">
        <f>O67*M67</f>
        <v>1068750</v>
      </c>
      <c r="Q67" s="24">
        <f>P67*G67</f>
        <v>5343750</v>
      </c>
      <c r="R67" s="27" t="s">
        <v>674</v>
      </c>
      <c r="S67" s="27"/>
    </row>
    <row r="68" spans="1:19" s="65" customFormat="1" ht="22.5" x14ac:dyDescent="0.2">
      <c r="A68" s="58">
        <v>66</v>
      </c>
      <c r="B68" s="59" t="s">
        <v>168</v>
      </c>
      <c r="C68" s="59" t="s">
        <v>169</v>
      </c>
      <c r="D68" s="59"/>
      <c r="E68" s="59"/>
      <c r="F68" s="58" t="s">
        <v>103</v>
      </c>
      <c r="G68" s="58">
        <v>46</v>
      </c>
      <c r="H68" s="59" t="s">
        <v>169</v>
      </c>
      <c r="I68" s="60"/>
      <c r="J68" s="61"/>
      <c r="K68" s="61"/>
      <c r="L68" s="62"/>
      <c r="M68" s="63">
        <f t="shared" ref="M68:M131" si="3">K68+L68</f>
        <v>0</v>
      </c>
      <c r="N68" s="63">
        <f t="shared" ref="N68:N131" si="4">M68*G68</f>
        <v>0</v>
      </c>
      <c r="O68" s="61">
        <v>1.5</v>
      </c>
      <c r="P68" s="62">
        <f>O68*M68</f>
        <v>0</v>
      </c>
      <c r="Q68" s="62">
        <f>P68*G68</f>
        <v>0</v>
      </c>
      <c r="R68" s="64"/>
      <c r="S68" s="64" t="s">
        <v>667</v>
      </c>
    </row>
    <row r="69" spans="1:19" s="65" customFormat="1" ht="22.5" x14ac:dyDescent="0.2">
      <c r="A69" s="58">
        <v>67</v>
      </c>
      <c r="B69" s="59" t="s">
        <v>170</v>
      </c>
      <c r="C69" s="59" t="s">
        <v>171</v>
      </c>
      <c r="D69" s="59"/>
      <c r="E69" s="59"/>
      <c r="F69" s="58" t="s">
        <v>103</v>
      </c>
      <c r="G69" s="58">
        <v>85</v>
      </c>
      <c r="H69" s="59" t="s">
        <v>171</v>
      </c>
      <c r="I69" s="60"/>
      <c r="J69" s="61"/>
      <c r="K69" s="61"/>
      <c r="L69" s="62"/>
      <c r="M69" s="63">
        <f t="shared" si="3"/>
        <v>0</v>
      </c>
      <c r="N69" s="63">
        <f t="shared" si="4"/>
        <v>0</v>
      </c>
      <c r="O69" s="61">
        <v>1.5</v>
      </c>
      <c r="P69" s="62">
        <f>O69*M69</f>
        <v>0</v>
      </c>
      <c r="Q69" s="62">
        <f>P69*G69</f>
        <v>0</v>
      </c>
      <c r="R69" s="64"/>
      <c r="S69" s="64" t="s">
        <v>667</v>
      </c>
    </row>
    <row r="70" spans="1:19" s="65" customFormat="1" ht="22.5" x14ac:dyDescent="0.2">
      <c r="A70" s="58">
        <v>68</v>
      </c>
      <c r="B70" s="59" t="s">
        <v>172</v>
      </c>
      <c r="C70" s="59" t="s">
        <v>173</v>
      </c>
      <c r="D70" s="59"/>
      <c r="E70" s="59"/>
      <c r="F70" s="58" t="s">
        <v>103</v>
      </c>
      <c r="G70" s="58">
        <v>120</v>
      </c>
      <c r="H70" s="59" t="s">
        <v>173</v>
      </c>
      <c r="I70" s="60"/>
      <c r="J70" s="61"/>
      <c r="K70" s="61"/>
      <c r="L70" s="62"/>
      <c r="M70" s="63">
        <f t="shared" si="3"/>
        <v>0</v>
      </c>
      <c r="N70" s="63">
        <f t="shared" si="4"/>
        <v>0</v>
      </c>
      <c r="O70" s="61">
        <v>1.5</v>
      </c>
      <c r="P70" s="62">
        <f>O70*M70</f>
        <v>0</v>
      </c>
      <c r="Q70" s="62">
        <f>P70*G70</f>
        <v>0</v>
      </c>
      <c r="R70" s="64"/>
      <c r="S70" s="64" t="s">
        <v>667</v>
      </c>
    </row>
    <row r="71" spans="1:19" x14ac:dyDescent="0.2">
      <c r="A71" s="7">
        <v>69</v>
      </c>
      <c r="B71" s="5" t="s">
        <v>174</v>
      </c>
      <c r="C71" s="5" t="s">
        <v>175</v>
      </c>
      <c r="D71" s="5"/>
      <c r="E71" s="51" t="s">
        <v>499</v>
      </c>
      <c r="F71" s="7" t="s">
        <v>10</v>
      </c>
      <c r="G71" s="7">
        <v>10</v>
      </c>
      <c r="H71" s="5" t="s">
        <v>175</v>
      </c>
      <c r="I71" s="18" t="s">
        <v>500</v>
      </c>
      <c r="K71" s="9"/>
      <c r="L71" s="24">
        <v>1665000</v>
      </c>
      <c r="M71" s="25">
        <f t="shared" si="3"/>
        <v>1665000</v>
      </c>
      <c r="N71" s="25">
        <f t="shared" si="4"/>
        <v>16650000</v>
      </c>
      <c r="O71" s="26">
        <v>1.5</v>
      </c>
      <c r="P71" s="24">
        <f>O71*M71</f>
        <v>2497500</v>
      </c>
      <c r="Q71" s="24">
        <f>P71*G71</f>
        <v>24975000</v>
      </c>
      <c r="R71" s="27" t="s">
        <v>674</v>
      </c>
      <c r="S71" s="27"/>
    </row>
    <row r="72" spans="1:19" ht="67.5" x14ac:dyDescent="0.2">
      <c r="A72" s="7">
        <v>70</v>
      </c>
      <c r="B72" s="5" t="s">
        <v>176</v>
      </c>
      <c r="C72" s="5"/>
      <c r="D72" s="5"/>
      <c r="E72" s="51" t="s">
        <v>401</v>
      </c>
      <c r="F72" s="7" t="s">
        <v>74</v>
      </c>
      <c r="G72" s="7">
        <v>18</v>
      </c>
      <c r="H72" s="5" t="s">
        <v>177</v>
      </c>
      <c r="I72" s="18" t="s">
        <v>505</v>
      </c>
      <c r="K72" s="9"/>
      <c r="L72" s="24">
        <v>1500000</v>
      </c>
      <c r="M72" s="25">
        <f t="shared" si="3"/>
        <v>1500000</v>
      </c>
      <c r="N72" s="25">
        <f t="shared" si="4"/>
        <v>27000000</v>
      </c>
      <c r="O72" s="26">
        <v>1.5</v>
      </c>
      <c r="P72" s="24">
        <f>O72*M72</f>
        <v>2250000</v>
      </c>
      <c r="Q72" s="24">
        <f>P72*G72</f>
        <v>40500000</v>
      </c>
      <c r="R72" s="27" t="s">
        <v>674</v>
      </c>
      <c r="S72" s="27"/>
    </row>
    <row r="73" spans="1:19" ht="78.75" x14ac:dyDescent="0.2">
      <c r="A73" s="7">
        <v>71</v>
      </c>
      <c r="B73" s="5" t="s">
        <v>178</v>
      </c>
      <c r="C73" s="5" t="s">
        <v>179</v>
      </c>
      <c r="D73" s="5"/>
      <c r="E73" s="51" t="s">
        <v>502</v>
      </c>
      <c r="F73" s="7" t="s">
        <v>74</v>
      </c>
      <c r="G73" s="7">
        <v>7</v>
      </c>
      <c r="H73" s="5" t="s">
        <v>180</v>
      </c>
      <c r="I73" s="18" t="s">
        <v>501</v>
      </c>
      <c r="K73" s="9"/>
      <c r="L73" s="24">
        <v>2600000</v>
      </c>
      <c r="M73" s="25">
        <f t="shared" si="3"/>
        <v>2600000</v>
      </c>
      <c r="N73" s="25">
        <f t="shared" si="4"/>
        <v>18200000</v>
      </c>
      <c r="O73" s="26">
        <v>1.5</v>
      </c>
      <c r="P73" s="24">
        <f>O73*M73</f>
        <v>3900000</v>
      </c>
      <c r="Q73" s="24">
        <f>P73*G73</f>
        <v>27300000</v>
      </c>
      <c r="R73" s="27" t="s">
        <v>674</v>
      </c>
      <c r="S73" s="27"/>
    </row>
    <row r="74" spans="1:19" ht="78.75" x14ac:dyDescent="0.2">
      <c r="A74" s="7">
        <v>72</v>
      </c>
      <c r="B74" s="5" t="s">
        <v>181</v>
      </c>
      <c r="C74" s="5" t="s">
        <v>182</v>
      </c>
      <c r="D74" s="5"/>
      <c r="E74" s="51" t="s">
        <v>503</v>
      </c>
      <c r="F74" s="7" t="s">
        <v>10</v>
      </c>
      <c r="G74" s="7">
        <v>13</v>
      </c>
      <c r="H74" s="5" t="s">
        <v>183</v>
      </c>
      <c r="I74" s="19">
        <v>1250000</v>
      </c>
      <c r="K74" s="9"/>
      <c r="L74" s="24">
        <v>1250000</v>
      </c>
      <c r="M74" s="25">
        <f t="shared" si="3"/>
        <v>1250000</v>
      </c>
      <c r="N74" s="25">
        <f t="shared" si="4"/>
        <v>16250000</v>
      </c>
      <c r="O74" s="26">
        <v>1.5</v>
      </c>
      <c r="P74" s="24">
        <f>O74*M74</f>
        <v>1875000</v>
      </c>
      <c r="Q74" s="24">
        <f>P74*G74</f>
        <v>24375000</v>
      </c>
      <c r="R74" s="27" t="s">
        <v>674</v>
      </c>
      <c r="S74" s="27"/>
    </row>
    <row r="75" spans="1:19" ht="78.75" x14ac:dyDescent="0.2">
      <c r="A75" s="7">
        <v>73</v>
      </c>
      <c r="B75" s="5" t="s">
        <v>184</v>
      </c>
      <c r="C75" s="5" t="s">
        <v>185</v>
      </c>
      <c r="D75" s="5"/>
      <c r="E75" s="51" t="s">
        <v>504</v>
      </c>
      <c r="F75" s="7" t="s">
        <v>10</v>
      </c>
      <c r="G75" s="7">
        <v>2</v>
      </c>
      <c r="H75" s="5" t="s">
        <v>186</v>
      </c>
      <c r="I75" s="19">
        <v>1200000</v>
      </c>
      <c r="K75" s="9"/>
      <c r="L75" s="24">
        <v>1200000</v>
      </c>
      <c r="M75" s="25">
        <f t="shared" si="3"/>
        <v>1200000</v>
      </c>
      <c r="N75" s="25">
        <f t="shared" si="4"/>
        <v>2400000</v>
      </c>
      <c r="O75" s="26">
        <v>1.5</v>
      </c>
      <c r="P75" s="24">
        <f>O75*M75</f>
        <v>1800000</v>
      </c>
      <c r="Q75" s="24">
        <f>P75*G75</f>
        <v>3600000</v>
      </c>
      <c r="R75" s="27" t="s">
        <v>674</v>
      </c>
      <c r="S75" s="27"/>
    </row>
    <row r="76" spans="1:19" ht="33.75" x14ac:dyDescent="0.2">
      <c r="A76" s="7">
        <v>74</v>
      </c>
      <c r="B76" s="5" t="s">
        <v>187</v>
      </c>
      <c r="C76" s="5" t="s">
        <v>188</v>
      </c>
      <c r="D76" s="5"/>
      <c r="E76" s="51" t="s">
        <v>506</v>
      </c>
      <c r="F76" s="7" t="s">
        <v>10</v>
      </c>
      <c r="G76" s="7">
        <v>17</v>
      </c>
      <c r="H76" s="5" t="s">
        <v>188</v>
      </c>
      <c r="I76" s="17" t="s">
        <v>507</v>
      </c>
      <c r="K76" s="9"/>
      <c r="L76" s="24">
        <v>612000</v>
      </c>
      <c r="M76" s="25">
        <f t="shared" si="3"/>
        <v>612000</v>
      </c>
      <c r="N76" s="25">
        <f t="shared" si="4"/>
        <v>10404000</v>
      </c>
      <c r="O76" s="26">
        <v>1.5</v>
      </c>
      <c r="P76" s="24">
        <f>O76*M76</f>
        <v>918000</v>
      </c>
      <c r="Q76" s="24">
        <f>P76*G76</f>
        <v>15606000</v>
      </c>
      <c r="R76" s="27" t="s">
        <v>674</v>
      </c>
      <c r="S76" s="27"/>
    </row>
    <row r="77" spans="1:19" ht="22.5" x14ac:dyDescent="0.2">
      <c r="A77" s="7">
        <v>75</v>
      </c>
      <c r="B77" s="5" t="s">
        <v>189</v>
      </c>
      <c r="C77" s="5" t="s">
        <v>190</v>
      </c>
      <c r="D77" s="5">
        <v>2007110000</v>
      </c>
      <c r="E77" s="51" t="s">
        <v>508</v>
      </c>
      <c r="F77" s="7" t="s">
        <v>74</v>
      </c>
      <c r="G77" s="7">
        <v>6</v>
      </c>
      <c r="H77" s="5" t="s">
        <v>190</v>
      </c>
      <c r="I77" s="18" t="s">
        <v>654</v>
      </c>
      <c r="K77" s="9"/>
      <c r="L77" s="24">
        <f>12500*55</f>
        <v>687500</v>
      </c>
      <c r="M77" s="25">
        <f t="shared" si="3"/>
        <v>687500</v>
      </c>
      <c r="N77" s="25">
        <f t="shared" si="4"/>
        <v>4125000</v>
      </c>
      <c r="O77" s="26">
        <v>1.5</v>
      </c>
      <c r="P77" s="24">
        <f>O77*M77</f>
        <v>1031250</v>
      </c>
      <c r="Q77" s="24">
        <f>P77*G77</f>
        <v>6187500</v>
      </c>
      <c r="R77" s="27" t="s">
        <v>674</v>
      </c>
      <c r="S77" s="27"/>
    </row>
    <row r="78" spans="1:19" ht="33.75" x14ac:dyDescent="0.2">
      <c r="A78" s="7">
        <v>76</v>
      </c>
      <c r="B78" s="5" t="s">
        <v>192</v>
      </c>
      <c r="C78" s="5" t="s">
        <v>193</v>
      </c>
      <c r="D78" s="5">
        <v>2007120000</v>
      </c>
      <c r="E78" s="51" t="s">
        <v>509</v>
      </c>
      <c r="F78" s="7" t="s">
        <v>74</v>
      </c>
      <c r="G78" s="7">
        <v>2</v>
      </c>
      <c r="H78" s="5" t="s">
        <v>193</v>
      </c>
      <c r="I78" s="18" t="s">
        <v>655</v>
      </c>
      <c r="K78" s="9"/>
      <c r="L78" s="24">
        <f>12500*50</f>
        <v>625000</v>
      </c>
      <c r="M78" s="25">
        <f t="shared" si="3"/>
        <v>625000</v>
      </c>
      <c r="N78" s="25">
        <f t="shared" si="4"/>
        <v>1250000</v>
      </c>
      <c r="O78" s="26">
        <v>1.5</v>
      </c>
      <c r="P78" s="24">
        <f>O78*M78</f>
        <v>937500</v>
      </c>
      <c r="Q78" s="24">
        <f>P78*G78</f>
        <v>1875000</v>
      </c>
      <c r="R78" s="27" t="s">
        <v>674</v>
      </c>
      <c r="S78" s="27"/>
    </row>
    <row r="79" spans="1:19" ht="22.5" x14ac:dyDescent="0.2">
      <c r="A79" s="7">
        <v>77</v>
      </c>
      <c r="B79" s="5" t="s">
        <v>195</v>
      </c>
      <c r="C79" s="5" t="s">
        <v>196</v>
      </c>
      <c r="D79" s="5">
        <v>1806120000</v>
      </c>
      <c r="E79" s="51" t="s">
        <v>510</v>
      </c>
      <c r="F79" s="7" t="s">
        <v>74</v>
      </c>
      <c r="G79" s="7">
        <v>20</v>
      </c>
      <c r="H79" s="5" t="s">
        <v>196</v>
      </c>
      <c r="I79" s="18" t="s">
        <v>656</v>
      </c>
      <c r="K79" s="9"/>
      <c r="L79" s="24">
        <f>12500*51</f>
        <v>637500</v>
      </c>
      <c r="M79" s="25">
        <f t="shared" si="3"/>
        <v>637500</v>
      </c>
      <c r="N79" s="25">
        <f t="shared" si="4"/>
        <v>12750000</v>
      </c>
      <c r="O79" s="26">
        <v>1.5</v>
      </c>
      <c r="P79" s="24">
        <f>O79*M79</f>
        <v>956250</v>
      </c>
      <c r="Q79" s="24">
        <f>P79*G79</f>
        <v>19125000</v>
      </c>
      <c r="R79" s="27" t="s">
        <v>674</v>
      </c>
      <c r="S79" s="27"/>
    </row>
    <row r="80" spans="1:19" ht="78.75" x14ac:dyDescent="0.2">
      <c r="A80" s="7">
        <v>78</v>
      </c>
      <c r="B80" s="5" t="s">
        <v>198</v>
      </c>
      <c r="C80" s="5" t="s">
        <v>199</v>
      </c>
      <c r="D80" s="5">
        <v>1241420000</v>
      </c>
      <c r="E80" s="51" t="s">
        <v>511</v>
      </c>
      <c r="F80" s="7" t="s">
        <v>10</v>
      </c>
      <c r="G80" s="7">
        <v>16</v>
      </c>
      <c r="H80" s="5" t="s">
        <v>201</v>
      </c>
      <c r="I80" s="19" t="s">
        <v>513</v>
      </c>
      <c r="J80" s="9" t="s">
        <v>512</v>
      </c>
      <c r="K80" s="9"/>
      <c r="L80" s="24">
        <f>12500*700</f>
        <v>8750000</v>
      </c>
      <c r="M80" s="25">
        <f t="shared" si="3"/>
        <v>8750000</v>
      </c>
      <c r="N80" s="25">
        <f t="shared" si="4"/>
        <v>140000000</v>
      </c>
      <c r="O80" s="26">
        <v>1.5</v>
      </c>
      <c r="P80" s="24">
        <f>O80*M80</f>
        <v>13125000</v>
      </c>
      <c r="Q80" s="24">
        <f>P80*G80</f>
        <v>210000000</v>
      </c>
      <c r="R80" s="27" t="s">
        <v>674</v>
      </c>
      <c r="S80" s="27"/>
    </row>
    <row r="81" spans="1:19" ht="45" x14ac:dyDescent="0.2">
      <c r="A81" s="7">
        <v>79</v>
      </c>
      <c r="B81" s="5" t="s">
        <v>202</v>
      </c>
      <c r="C81" s="5" t="s">
        <v>203</v>
      </c>
      <c r="D81" s="5"/>
      <c r="E81" s="51" t="s">
        <v>515</v>
      </c>
      <c r="F81" s="7" t="s">
        <v>10</v>
      </c>
      <c r="G81" s="7">
        <v>2</v>
      </c>
      <c r="H81" s="5" t="s">
        <v>204</v>
      </c>
      <c r="I81" s="19" t="s">
        <v>514</v>
      </c>
      <c r="K81" s="9"/>
      <c r="L81" s="24">
        <f>12500*130</f>
        <v>1625000</v>
      </c>
      <c r="M81" s="25">
        <f t="shared" si="3"/>
        <v>1625000</v>
      </c>
      <c r="N81" s="25">
        <f t="shared" si="4"/>
        <v>3250000</v>
      </c>
      <c r="O81" s="26">
        <v>1.5</v>
      </c>
      <c r="P81" s="24">
        <f>O81*M81</f>
        <v>2437500</v>
      </c>
      <c r="Q81" s="24">
        <f>P81*G81</f>
        <v>4875000</v>
      </c>
      <c r="R81" s="27" t="s">
        <v>674</v>
      </c>
      <c r="S81" s="27"/>
    </row>
    <row r="82" spans="1:19" ht="67.5" x14ac:dyDescent="0.2">
      <c r="A82" s="7">
        <v>80</v>
      </c>
      <c r="B82" s="5" t="s">
        <v>205</v>
      </c>
      <c r="C82" s="5" t="s">
        <v>206</v>
      </c>
      <c r="D82" s="5" t="s">
        <v>207</v>
      </c>
      <c r="E82" s="51" t="s">
        <v>516</v>
      </c>
      <c r="F82" s="7" t="s">
        <v>10</v>
      </c>
      <c r="G82" s="7">
        <v>10</v>
      </c>
      <c r="H82" s="5" t="s">
        <v>208</v>
      </c>
      <c r="I82" s="19" t="s">
        <v>518</v>
      </c>
      <c r="J82" s="9" t="s">
        <v>517</v>
      </c>
      <c r="K82" s="9"/>
      <c r="L82" s="24">
        <f>12500*120</f>
        <v>1500000</v>
      </c>
      <c r="M82" s="25">
        <f t="shared" si="3"/>
        <v>1500000</v>
      </c>
      <c r="N82" s="25">
        <f t="shared" si="4"/>
        <v>15000000</v>
      </c>
      <c r="O82" s="26">
        <v>1.5</v>
      </c>
      <c r="P82" s="24">
        <f>O82*M82</f>
        <v>2250000</v>
      </c>
      <c r="Q82" s="24">
        <f>P82*G82</f>
        <v>22500000</v>
      </c>
      <c r="R82" s="27" t="s">
        <v>674</v>
      </c>
      <c r="S82" s="27"/>
    </row>
    <row r="83" spans="1:19" ht="45" x14ac:dyDescent="0.2">
      <c r="A83" s="7">
        <v>81</v>
      </c>
      <c r="B83" s="5" t="s">
        <v>209</v>
      </c>
      <c r="C83" s="5" t="s">
        <v>210</v>
      </c>
      <c r="D83" s="5">
        <v>2682500000</v>
      </c>
      <c r="E83" s="51" t="s">
        <v>519</v>
      </c>
      <c r="F83" s="7" t="s">
        <v>10</v>
      </c>
      <c r="G83" s="7">
        <v>8</v>
      </c>
      <c r="H83" s="5" t="s">
        <v>210</v>
      </c>
      <c r="I83" s="19" t="s">
        <v>520</v>
      </c>
      <c r="J83" s="14">
        <v>0.02</v>
      </c>
      <c r="K83" s="14"/>
      <c r="L83" s="24">
        <f>12500*155</f>
        <v>1937500</v>
      </c>
      <c r="M83" s="25">
        <f t="shared" si="3"/>
        <v>1937500</v>
      </c>
      <c r="N83" s="25">
        <f t="shared" si="4"/>
        <v>15500000</v>
      </c>
      <c r="O83" s="26">
        <v>1.5</v>
      </c>
      <c r="P83" s="24">
        <f>O83*M83</f>
        <v>2906250</v>
      </c>
      <c r="Q83" s="24">
        <f>P83*G83</f>
        <v>23250000</v>
      </c>
      <c r="R83" s="27" t="s">
        <v>668</v>
      </c>
      <c r="S83" s="27"/>
    </row>
    <row r="84" spans="1:19" ht="45" x14ac:dyDescent="0.2">
      <c r="A84" s="7">
        <v>82</v>
      </c>
      <c r="B84" s="5" t="s">
        <v>212</v>
      </c>
      <c r="C84" s="5"/>
      <c r="D84" s="5"/>
      <c r="E84" s="51" t="s">
        <v>519</v>
      </c>
      <c r="F84" s="7" t="s">
        <v>10</v>
      </c>
      <c r="G84" s="7">
        <v>40</v>
      </c>
      <c r="H84" s="5" t="s">
        <v>213</v>
      </c>
      <c r="I84" s="19" t="s">
        <v>521</v>
      </c>
      <c r="J84" s="14">
        <v>0.02</v>
      </c>
      <c r="K84" s="14"/>
      <c r="L84" s="24">
        <f>12500*155</f>
        <v>1937500</v>
      </c>
      <c r="M84" s="25">
        <f t="shared" si="3"/>
        <v>1937500</v>
      </c>
      <c r="N84" s="25">
        <f t="shared" si="4"/>
        <v>77500000</v>
      </c>
      <c r="O84" s="26">
        <v>1.5</v>
      </c>
      <c r="P84" s="24">
        <f>O84*M84</f>
        <v>2906250</v>
      </c>
      <c r="Q84" s="24">
        <f>P84*G84</f>
        <v>116250000</v>
      </c>
      <c r="R84" s="27" t="s">
        <v>668</v>
      </c>
      <c r="S84" s="27"/>
    </row>
    <row r="85" spans="1:19" ht="45" x14ac:dyDescent="0.2">
      <c r="A85" s="7">
        <v>83</v>
      </c>
      <c r="B85" s="5" t="s">
        <v>214</v>
      </c>
      <c r="C85" s="5" t="s">
        <v>215</v>
      </c>
      <c r="D85" s="5" t="s">
        <v>216</v>
      </c>
      <c r="E85" s="51" t="s">
        <v>522</v>
      </c>
      <c r="F85" s="7" t="s">
        <v>10</v>
      </c>
      <c r="G85" s="7">
        <v>2</v>
      </c>
      <c r="H85" s="5" t="s">
        <v>217</v>
      </c>
      <c r="I85" s="19" t="s">
        <v>523</v>
      </c>
      <c r="J85" s="9" t="s">
        <v>524</v>
      </c>
      <c r="K85" s="9">
        <f>12500*9*41</f>
        <v>4612500</v>
      </c>
      <c r="L85" s="24">
        <f>12500*690</f>
        <v>8625000</v>
      </c>
      <c r="M85" s="25">
        <f t="shared" si="3"/>
        <v>13237500</v>
      </c>
      <c r="N85" s="25">
        <f t="shared" si="4"/>
        <v>26475000</v>
      </c>
      <c r="O85" s="26">
        <v>1.5</v>
      </c>
      <c r="P85" s="24">
        <f>O85*M85</f>
        <v>19856250</v>
      </c>
      <c r="Q85" s="24">
        <f>P85*G85</f>
        <v>39712500</v>
      </c>
      <c r="R85" s="27" t="s">
        <v>674</v>
      </c>
      <c r="S85" s="27"/>
    </row>
    <row r="86" spans="1:19" ht="45" x14ac:dyDescent="0.2">
      <c r="A86" s="7">
        <v>84</v>
      </c>
      <c r="B86" s="5" t="s">
        <v>218</v>
      </c>
      <c r="C86" s="5" t="s">
        <v>219</v>
      </c>
      <c r="D86" s="5"/>
      <c r="E86" s="51" t="s">
        <v>525</v>
      </c>
      <c r="F86" s="7" t="s">
        <v>10</v>
      </c>
      <c r="G86" s="7">
        <v>2</v>
      </c>
      <c r="H86" s="5" t="s">
        <v>219</v>
      </c>
      <c r="I86" s="19" t="s">
        <v>532</v>
      </c>
      <c r="J86" s="9" t="s">
        <v>526</v>
      </c>
      <c r="K86" s="9">
        <f>12500*9*0.5</f>
        <v>56250</v>
      </c>
      <c r="L86" s="24">
        <f>12500*506</f>
        <v>6325000</v>
      </c>
      <c r="M86" s="25">
        <f t="shared" si="3"/>
        <v>6381250</v>
      </c>
      <c r="N86" s="25">
        <f t="shared" si="4"/>
        <v>12762500</v>
      </c>
      <c r="O86" s="26">
        <v>1.5</v>
      </c>
      <c r="P86" s="24">
        <f>O86*M86</f>
        <v>9571875</v>
      </c>
      <c r="Q86" s="24">
        <f>P86*G86</f>
        <v>19143750</v>
      </c>
      <c r="R86" s="27" t="s">
        <v>674</v>
      </c>
      <c r="S86" s="27"/>
    </row>
    <row r="87" spans="1:19" ht="56.25" x14ac:dyDescent="0.2">
      <c r="A87" s="7">
        <v>85</v>
      </c>
      <c r="B87" s="5" t="s">
        <v>220</v>
      </c>
      <c r="C87" s="5" t="s">
        <v>221</v>
      </c>
      <c r="D87" s="5"/>
      <c r="E87" s="51" t="s">
        <v>531</v>
      </c>
      <c r="F87" s="7" t="s">
        <v>10</v>
      </c>
      <c r="G87" s="7">
        <v>2</v>
      </c>
      <c r="H87" s="5" t="s">
        <v>222</v>
      </c>
      <c r="I87" s="19" t="s">
        <v>530</v>
      </c>
      <c r="K87" s="9"/>
      <c r="L87" s="24">
        <f>12500*566</f>
        <v>7075000</v>
      </c>
      <c r="M87" s="25">
        <f t="shared" si="3"/>
        <v>7075000</v>
      </c>
      <c r="N87" s="25">
        <f t="shared" si="4"/>
        <v>14150000</v>
      </c>
      <c r="O87" s="26">
        <v>1.5</v>
      </c>
      <c r="P87" s="24">
        <f>O87*M87</f>
        <v>10612500</v>
      </c>
      <c r="Q87" s="24">
        <f>P87*G87</f>
        <v>21225000</v>
      </c>
      <c r="R87" s="27" t="s">
        <v>674</v>
      </c>
      <c r="S87" s="27"/>
    </row>
    <row r="88" spans="1:19" ht="33.75" x14ac:dyDescent="0.2">
      <c r="A88" s="7">
        <v>86</v>
      </c>
      <c r="B88" s="5" t="s">
        <v>223</v>
      </c>
      <c r="C88" s="5"/>
      <c r="D88" s="5" t="s">
        <v>224</v>
      </c>
      <c r="E88" s="51" t="s">
        <v>527</v>
      </c>
      <c r="F88" s="7" t="s">
        <v>74</v>
      </c>
      <c r="G88" s="7">
        <v>5</v>
      </c>
      <c r="H88" s="5"/>
      <c r="I88" s="19" t="s">
        <v>529</v>
      </c>
      <c r="J88" s="9" t="s">
        <v>528</v>
      </c>
      <c r="K88" s="9"/>
      <c r="L88" s="24">
        <f>12500*20</f>
        <v>250000</v>
      </c>
      <c r="M88" s="25">
        <f t="shared" si="3"/>
        <v>250000</v>
      </c>
      <c r="N88" s="25">
        <f t="shared" si="4"/>
        <v>1250000</v>
      </c>
      <c r="O88" s="26">
        <v>1.5</v>
      </c>
      <c r="P88" s="24">
        <f>O88*M88</f>
        <v>375000</v>
      </c>
      <c r="Q88" s="24">
        <f>P88*G88</f>
        <v>1875000</v>
      </c>
      <c r="R88" s="27" t="s">
        <v>674</v>
      </c>
      <c r="S88" s="27"/>
    </row>
    <row r="89" spans="1:19" ht="33.75" x14ac:dyDescent="0.2">
      <c r="A89" s="7">
        <v>87</v>
      </c>
      <c r="B89" s="5" t="s">
        <v>225</v>
      </c>
      <c r="C89" s="5" t="s">
        <v>226</v>
      </c>
      <c r="D89" s="5"/>
      <c r="E89" s="51" t="s">
        <v>533</v>
      </c>
      <c r="F89" s="7" t="s">
        <v>10</v>
      </c>
      <c r="G89" s="7">
        <v>2</v>
      </c>
      <c r="H89" s="5" t="s">
        <v>226</v>
      </c>
      <c r="I89" s="19">
        <v>233</v>
      </c>
      <c r="K89" s="9"/>
      <c r="L89" s="24">
        <f>12500*233</f>
        <v>2912500</v>
      </c>
      <c r="M89" s="25">
        <f t="shared" si="3"/>
        <v>2912500</v>
      </c>
      <c r="N89" s="25">
        <f t="shared" si="4"/>
        <v>5825000</v>
      </c>
      <c r="O89" s="26">
        <v>1.5</v>
      </c>
      <c r="P89" s="24">
        <f>O89*M89</f>
        <v>4368750</v>
      </c>
      <c r="Q89" s="24">
        <f>P89*G89</f>
        <v>8737500</v>
      </c>
      <c r="R89" s="27" t="s">
        <v>674</v>
      </c>
      <c r="S89" s="27"/>
    </row>
    <row r="90" spans="1:19" ht="56.25" x14ac:dyDescent="0.2">
      <c r="A90" s="7">
        <v>88</v>
      </c>
      <c r="B90" s="5" t="s">
        <v>227</v>
      </c>
      <c r="C90" s="5" t="s">
        <v>228</v>
      </c>
      <c r="D90" s="5"/>
      <c r="E90" s="51" t="s">
        <v>534</v>
      </c>
      <c r="F90" s="7" t="s">
        <v>10</v>
      </c>
      <c r="G90" s="7">
        <v>10</v>
      </c>
      <c r="H90" s="5" t="s">
        <v>229</v>
      </c>
      <c r="I90" s="19" t="s">
        <v>535</v>
      </c>
      <c r="J90" s="9">
        <v>12</v>
      </c>
      <c r="K90" s="9">
        <f>12*9*12500</f>
        <v>1350000</v>
      </c>
      <c r="L90" s="24">
        <f>12500*128</f>
        <v>1600000</v>
      </c>
      <c r="M90" s="25">
        <f t="shared" si="3"/>
        <v>2950000</v>
      </c>
      <c r="N90" s="25">
        <f t="shared" si="4"/>
        <v>29500000</v>
      </c>
      <c r="O90" s="26">
        <v>1.5</v>
      </c>
      <c r="P90" s="24">
        <f>O90*M90</f>
        <v>4425000</v>
      </c>
      <c r="Q90" s="24">
        <f>P90*G90</f>
        <v>44250000</v>
      </c>
      <c r="R90" s="27" t="s">
        <v>674</v>
      </c>
      <c r="S90" s="27"/>
    </row>
    <row r="91" spans="1:19" ht="56.25" x14ac:dyDescent="0.2">
      <c r="A91" s="7">
        <v>89</v>
      </c>
      <c r="B91" s="5" t="s">
        <v>231</v>
      </c>
      <c r="C91" s="5"/>
      <c r="D91" s="5"/>
      <c r="E91" s="51" t="s">
        <v>534</v>
      </c>
      <c r="F91" s="7" t="s">
        <v>10</v>
      </c>
      <c r="G91" s="7">
        <v>1</v>
      </c>
      <c r="H91" s="5" t="s">
        <v>232</v>
      </c>
      <c r="I91" s="19" t="s">
        <v>535</v>
      </c>
      <c r="J91" s="9">
        <v>12</v>
      </c>
      <c r="K91" s="9">
        <f>12*9*12500</f>
        <v>1350000</v>
      </c>
      <c r="L91" s="24">
        <f>12500*128</f>
        <v>1600000</v>
      </c>
      <c r="M91" s="25">
        <f t="shared" si="3"/>
        <v>2950000</v>
      </c>
      <c r="N91" s="25">
        <f t="shared" si="4"/>
        <v>2950000</v>
      </c>
      <c r="O91" s="26">
        <v>1.5</v>
      </c>
      <c r="P91" s="24">
        <f>O91*M91</f>
        <v>4425000</v>
      </c>
      <c r="Q91" s="24">
        <f>P91*G91</f>
        <v>4425000</v>
      </c>
      <c r="R91" s="27" t="s">
        <v>674</v>
      </c>
      <c r="S91" s="27"/>
    </row>
    <row r="92" spans="1:19" ht="123.75" x14ac:dyDescent="0.2">
      <c r="A92" s="7">
        <v>90</v>
      </c>
      <c r="B92" s="5" t="s">
        <v>233</v>
      </c>
      <c r="C92" s="5"/>
      <c r="D92" s="5"/>
      <c r="E92" s="51" t="s">
        <v>536</v>
      </c>
      <c r="F92" s="7" t="s">
        <v>10</v>
      </c>
      <c r="G92" s="7">
        <v>5</v>
      </c>
      <c r="H92" s="5" t="s">
        <v>234</v>
      </c>
      <c r="I92" s="19" t="s">
        <v>537</v>
      </c>
      <c r="J92" s="9">
        <v>12</v>
      </c>
      <c r="K92" s="9">
        <f>12*9*12500</f>
        <v>1350000</v>
      </c>
      <c r="L92" s="24">
        <f>12500*305</f>
        <v>3812500</v>
      </c>
      <c r="M92" s="25">
        <f t="shared" si="3"/>
        <v>5162500</v>
      </c>
      <c r="N92" s="25">
        <f t="shared" si="4"/>
        <v>25812500</v>
      </c>
      <c r="O92" s="26">
        <v>1.5</v>
      </c>
      <c r="P92" s="24">
        <f>O92*M92</f>
        <v>7743750</v>
      </c>
      <c r="Q92" s="24">
        <f>P92*G92</f>
        <v>38718750</v>
      </c>
      <c r="R92" s="27" t="s">
        <v>674</v>
      </c>
      <c r="S92" s="27"/>
    </row>
    <row r="93" spans="1:19" ht="22.5" x14ac:dyDescent="0.2">
      <c r="A93" s="7">
        <v>91</v>
      </c>
      <c r="B93" s="5" t="s">
        <v>235</v>
      </c>
      <c r="C93" s="5"/>
      <c r="D93" s="5" t="s">
        <v>236</v>
      </c>
      <c r="E93" s="51" t="s">
        <v>538</v>
      </c>
      <c r="F93" s="7" t="s">
        <v>10</v>
      </c>
      <c r="G93" s="7">
        <v>2</v>
      </c>
      <c r="H93" s="5" t="s">
        <v>237</v>
      </c>
      <c r="I93" s="19" t="s">
        <v>539</v>
      </c>
      <c r="J93" s="9">
        <v>2</v>
      </c>
      <c r="K93" s="9">
        <f>2*9*12500</f>
        <v>225000</v>
      </c>
      <c r="L93" s="24">
        <f>12500*467</f>
        <v>5837500</v>
      </c>
      <c r="M93" s="25">
        <f t="shared" si="3"/>
        <v>6062500</v>
      </c>
      <c r="N93" s="25">
        <f t="shared" si="4"/>
        <v>12125000</v>
      </c>
      <c r="O93" s="26">
        <v>1.5</v>
      </c>
      <c r="P93" s="24">
        <f>O93*M93</f>
        <v>9093750</v>
      </c>
      <c r="Q93" s="24">
        <f>P93*G93</f>
        <v>18187500</v>
      </c>
      <c r="R93" s="27" t="s">
        <v>668</v>
      </c>
      <c r="S93" s="27"/>
    </row>
    <row r="94" spans="1:19" ht="33.75" x14ac:dyDescent="0.2">
      <c r="A94" s="7">
        <v>92</v>
      </c>
      <c r="B94" s="5" t="s">
        <v>238</v>
      </c>
      <c r="C94" s="5" t="s">
        <v>239</v>
      </c>
      <c r="D94" s="5" t="s">
        <v>240</v>
      </c>
      <c r="E94" s="51" t="s">
        <v>541</v>
      </c>
      <c r="F94" s="7" t="s">
        <v>10</v>
      </c>
      <c r="G94" s="7">
        <v>1</v>
      </c>
      <c r="H94" s="5" t="s">
        <v>239</v>
      </c>
      <c r="I94" s="19" t="s">
        <v>540</v>
      </c>
      <c r="K94" s="9"/>
      <c r="L94" s="24">
        <f>12500*160</f>
        <v>2000000</v>
      </c>
      <c r="M94" s="25">
        <f t="shared" si="3"/>
        <v>2000000</v>
      </c>
      <c r="N94" s="25">
        <f t="shared" si="4"/>
        <v>2000000</v>
      </c>
      <c r="O94" s="26">
        <v>1.5</v>
      </c>
      <c r="P94" s="24">
        <f>O94*M94</f>
        <v>3000000</v>
      </c>
      <c r="Q94" s="24">
        <f>P94*G94</f>
        <v>3000000</v>
      </c>
      <c r="R94" s="27" t="s">
        <v>674</v>
      </c>
      <c r="S94" s="27"/>
    </row>
    <row r="95" spans="1:19" ht="33.75" x14ac:dyDescent="0.2">
      <c r="A95" s="7">
        <v>93</v>
      </c>
      <c r="B95" s="5" t="s">
        <v>241</v>
      </c>
      <c r="C95" s="5"/>
      <c r="D95" s="5"/>
      <c r="E95" s="51" t="s">
        <v>542</v>
      </c>
      <c r="F95" s="7" t="s">
        <v>10</v>
      </c>
      <c r="G95" s="7">
        <v>200</v>
      </c>
      <c r="H95" s="5"/>
      <c r="I95" s="19" t="s">
        <v>543</v>
      </c>
      <c r="K95" s="9"/>
      <c r="L95" s="24">
        <v>112000</v>
      </c>
      <c r="M95" s="25">
        <f t="shared" si="3"/>
        <v>112000</v>
      </c>
      <c r="N95" s="25">
        <f t="shared" si="4"/>
        <v>22400000</v>
      </c>
      <c r="O95" s="26">
        <v>1.5</v>
      </c>
      <c r="P95" s="24">
        <f>O95*M95</f>
        <v>168000</v>
      </c>
      <c r="Q95" s="24">
        <f>P95*G95</f>
        <v>33600000</v>
      </c>
      <c r="R95" s="27" t="s">
        <v>674</v>
      </c>
      <c r="S95" s="27"/>
    </row>
    <row r="96" spans="1:19" ht="22.5" x14ac:dyDescent="0.2">
      <c r="A96" s="7">
        <v>94</v>
      </c>
      <c r="B96" s="5" t="s">
        <v>242</v>
      </c>
      <c r="C96" s="5" t="s">
        <v>243</v>
      </c>
      <c r="D96" s="5"/>
      <c r="E96" s="51" t="s">
        <v>544</v>
      </c>
      <c r="F96" s="7" t="s">
        <v>74</v>
      </c>
      <c r="G96" s="7">
        <v>6</v>
      </c>
      <c r="H96" s="5" t="s">
        <v>243</v>
      </c>
      <c r="I96" s="19" t="s">
        <v>545</v>
      </c>
      <c r="K96" s="9"/>
      <c r="L96" s="24">
        <v>70000</v>
      </c>
      <c r="M96" s="25">
        <f t="shared" si="3"/>
        <v>70000</v>
      </c>
      <c r="N96" s="25">
        <f t="shared" si="4"/>
        <v>420000</v>
      </c>
      <c r="O96" s="26">
        <v>1.5</v>
      </c>
      <c r="P96" s="24">
        <f>O96*M96</f>
        <v>105000</v>
      </c>
      <c r="Q96" s="24">
        <f>P96*G96</f>
        <v>630000</v>
      </c>
      <c r="R96" s="27" t="s">
        <v>674</v>
      </c>
      <c r="S96" s="27"/>
    </row>
    <row r="97" spans="1:19" ht="33" x14ac:dyDescent="0.2">
      <c r="A97" s="7">
        <v>95</v>
      </c>
      <c r="B97" s="5" t="s">
        <v>244</v>
      </c>
      <c r="C97" s="5" t="s">
        <v>245</v>
      </c>
      <c r="D97" s="5"/>
      <c r="E97" s="51" t="s">
        <v>546</v>
      </c>
      <c r="F97" s="7" t="s">
        <v>246</v>
      </c>
      <c r="G97" s="7">
        <v>2</v>
      </c>
      <c r="H97" s="5" t="s">
        <v>245</v>
      </c>
      <c r="I97" s="34" t="s">
        <v>548</v>
      </c>
      <c r="K97" s="9"/>
      <c r="L97" s="24">
        <v>90000</v>
      </c>
      <c r="M97" s="25">
        <f t="shared" si="3"/>
        <v>90000</v>
      </c>
      <c r="N97" s="25">
        <f t="shared" si="4"/>
        <v>180000</v>
      </c>
      <c r="O97" s="26">
        <v>1.5</v>
      </c>
      <c r="P97" s="24">
        <f>O97*M97</f>
        <v>135000</v>
      </c>
      <c r="Q97" s="24">
        <f>P97*G97</f>
        <v>270000</v>
      </c>
      <c r="R97" s="27" t="s">
        <v>674</v>
      </c>
      <c r="S97" s="27"/>
    </row>
    <row r="98" spans="1:19" ht="33" x14ac:dyDescent="0.2">
      <c r="A98" s="7">
        <v>96</v>
      </c>
      <c r="B98" s="5" t="s">
        <v>244</v>
      </c>
      <c r="C98" s="5" t="s">
        <v>247</v>
      </c>
      <c r="D98" s="5"/>
      <c r="E98" s="51" t="s">
        <v>547</v>
      </c>
      <c r="F98" s="7" t="s">
        <v>246</v>
      </c>
      <c r="G98" s="7">
        <v>2</v>
      </c>
      <c r="H98" s="5" t="s">
        <v>247</v>
      </c>
      <c r="I98" s="34" t="s">
        <v>548</v>
      </c>
      <c r="K98" s="9"/>
      <c r="L98" s="24">
        <v>90000</v>
      </c>
      <c r="M98" s="25">
        <f t="shared" si="3"/>
        <v>90000</v>
      </c>
      <c r="N98" s="25">
        <f t="shared" si="4"/>
        <v>180000</v>
      </c>
      <c r="O98" s="26">
        <v>1.5</v>
      </c>
      <c r="P98" s="24">
        <f>O98*M98</f>
        <v>135000</v>
      </c>
      <c r="Q98" s="24">
        <f>P98*G98</f>
        <v>270000</v>
      </c>
      <c r="R98" s="27" t="s">
        <v>674</v>
      </c>
      <c r="S98" s="27"/>
    </row>
    <row r="99" spans="1:19" ht="22.5" x14ac:dyDescent="0.2">
      <c r="A99" s="7">
        <v>97</v>
      </c>
      <c r="B99" s="5" t="s">
        <v>248</v>
      </c>
      <c r="C99" s="5" t="s">
        <v>249</v>
      </c>
      <c r="D99" s="5"/>
      <c r="E99" s="51" t="s">
        <v>544</v>
      </c>
      <c r="F99" s="7" t="s">
        <v>246</v>
      </c>
      <c r="G99" s="7">
        <v>6</v>
      </c>
      <c r="H99" s="5" t="s">
        <v>249</v>
      </c>
      <c r="I99" s="19" t="s">
        <v>545</v>
      </c>
      <c r="K99" s="9"/>
      <c r="L99" s="24">
        <v>70000</v>
      </c>
      <c r="M99" s="25">
        <f t="shared" si="3"/>
        <v>70000</v>
      </c>
      <c r="N99" s="25">
        <f t="shared" si="4"/>
        <v>420000</v>
      </c>
      <c r="O99" s="26">
        <v>1.5</v>
      </c>
      <c r="P99" s="24">
        <f>O99*M99</f>
        <v>105000</v>
      </c>
      <c r="Q99" s="24">
        <f>P99*G99</f>
        <v>630000</v>
      </c>
      <c r="R99" s="27" t="s">
        <v>674</v>
      </c>
      <c r="S99" s="27"/>
    </row>
    <row r="100" spans="1:19" ht="22.5" x14ac:dyDescent="0.2">
      <c r="A100" s="7">
        <v>98</v>
      </c>
      <c r="B100" s="5" t="s">
        <v>250</v>
      </c>
      <c r="C100" s="5"/>
      <c r="D100" s="5" t="s">
        <v>251</v>
      </c>
      <c r="E100" s="51" t="s">
        <v>549</v>
      </c>
      <c r="F100" s="7" t="s">
        <v>74</v>
      </c>
      <c r="G100" s="7">
        <v>20</v>
      </c>
      <c r="H100" s="5"/>
      <c r="I100" s="19">
        <v>39000</v>
      </c>
      <c r="K100" s="9"/>
      <c r="L100" s="24">
        <v>39000</v>
      </c>
      <c r="M100" s="25">
        <f t="shared" si="3"/>
        <v>39000</v>
      </c>
      <c r="N100" s="25">
        <f t="shared" si="4"/>
        <v>780000</v>
      </c>
      <c r="O100" s="26">
        <v>1.5</v>
      </c>
      <c r="P100" s="24">
        <f>O100*M100</f>
        <v>58500</v>
      </c>
      <c r="Q100" s="24">
        <f>P100*G100</f>
        <v>1170000</v>
      </c>
      <c r="R100" s="27" t="s">
        <v>674</v>
      </c>
      <c r="S100" s="27"/>
    </row>
    <row r="101" spans="1:19" ht="22.5" x14ac:dyDescent="0.2">
      <c r="A101" s="7">
        <v>99</v>
      </c>
      <c r="B101" s="5" t="s">
        <v>252</v>
      </c>
      <c r="C101" s="5"/>
      <c r="D101" s="5" t="s">
        <v>251</v>
      </c>
      <c r="E101" s="51" t="s">
        <v>550</v>
      </c>
      <c r="F101" s="7" t="s">
        <v>74</v>
      </c>
      <c r="G101" s="7">
        <v>20</v>
      </c>
      <c r="H101" s="5"/>
      <c r="I101" s="19">
        <v>39000</v>
      </c>
      <c r="K101" s="9"/>
      <c r="L101" s="24">
        <v>39000</v>
      </c>
      <c r="M101" s="25">
        <f t="shared" si="3"/>
        <v>39000</v>
      </c>
      <c r="N101" s="25">
        <f t="shared" si="4"/>
        <v>780000</v>
      </c>
      <c r="O101" s="26">
        <v>1.5</v>
      </c>
      <c r="P101" s="24">
        <f>O101*M101</f>
        <v>58500</v>
      </c>
      <c r="Q101" s="24">
        <f>P101*G101</f>
        <v>1170000</v>
      </c>
      <c r="R101" s="27" t="s">
        <v>674</v>
      </c>
      <c r="S101" s="27"/>
    </row>
    <row r="102" spans="1:19" ht="22.5" x14ac:dyDescent="0.2">
      <c r="A102" s="7">
        <v>100</v>
      </c>
      <c r="B102" s="5" t="s">
        <v>253</v>
      </c>
      <c r="C102" s="5"/>
      <c r="D102" s="5"/>
      <c r="E102" s="51" t="s">
        <v>551</v>
      </c>
      <c r="F102" s="7" t="s">
        <v>10</v>
      </c>
      <c r="G102" s="7">
        <v>1000</v>
      </c>
      <c r="H102" s="5"/>
      <c r="I102" s="18" t="s">
        <v>552</v>
      </c>
      <c r="K102" s="9"/>
      <c r="L102" s="24">
        <v>92000</v>
      </c>
      <c r="M102" s="25">
        <f t="shared" si="3"/>
        <v>92000</v>
      </c>
      <c r="N102" s="25">
        <f t="shared" si="4"/>
        <v>92000000</v>
      </c>
      <c r="O102" s="26">
        <v>1.5</v>
      </c>
      <c r="P102" s="24">
        <f>O102*M102</f>
        <v>138000</v>
      </c>
      <c r="Q102" s="24">
        <f>P102*G102</f>
        <v>138000000</v>
      </c>
      <c r="R102" s="27" t="s">
        <v>674</v>
      </c>
      <c r="S102" s="27"/>
    </row>
    <row r="103" spans="1:19" ht="67.5" x14ac:dyDescent="0.2">
      <c r="A103" s="7">
        <v>101</v>
      </c>
      <c r="B103" s="5" t="s">
        <v>254</v>
      </c>
      <c r="C103" s="5"/>
      <c r="D103" s="5"/>
      <c r="E103" s="51" t="s">
        <v>553</v>
      </c>
      <c r="F103" s="7" t="s">
        <v>10</v>
      </c>
      <c r="G103" s="7">
        <v>5</v>
      </c>
      <c r="H103" s="5"/>
      <c r="I103" s="18" t="s">
        <v>554</v>
      </c>
      <c r="K103" s="9"/>
      <c r="L103" s="24">
        <f>12500*144</f>
        <v>1800000</v>
      </c>
      <c r="M103" s="25">
        <f t="shared" si="3"/>
        <v>1800000</v>
      </c>
      <c r="N103" s="25">
        <f t="shared" si="4"/>
        <v>9000000</v>
      </c>
      <c r="O103" s="26">
        <v>1.5</v>
      </c>
      <c r="P103" s="24">
        <f>O103*M103</f>
        <v>2700000</v>
      </c>
      <c r="Q103" s="24">
        <f>P103*G103</f>
        <v>13500000</v>
      </c>
      <c r="R103" s="27" t="s">
        <v>670</v>
      </c>
      <c r="S103" s="27"/>
    </row>
    <row r="104" spans="1:19" ht="22.5" x14ac:dyDescent="0.2">
      <c r="A104" s="7">
        <v>102</v>
      </c>
      <c r="B104" s="5" t="s">
        <v>255</v>
      </c>
      <c r="C104" s="5" t="s">
        <v>256</v>
      </c>
      <c r="D104" s="5"/>
      <c r="E104" s="51" t="s">
        <v>256</v>
      </c>
      <c r="F104" s="7" t="s">
        <v>10</v>
      </c>
      <c r="G104" s="7">
        <v>60</v>
      </c>
      <c r="H104" s="5" t="s">
        <v>257</v>
      </c>
      <c r="I104" s="18" t="s">
        <v>555</v>
      </c>
      <c r="K104" s="9"/>
      <c r="L104" s="24">
        <v>135000</v>
      </c>
      <c r="M104" s="25">
        <f t="shared" si="3"/>
        <v>135000</v>
      </c>
      <c r="N104" s="25">
        <f t="shared" si="4"/>
        <v>8100000</v>
      </c>
      <c r="O104" s="26">
        <v>1.5</v>
      </c>
      <c r="P104" s="24">
        <f>O104*M104</f>
        <v>202500</v>
      </c>
      <c r="Q104" s="24">
        <f>P104*G104</f>
        <v>12150000</v>
      </c>
      <c r="R104" s="27" t="s">
        <v>674</v>
      </c>
      <c r="S104" s="27"/>
    </row>
    <row r="105" spans="1:19" ht="22.5" x14ac:dyDescent="0.2">
      <c r="A105" s="7">
        <v>103</v>
      </c>
      <c r="B105" s="5" t="s">
        <v>258</v>
      </c>
      <c r="C105" s="5" t="s">
        <v>259</v>
      </c>
      <c r="D105" s="5"/>
      <c r="E105" s="51" t="s">
        <v>256</v>
      </c>
      <c r="F105" s="7" t="s">
        <v>10</v>
      </c>
      <c r="G105" s="7">
        <v>80</v>
      </c>
      <c r="H105" s="5" t="s">
        <v>259</v>
      </c>
      <c r="I105" s="18" t="s">
        <v>555</v>
      </c>
      <c r="K105" s="9"/>
      <c r="L105" s="24">
        <v>135000</v>
      </c>
      <c r="M105" s="25">
        <f t="shared" si="3"/>
        <v>135000</v>
      </c>
      <c r="N105" s="25">
        <f t="shared" si="4"/>
        <v>10800000</v>
      </c>
      <c r="O105" s="26">
        <v>1.5</v>
      </c>
      <c r="P105" s="24">
        <f>O105*M105</f>
        <v>202500</v>
      </c>
      <c r="Q105" s="24">
        <f>P105*G105</f>
        <v>16200000</v>
      </c>
      <c r="R105" s="27" t="s">
        <v>674</v>
      </c>
      <c r="S105" s="27"/>
    </row>
    <row r="106" spans="1:19" ht="22.5" x14ac:dyDescent="0.2">
      <c r="A106" s="7">
        <v>104</v>
      </c>
      <c r="B106" s="5" t="s">
        <v>260</v>
      </c>
      <c r="C106" s="5" t="s">
        <v>261</v>
      </c>
      <c r="D106" s="5"/>
      <c r="E106" s="51" t="s">
        <v>261</v>
      </c>
      <c r="F106" s="7" t="s">
        <v>10</v>
      </c>
      <c r="G106" s="7">
        <v>40</v>
      </c>
      <c r="H106" s="5" t="s">
        <v>261</v>
      </c>
      <c r="I106" s="19" t="s">
        <v>556</v>
      </c>
      <c r="K106" s="9"/>
      <c r="L106" s="24">
        <v>58000</v>
      </c>
      <c r="M106" s="25">
        <f t="shared" si="3"/>
        <v>58000</v>
      </c>
      <c r="N106" s="25">
        <f t="shared" si="4"/>
        <v>2320000</v>
      </c>
      <c r="O106" s="26">
        <v>1.5</v>
      </c>
      <c r="P106" s="24">
        <f>O106*M106</f>
        <v>87000</v>
      </c>
      <c r="Q106" s="24">
        <f>P106*G106</f>
        <v>3480000</v>
      </c>
      <c r="R106" s="27" t="s">
        <v>674</v>
      </c>
      <c r="S106" s="27"/>
    </row>
    <row r="107" spans="1:19" ht="33.75" x14ac:dyDescent="0.2">
      <c r="A107" s="7">
        <v>105</v>
      </c>
      <c r="B107" s="5" t="s">
        <v>262</v>
      </c>
      <c r="C107" s="5" t="s">
        <v>263</v>
      </c>
      <c r="D107" s="5"/>
      <c r="E107" s="51" t="s">
        <v>557</v>
      </c>
      <c r="F107" s="7" t="s">
        <v>10</v>
      </c>
      <c r="G107" s="7">
        <v>66</v>
      </c>
      <c r="H107" s="5" t="s">
        <v>263</v>
      </c>
      <c r="I107" s="19" t="s">
        <v>558</v>
      </c>
      <c r="K107" s="9"/>
      <c r="L107" s="24">
        <v>18000</v>
      </c>
      <c r="M107" s="25">
        <f t="shared" si="3"/>
        <v>18000</v>
      </c>
      <c r="N107" s="25">
        <f t="shared" si="4"/>
        <v>1188000</v>
      </c>
      <c r="O107" s="26">
        <v>1.5</v>
      </c>
      <c r="P107" s="24">
        <f>O107*M107</f>
        <v>27000</v>
      </c>
      <c r="Q107" s="24">
        <f>P107*G107</f>
        <v>1782000</v>
      </c>
      <c r="R107" s="27" t="s">
        <v>674</v>
      </c>
      <c r="S107" s="27"/>
    </row>
    <row r="108" spans="1:19" ht="33.75" x14ac:dyDescent="0.2">
      <c r="A108" s="7">
        <v>106</v>
      </c>
      <c r="B108" s="5" t="s">
        <v>264</v>
      </c>
      <c r="C108" s="5" t="s">
        <v>265</v>
      </c>
      <c r="D108" s="5"/>
      <c r="E108" s="51" t="s">
        <v>559</v>
      </c>
      <c r="F108" s="7" t="s">
        <v>10</v>
      </c>
      <c r="G108" s="7">
        <v>34</v>
      </c>
      <c r="H108" s="5" t="s">
        <v>265</v>
      </c>
      <c r="I108" s="19">
        <v>29000</v>
      </c>
      <c r="K108" s="9"/>
      <c r="L108" s="24">
        <v>29000</v>
      </c>
      <c r="M108" s="25">
        <f t="shared" si="3"/>
        <v>29000</v>
      </c>
      <c r="N108" s="25">
        <f t="shared" si="4"/>
        <v>986000</v>
      </c>
      <c r="O108" s="26">
        <v>1.5</v>
      </c>
      <c r="P108" s="24">
        <f>O108*M108</f>
        <v>43500</v>
      </c>
      <c r="Q108" s="24">
        <f>P108*G108</f>
        <v>1479000</v>
      </c>
      <c r="R108" s="27" t="s">
        <v>674</v>
      </c>
      <c r="S108" s="27"/>
    </row>
    <row r="109" spans="1:19" ht="22.5" x14ac:dyDescent="0.2">
      <c r="A109" s="7">
        <v>107</v>
      </c>
      <c r="B109" s="5" t="s">
        <v>266</v>
      </c>
      <c r="C109" s="5"/>
      <c r="D109" s="5"/>
      <c r="E109" s="51" t="s">
        <v>560</v>
      </c>
      <c r="F109" s="7" t="s">
        <v>10</v>
      </c>
      <c r="G109" s="7">
        <v>40</v>
      </c>
      <c r="H109" s="5" t="s">
        <v>267</v>
      </c>
      <c r="I109" s="19" t="s">
        <v>561</v>
      </c>
      <c r="K109" s="9"/>
      <c r="L109" s="24">
        <v>66000</v>
      </c>
      <c r="M109" s="25">
        <f t="shared" si="3"/>
        <v>66000</v>
      </c>
      <c r="N109" s="25">
        <f t="shared" si="4"/>
        <v>2640000</v>
      </c>
      <c r="O109" s="26">
        <v>1.5</v>
      </c>
      <c r="P109" s="24">
        <f>O109*M109</f>
        <v>99000</v>
      </c>
      <c r="Q109" s="24">
        <f>P109*G109</f>
        <v>3960000</v>
      </c>
      <c r="R109" s="27" t="s">
        <v>674</v>
      </c>
      <c r="S109" s="27"/>
    </row>
    <row r="110" spans="1:19" ht="22.5" x14ac:dyDescent="0.2">
      <c r="A110" s="7">
        <v>108</v>
      </c>
      <c r="B110" s="5" t="s">
        <v>268</v>
      </c>
      <c r="C110" s="5"/>
      <c r="D110" s="5"/>
      <c r="E110" s="51" t="s">
        <v>562</v>
      </c>
      <c r="F110" s="7" t="s">
        <v>10</v>
      </c>
      <c r="G110" s="7">
        <v>10</v>
      </c>
      <c r="H110" s="5"/>
      <c r="I110" s="19" t="s">
        <v>563</v>
      </c>
      <c r="K110" s="9"/>
      <c r="L110" s="24">
        <v>123000</v>
      </c>
      <c r="M110" s="25">
        <f t="shared" si="3"/>
        <v>123000</v>
      </c>
      <c r="N110" s="25">
        <f t="shared" si="4"/>
        <v>1230000</v>
      </c>
      <c r="O110" s="26">
        <v>1.5</v>
      </c>
      <c r="P110" s="24">
        <f>O110*M110</f>
        <v>184500</v>
      </c>
      <c r="Q110" s="24">
        <f>P110*G110</f>
        <v>1845000</v>
      </c>
      <c r="R110" s="27" t="s">
        <v>674</v>
      </c>
      <c r="S110" s="27"/>
    </row>
    <row r="111" spans="1:19" ht="33.75" x14ac:dyDescent="0.2">
      <c r="A111" s="7">
        <v>109</v>
      </c>
      <c r="B111" s="5" t="s">
        <v>269</v>
      </c>
      <c r="C111" s="5"/>
      <c r="D111" s="5"/>
      <c r="E111" s="51" t="s">
        <v>564</v>
      </c>
      <c r="F111" s="7" t="s">
        <v>10</v>
      </c>
      <c r="G111" s="7">
        <v>1</v>
      </c>
      <c r="H111" s="5" t="s">
        <v>270</v>
      </c>
      <c r="I111" s="19" t="s">
        <v>565</v>
      </c>
      <c r="J111" s="9">
        <v>0.1</v>
      </c>
      <c r="K111" s="9"/>
      <c r="L111" s="24">
        <f>12500*60</f>
        <v>750000</v>
      </c>
      <c r="M111" s="25">
        <f t="shared" si="3"/>
        <v>750000</v>
      </c>
      <c r="N111" s="25">
        <f t="shared" si="4"/>
        <v>750000</v>
      </c>
      <c r="O111" s="26">
        <v>1.5</v>
      </c>
      <c r="P111" s="24">
        <f>O111*M111</f>
        <v>1125000</v>
      </c>
      <c r="Q111" s="24">
        <f>P111*G111</f>
        <v>1125000</v>
      </c>
      <c r="R111" s="27" t="s">
        <v>674</v>
      </c>
      <c r="S111" s="27"/>
    </row>
    <row r="112" spans="1:19" ht="45" x14ac:dyDescent="0.2">
      <c r="A112" s="7">
        <v>110</v>
      </c>
      <c r="B112" s="5" t="s">
        <v>271</v>
      </c>
      <c r="C112" s="5"/>
      <c r="D112" s="5"/>
      <c r="E112" s="51" t="s">
        <v>566</v>
      </c>
      <c r="F112" s="7" t="s">
        <v>10</v>
      </c>
      <c r="G112" s="7">
        <v>1</v>
      </c>
      <c r="H112" s="5" t="s">
        <v>272</v>
      </c>
      <c r="I112" s="19" t="s">
        <v>567</v>
      </c>
      <c r="J112" s="14">
        <v>3.5</v>
      </c>
      <c r="K112" s="14">
        <f>12500*9*3.6</f>
        <v>405000</v>
      </c>
      <c r="L112" s="24">
        <f>12500*954</f>
        <v>11925000</v>
      </c>
      <c r="M112" s="25">
        <f t="shared" si="3"/>
        <v>12330000</v>
      </c>
      <c r="N112" s="25">
        <f t="shared" si="4"/>
        <v>12330000</v>
      </c>
      <c r="O112" s="26">
        <v>1.5</v>
      </c>
      <c r="P112" s="24">
        <f>O112*M112</f>
        <v>18495000</v>
      </c>
      <c r="Q112" s="24">
        <f>P112*G112</f>
        <v>18495000</v>
      </c>
      <c r="R112" s="27" t="s">
        <v>670</v>
      </c>
      <c r="S112" s="27"/>
    </row>
    <row r="113" spans="1:19" ht="22.5" x14ac:dyDescent="0.2">
      <c r="A113" s="7">
        <v>111</v>
      </c>
      <c r="B113" s="5" t="s">
        <v>273</v>
      </c>
      <c r="C113" s="5" t="s">
        <v>274</v>
      </c>
      <c r="D113" s="5">
        <v>1528230000</v>
      </c>
      <c r="E113" s="51" t="s">
        <v>568</v>
      </c>
      <c r="F113" s="7" t="s">
        <v>74</v>
      </c>
      <c r="G113" s="7">
        <v>6</v>
      </c>
      <c r="H113" s="5" t="s">
        <v>274</v>
      </c>
      <c r="I113" s="19" t="s">
        <v>657</v>
      </c>
      <c r="K113" s="9"/>
      <c r="L113" s="24">
        <f>12500*150</f>
        <v>1875000</v>
      </c>
      <c r="M113" s="25">
        <f t="shared" si="3"/>
        <v>1875000</v>
      </c>
      <c r="N113" s="25">
        <f t="shared" si="4"/>
        <v>11250000</v>
      </c>
      <c r="O113" s="26">
        <v>1.5</v>
      </c>
      <c r="P113" s="24">
        <f>O113*M113</f>
        <v>2812500</v>
      </c>
      <c r="Q113" s="24">
        <f>P113*G113</f>
        <v>16875000</v>
      </c>
      <c r="R113" s="27" t="s">
        <v>668</v>
      </c>
      <c r="S113" s="27"/>
    </row>
    <row r="114" spans="1:19" ht="22.5" x14ac:dyDescent="0.2">
      <c r="A114" s="7">
        <v>112</v>
      </c>
      <c r="B114" s="5" t="s">
        <v>276</v>
      </c>
      <c r="C114" s="5" t="s">
        <v>277</v>
      </c>
      <c r="D114" s="5" t="s">
        <v>278</v>
      </c>
      <c r="E114" s="51" t="s">
        <v>570</v>
      </c>
      <c r="F114" s="7" t="s">
        <v>74</v>
      </c>
      <c r="G114" s="7">
        <v>1</v>
      </c>
      <c r="H114" s="5" t="s">
        <v>277</v>
      </c>
      <c r="I114" s="19" t="s">
        <v>569</v>
      </c>
      <c r="K114" s="9"/>
      <c r="L114" s="24">
        <f>12500*128</f>
        <v>1600000</v>
      </c>
      <c r="M114" s="25">
        <f t="shared" si="3"/>
        <v>1600000</v>
      </c>
      <c r="N114" s="25">
        <f t="shared" si="4"/>
        <v>1600000</v>
      </c>
      <c r="O114" s="26">
        <v>1.5</v>
      </c>
      <c r="P114" s="24">
        <f>O114*M114</f>
        <v>2400000</v>
      </c>
      <c r="Q114" s="24">
        <f>P114*G114</f>
        <v>2400000</v>
      </c>
      <c r="R114" s="27" t="s">
        <v>668</v>
      </c>
      <c r="S114" s="27"/>
    </row>
    <row r="115" spans="1:19" ht="22.5" x14ac:dyDescent="0.2">
      <c r="A115" s="7">
        <v>113</v>
      </c>
      <c r="B115" s="5" t="s">
        <v>279</v>
      </c>
      <c r="C115" s="5" t="s">
        <v>280</v>
      </c>
      <c r="D115" s="5" t="s">
        <v>281</v>
      </c>
      <c r="E115" s="51" t="s">
        <v>571</v>
      </c>
      <c r="F115" s="7" t="s">
        <v>74</v>
      </c>
      <c r="G115" s="7">
        <v>4</v>
      </c>
      <c r="H115" s="5" t="s">
        <v>280</v>
      </c>
      <c r="I115" s="19" t="s">
        <v>572</v>
      </c>
      <c r="K115" s="9"/>
      <c r="L115" s="24">
        <f>12500*131</f>
        <v>1637500</v>
      </c>
      <c r="M115" s="25">
        <f t="shared" si="3"/>
        <v>1637500</v>
      </c>
      <c r="N115" s="25">
        <f t="shared" si="4"/>
        <v>6550000</v>
      </c>
      <c r="O115" s="26">
        <v>1.5</v>
      </c>
      <c r="P115" s="24">
        <f>O115*M115</f>
        <v>2456250</v>
      </c>
      <c r="Q115" s="24">
        <f>P115*G115</f>
        <v>9825000</v>
      </c>
      <c r="R115" s="27" t="s">
        <v>668</v>
      </c>
      <c r="S115" s="27"/>
    </row>
    <row r="116" spans="1:19" ht="22.5" x14ac:dyDescent="0.2">
      <c r="A116" s="7">
        <v>114</v>
      </c>
      <c r="B116" s="5" t="s">
        <v>282</v>
      </c>
      <c r="C116" s="5" t="s">
        <v>283</v>
      </c>
      <c r="D116" s="5">
        <v>2109000000</v>
      </c>
      <c r="E116" s="51" t="s">
        <v>573</v>
      </c>
      <c r="F116" s="7" t="s">
        <v>74</v>
      </c>
      <c r="G116" s="7">
        <v>4</v>
      </c>
      <c r="H116" s="5" t="s">
        <v>283</v>
      </c>
      <c r="I116" s="19" t="s">
        <v>575</v>
      </c>
      <c r="K116" s="9"/>
      <c r="L116" s="24">
        <f>12500*131</f>
        <v>1637500</v>
      </c>
      <c r="M116" s="25">
        <f t="shared" si="3"/>
        <v>1637500</v>
      </c>
      <c r="N116" s="25">
        <f t="shared" si="4"/>
        <v>6550000</v>
      </c>
      <c r="O116" s="26">
        <v>1.5</v>
      </c>
      <c r="P116" s="24">
        <f>O116*M116</f>
        <v>2456250</v>
      </c>
      <c r="Q116" s="24">
        <f>P116*G116</f>
        <v>9825000</v>
      </c>
      <c r="R116" s="27" t="s">
        <v>668</v>
      </c>
      <c r="S116" s="27"/>
    </row>
    <row r="117" spans="1:19" ht="22.5" x14ac:dyDescent="0.2">
      <c r="A117" s="7">
        <v>115</v>
      </c>
      <c r="B117" s="5" t="s">
        <v>285</v>
      </c>
      <c r="C117" s="5" t="s">
        <v>286</v>
      </c>
      <c r="D117" s="5">
        <v>2460740000</v>
      </c>
      <c r="E117" s="51" t="s">
        <v>574</v>
      </c>
      <c r="F117" s="7" t="s">
        <v>74</v>
      </c>
      <c r="G117" s="7">
        <v>6</v>
      </c>
      <c r="H117" s="5" t="s">
        <v>286</v>
      </c>
      <c r="I117" s="19" t="s">
        <v>657</v>
      </c>
      <c r="K117" s="9"/>
      <c r="L117" s="24">
        <f>12500*150</f>
        <v>1875000</v>
      </c>
      <c r="M117" s="25">
        <f t="shared" si="3"/>
        <v>1875000</v>
      </c>
      <c r="N117" s="25">
        <f t="shared" si="4"/>
        <v>11250000</v>
      </c>
      <c r="O117" s="26">
        <v>1.5</v>
      </c>
      <c r="P117" s="24">
        <f>O117*M117</f>
        <v>2812500</v>
      </c>
      <c r="Q117" s="24">
        <f>P117*G117</f>
        <v>16875000</v>
      </c>
      <c r="R117" s="27" t="s">
        <v>668</v>
      </c>
      <c r="S117" s="27"/>
    </row>
    <row r="118" spans="1:19" x14ac:dyDescent="0.2">
      <c r="A118" s="7">
        <v>116</v>
      </c>
      <c r="B118" s="5" t="s">
        <v>288</v>
      </c>
      <c r="C118" s="5" t="s">
        <v>289</v>
      </c>
      <c r="D118" s="5"/>
      <c r="E118" s="51" t="s">
        <v>576</v>
      </c>
      <c r="F118" s="7" t="s">
        <v>10</v>
      </c>
      <c r="G118" s="7">
        <v>450</v>
      </c>
      <c r="H118" s="5" t="s">
        <v>289</v>
      </c>
      <c r="I118" s="19" t="s">
        <v>577</v>
      </c>
      <c r="K118" s="9"/>
      <c r="L118" s="24">
        <f>12500*2</f>
        <v>25000</v>
      </c>
      <c r="M118" s="25">
        <f t="shared" si="3"/>
        <v>25000</v>
      </c>
      <c r="N118" s="25">
        <f t="shared" si="4"/>
        <v>11250000</v>
      </c>
      <c r="O118" s="26">
        <v>1.5</v>
      </c>
      <c r="P118" s="24">
        <f>O118*M118</f>
        <v>37500</v>
      </c>
      <c r="Q118" s="24">
        <f>P118*G118</f>
        <v>16875000</v>
      </c>
      <c r="R118" s="27" t="s">
        <v>668</v>
      </c>
      <c r="S118" s="27"/>
    </row>
    <row r="119" spans="1:19" ht="22.5" x14ac:dyDescent="0.2">
      <c r="A119" s="7">
        <v>117</v>
      </c>
      <c r="B119" s="5" t="s">
        <v>290</v>
      </c>
      <c r="C119" s="5" t="s">
        <v>196</v>
      </c>
      <c r="D119" s="5" t="s">
        <v>292</v>
      </c>
      <c r="E119" s="51" t="s">
        <v>578</v>
      </c>
      <c r="F119" s="7" t="s">
        <v>74</v>
      </c>
      <c r="G119" s="7">
        <v>1</v>
      </c>
      <c r="H119" s="5" t="s">
        <v>196</v>
      </c>
      <c r="I119" s="19" t="s">
        <v>658</v>
      </c>
      <c r="K119" s="9"/>
      <c r="L119" s="24">
        <f>12500*52</f>
        <v>650000</v>
      </c>
      <c r="M119" s="25">
        <f t="shared" si="3"/>
        <v>650000</v>
      </c>
      <c r="N119" s="25">
        <f t="shared" si="4"/>
        <v>650000</v>
      </c>
      <c r="O119" s="26">
        <v>1.5</v>
      </c>
      <c r="P119" s="24">
        <f>O119*M119</f>
        <v>975000</v>
      </c>
      <c r="Q119" s="24">
        <f>P119*G119</f>
        <v>975000</v>
      </c>
      <c r="R119" s="27" t="s">
        <v>668</v>
      </c>
      <c r="S119" s="27"/>
    </row>
    <row r="120" spans="1:19" x14ac:dyDescent="0.2">
      <c r="A120" s="7">
        <v>118</v>
      </c>
      <c r="B120" s="5" t="s">
        <v>293</v>
      </c>
      <c r="C120" s="5" t="s">
        <v>294</v>
      </c>
      <c r="D120" s="5"/>
      <c r="E120" s="51" t="s">
        <v>579</v>
      </c>
      <c r="F120" s="7" t="s">
        <v>10</v>
      </c>
      <c r="G120" s="7">
        <v>1300</v>
      </c>
      <c r="H120" s="5" t="s">
        <v>294</v>
      </c>
      <c r="I120" s="19" t="s">
        <v>580</v>
      </c>
      <c r="K120" s="9"/>
      <c r="L120" s="24">
        <v>32000</v>
      </c>
      <c r="M120" s="25">
        <f t="shared" si="3"/>
        <v>32000</v>
      </c>
      <c r="N120" s="25">
        <f t="shared" si="4"/>
        <v>41600000</v>
      </c>
      <c r="O120" s="26">
        <v>1.5</v>
      </c>
      <c r="P120" s="24">
        <f>O120*M120</f>
        <v>48000</v>
      </c>
      <c r="Q120" s="24">
        <f>P120*G120</f>
        <v>62400000</v>
      </c>
      <c r="R120" s="27" t="s">
        <v>674</v>
      </c>
      <c r="S120" s="27"/>
    </row>
    <row r="121" spans="1:19" ht="33.75" x14ac:dyDescent="0.2">
      <c r="A121" s="7">
        <v>119</v>
      </c>
      <c r="B121" s="5" t="s">
        <v>295</v>
      </c>
      <c r="C121" s="5" t="s">
        <v>296</v>
      </c>
      <c r="D121" s="5" t="s">
        <v>297</v>
      </c>
      <c r="E121" s="51" t="s">
        <v>581</v>
      </c>
      <c r="F121" s="7" t="s">
        <v>10</v>
      </c>
      <c r="G121" s="7">
        <v>2</v>
      </c>
      <c r="H121" s="5" t="s">
        <v>298</v>
      </c>
      <c r="I121" s="19" t="s">
        <v>582</v>
      </c>
      <c r="K121" s="9"/>
      <c r="L121" s="24">
        <f t="shared" ref="L121" si="5">12500*50</f>
        <v>625000</v>
      </c>
      <c r="M121" s="25">
        <f t="shared" si="3"/>
        <v>625000</v>
      </c>
      <c r="N121" s="25">
        <f t="shared" si="4"/>
        <v>1250000</v>
      </c>
      <c r="O121" s="26">
        <v>1.5</v>
      </c>
      <c r="P121" s="24">
        <f>O121*M121</f>
        <v>937500</v>
      </c>
      <c r="Q121" s="24">
        <f>P121*G121</f>
        <v>1875000</v>
      </c>
      <c r="R121" s="27" t="s">
        <v>674</v>
      </c>
      <c r="S121" s="27"/>
    </row>
    <row r="122" spans="1:19" ht="67.5" x14ac:dyDescent="0.2">
      <c r="A122" s="7">
        <v>120</v>
      </c>
      <c r="B122" s="5" t="s">
        <v>299</v>
      </c>
      <c r="C122" s="5" t="s">
        <v>300</v>
      </c>
      <c r="D122" s="5" t="s">
        <v>301</v>
      </c>
      <c r="E122" s="51" t="s">
        <v>583</v>
      </c>
      <c r="F122" s="7" t="s">
        <v>10</v>
      </c>
      <c r="G122" s="7">
        <v>122</v>
      </c>
      <c r="H122" s="5" t="s">
        <v>300</v>
      </c>
      <c r="I122" s="19" t="s">
        <v>584</v>
      </c>
      <c r="K122" s="9"/>
      <c r="L122" s="24">
        <f>12500*232</f>
        <v>2900000</v>
      </c>
      <c r="M122" s="25">
        <f t="shared" si="3"/>
        <v>2900000</v>
      </c>
      <c r="N122" s="25">
        <f t="shared" si="4"/>
        <v>353800000</v>
      </c>
      <c r="O122" s="26">
        <v>1.5</v>
      </c>
      <c r="P122" s="24">
        <f>O122*M122</f>
        <v>4350000</v>
      </c>
      <c r="Q122" s="24">
        <f>P122*G122</f>
        <v>530700000</v>
      </c>
      <c r="R122" s="27" t="s">
        <v>671</v>
      </c>
      <c r="S122" s="27"/>
    </row>
    <row r="123" spans="1:19" s="65" customFormat="1" ht="33.75" x14ac:dyDescent="0.2">
      <c r="A123" s="58">
        <v>121</v>
      </c>
      <c r="B123" s="59" t="s">
        <v>302</v>
      </c>
      <c r="C123" s="59"/>
      <c r="D123" s="59"/>
      <c r="E123" s="59"/>
      <c r="F123" s="58" t="s">
        <v>10</v>
      </c>
      <c r="G123" s="58">
        <v>268</v>
      </c>
      <c r="H123" s="59" t="s">
        <v>303</v>
      </c>
      <c r="I123" s="60"/>
      <c r="J123" s="61"/>
      <c r="K123" s="61"/>
      <c r="L123" s="62"/>
      <c r="M123" s="63"/>
      <c r="N123" s="63">
        <f t="shared" si="4"/>
        <v>0</v>
      </c>
      <c r="O123" s="61">
        <v>1.5</v>
      </c>
      <c r="P123" s="62">
        <f>O123*M123</f>
        <v>0</v>
      </c>
      <c r="Q123" s="62">
        <f>P123*G123</f>
        <v>0</v>
      </c>
      <c r="R123" s="64"/>
      <c r="S123" s="64" t="s">
        <v>667</v>
      </c>
    </row>
    <row r="124" spans="1:19" ht="33.75" x14ac:dyDescent="0.2">
      <c r="A124" s="7">
        <v>122</v>
      </c>
      <c r="B124" s="5" t="s">
        <v>304</v>
      </c>
      <c r="C124" s="5"/>
      <c r="D124" s="5" t="s">
        <v>305</v>
      </c>
      <c r="E124" s="51" t="s">
        <v>585</v>
      </c>
      <c r="F124" s="7" t="s">
        <v>10</v>
      </c>
      <c r="G124" s="7">
        <v>17</v>
      </c>
      <c r="H124" s="5" t="s">
        <v>306</v>
      </c>
      <c r="I124" s="19" t="s">
        <v>586</v>
      </c>
      <c r="K124" s="9"/>
      <c r="L124" s="24">
        <f>12500*270</f>
        <v>3375000</v>
      </c>
      <c r="M124" s="25">
        <f t="shared" si="3"/>
        <v>3375000</v>
      </c>
      <c r="N124" s="25">
        <f t="shared" si="4"/>
        <v>57375000</v>
      </c>
      <c r="O124" s="26">
        <v>1.5</v>
      </c>
      <c r="P124" s="24">
        <f>O124*M124</f>
        <v>5062500</v>
      </c>
      <c r="Q124" s="24">
        <f>P124*G124</f>
        <v>86062500</v>
      </c>
      <c r="R124" s="27" t="s">
        <v>668</v>
      </c>
      <c r="S124" s="27"/>
    </row>
    <row r="125" spans="1:19" ht="56.25" x14ac:dyDescent="0.2">
      <c r="A125" s="7">
        <v>123</v>
      </c>
      <c r="B125" s="5" t="s">
        <v>307</v>
      </c>
      <c r="C125" s="5" t="s">
        <v>308</v>
      </c>
      <c r="D125" s="5" t="s">
        <v>309</v>
      </c>
      <c r="E125" s="51" t="s">
        <v>587</v>
      </c>
      <c r="F125" s="7" t="s">
        <v>10</v>
      </c>
      <c r="G125" s="7">
        <v>1</v>
      </c>
      <c r="H125" s="5" t="s">
        <v>310</v>
      </c>
      <c r="I125" s="19" t="s">
        <v>588</v>
      </c>
      <c r="K125" s="9"/>
      <c r="L125" s="24">
        <f>12500*1952</f>
        <v>24400000</v>
      </c>
      <c r="M125" s="25">
        <f t="shared" si="3"/>
        <v>24400000</v>
      </c>
      <c r="N125" s="25">
        <f t="shared" si="4"/>
        <v>24400000</v>
      </c>
      <c r="O125" s="26">
        <v>1.5</v>
      </c>
      <c r="P125" s="24">
        <f>O125*M125</f>
        <v>36600000</v>
      </c>
      <c r="Q125" s="24">
        <f>P125*G125</f>
        <v>36600000</v>
      </c>
      <c r="R125" s="27" t="s">
        <v>668</v>
      </c>
      <c r="S125" s="27"/>
    </row>
    <row r="126" spans="1:19" ht="22.5" x14ac:dyDescent="0.2">
      <c r="A126" s="7">
        <v>124</v>
      </c>
      <c r="B126" s="5" t="s">
        <v>311</v>
      </c>
      <c r="C126" s="5" t="s">
        <v>312</v>
      </c>
      <c r="D126" s="5" t="s">
        <v>313</v>
      </c>
      <c r="E126" s="51" t="s">
        <v>589</v>
      </c>
      <c r="F126" s="7" t="s">
        <v>74</v>
      </c>
      <c r="G126" s="7">
        <v>1</v>
      </c>
      <c r="H126" s="5" t="s">
        <v>312</v>
      </c>
      <c r="I126" s="19" t="s">
        <v>659</v>
      </c>
      <c r="K126" s="9"/>
      <c r="L126" s="24">
        <f>12500*101</f>
        <v>1262500</v>
      </c>
      <c r="M126" s="25">
        <f t="shared" si="3"/>
        <v>1262500</v>
      </c>
      <c r="N126" s="25">
        <f t="shared" si="4"/>
        <v>1262500</v>
      </c>
      <c r="O126" s="26">
        <v>1.5</v>
      </c>
      <c r="P126" s="24">
        <f>O126*M126</f>
        <v>1893750</v>
      </c>
      <c r="Q126" s="24">
        <f>P126*G126</f>
        <v>1893750</v>
      </c>
      <c r="R126" s="27" t="s">
        <v>668</v>
      </c>
      <c r="S126" s="27"/>
    </row>
    <row r="127" spans="1:19" ht="22.5" x14ac:dyDescent="0.2">
      <c r="A127" s="7">
        <v>125</v>
      </c>
      <c r="B127" s="5" t="s">
        <v>314</v>
      </c>
      <c r="C127" s="5" t="s">
        <v>312</v>
      </c>
      <c r="D127" s="5" t="s">
        <v>315</v>
      </c>
      <c r="E127" s="51" t="s">
        <v>590</v>
      </c>
      <c r="F127" s="7" t="s">
        <v>74</v>
      </c>
      <c r="G127" s="7">
        <v>1</v>
      </c>
      <c r="H127" s="5" t="s">
        <v>312</v>
      </c>
      <c r="I127" s="19" t="s">
        <v>591</v>
      </c>
      <c r="K127" s="9"/>
      <c r="L127" s="24">
        <f>12500*49</f>
        <v>612500</v>
      </c>
      <c r="M127" s="25">
        <f t="shared" si="3"/>
        <v>612500</v>
      </c>
      <c r="N127" s="25">
        <f t="shared" si="4"/>
        <v>612500</v>
      </c>
      <c r="O127" s="26">
        <v>1.5</v>
      </c>
      <c r="P127" s="24">
        <f>O127*M127</f>
        <v>918750</v>
      </c>
      <c r="Q127" s="24">
        <f>P127*G127</f>
        <v>918750</v>
      </c>
      <c r="R127" s="27" t="s">
        <v>668</v>
      </c>
      <c r="S127" s="27"/>
    </row>
    <row r="128" spans="1:19" ht="22.5" x14ac:dyDescent="0.2">
      <c r="A128" s="7">
        <v>126</v>
      </c>
      <c r="B128" s="5" t="s">
        <v>316</v>
      </c>
      <c r="C128" s="5" t="s">
        <v>317</v>
      </c>
      <c r="D128" s="5" t="s">
        <v>318</v>
      </c>
      <c r="E128" s="51">
        <v>2122910000</v>
      </c>
      <c r="F128" s="7" t="s">
        <v>74</v>
      </c>
      <c r="G128" s="7">
        <v>1</v>
      </c>
      <c r="H128" s="5" t="s">
        <v>317</v>
      </c>
      <c r="I128" s="19" t="s">
        <v>660</v>
      </c>
      <c r="K128" s="9"/>
      <c r="L128" s="24">
        <f>12500*56</f>
        <v>700000</v>
      </c>
      <c r="M128" s="25">
        <f t="shared" si="3"/>
        <v>700000</v>
      </c>
      <c r="N128" s="25">
        <f t="shared" si="4"/>
        <v>700000</v>
      </c>
      <c r="O128" s="26">
        <v>1.5</v>
      </c>
      <c r="P128" s="24">
        <f>O128*M128</f>
        <v>1050000</v>
      </c>
      <c r="Q128" s="24">
        <f>P128*G128</f>
        <v>1050000</v>
      </c>
      <c r="R128" s="27" t="s">
        <v>668</v>
      </c>
      <c r="S128" s="27"/>
    </row>
    <row r="129" spans="1:20" ht="56.25" x14ac:dyDescent="0.2">
      <c r="A129" s="7">
        <v>127</v>
      </c>
      <c r="B129" s="5" t="s">
        <v>319</v>
      </c>
      <c r="C129" s="5" t="s">
        <v>320</v>
      </c>
      <c r="D129" s="5"/>
      <c r="E129" s="51" t="s">
        <v>592</v>
      </c>
      <c r="F129" s="7" t="s">
        <v>10</v>
      </c>
      <c r="G129" s="7">
        <v>550</v>
      </c>
      <c r="H129" s="5" t="s">
        <v>321</v>
      </c>
      <c r="I129" s="19" t="s">
        <v>595</v>
      </c>
      <c r="K129" s="9"/>
      <c r="L129" s="24">
        <f>12500*20</f>
        <v>250000</v>
      </c>
      <c r="M129" s="25">
        <f t="shared" si="3"/>
        <v>250000</v>
      </c>
      <c r="N129" s="25">
        <f t="shared" si="4"/>
        <v>137500000</v>
      </c>
      <c r="O129" s="26">
        <v>1.5</v>
      </c>
      <c r="P129" s="24">
        <f>O129*M129</f>
        <v>375000</v>
      </c>
      <c r="Q129" s="24">
        <f>P129*G129</f>
        <v>206250000</v>
      </c>
      <c r="R129" s="27" t="s">
        <v>672</v>
      </c>
      <c r="S129" s="27"/>
    </row>
    <row r="130" spans="1:20" ht="56.25" x14ac:dyDescent="0.2">
      <c r="A130" s="7">
        <v>128</v>
      </c>
      <c r="B130" s="5" t="s">
        <v>322</v>
      </c>
      <c r="C130" s="5" t="s">
        <v>323</v>
      </c>
      <c r="D130" s="5"/>
      <c r="E130" s="51" t="s">
        <v>594</v>
      </c>
      <c r="F130" s="7" t="s">
        <v>10</v>
      </c>
      <c r="G130" s="7">
        <v>730</v>
      </c>
      <c r="H130" s="5" t="s">
        <v>324</v>
      </c>
      <c r="I130" s="19" t="s">
        <v>593</v>
      </c>
      <c r="K130" s="9"/>
      <c r="L130" s="24">
        <f>12500*18</f>
        <v>225000</v>
      </c>
      <c r="M130" s="25">
        <f t="shared" si="3"/>
        <v>225000</v>
      </c>
      <c r="N130" s="25">
        <f t="shared" si="4"/>
        <v>164250000</v>
      </c>
      <c r="O130" s="26">
        <v>1.5</v>
      </c>
      <c r="P130" s="24">
        <f>O130*M130</f>
        <v>337500</v>
      </c>
      <c r="Q130" s="24">
        <f>P130*G130</f>
        <v>246375000</v>
      </c>
      <c r="R130" s="27" t="s">
        <v>672</v>
      </c>
      <c r="S130" s="27"/>
    </row>
    <row r="131" spans="1:20" ht="22.5" x14ac:dyDescent="0.2">
      <c r="A131" s="7">
        <v>129</v>
      </c>
      <c r="B131" s="5" t="s">
        <v>325</v>
      </c>
      <c r="C131" s="5"/>
      <c r="D131" s="5">
        <v>2080420000</v>
      </c>
      <c r="E131" s="51" t="s">
        <v>596</v>
      </c>
      <c r="F131" s="7" t="s">
        <v>74</v>
      </c>
      <c r="G131" s="7">
        <v>50</v>
      </c>
      <c r="H131" s="5" t="s">
        <v>327</v>
      </c>
      <c r="I131" s="19" t="s">
        <v>597</v>
      </c>
      <c r="K131" s="9"/>
      <c r="L131" s="24">
        <f>12500*40</f>
        <v>500000</v>
      </c>
      <c r="M131" s="25">
        <f t="shared" si="3"/>
        <v>500000</v>
      </c>
      <c r="N131" s="25">
        <f t="shared" si="4"/>
        <v>25000000</v>
      </c>
      <c r="O131" s="26">
        <v>1.5</v>
      </c>
      <c r="P131" s="24">
        <f>O131*M131</f>
        <v>750000</v>
      </c>
      <c r="Q131" s="24">
        <f>P131*G131</f>
        <v>37500000</v>
      </c>
      <c r="R131" s="27" t="s">
        <v>672</v>
      </c>
      <c r="S131" s="27"/>
    </row>
    <row r="132" spans="1:20" ht="67.5" x14ac:dyDescent="0.2">
      <c r="A132" s="7">
        <v>130</v>
      </c>
      <c r="B132" s="5" t="s">
        <v>328</v>
      </c>
      <c r="C132" s="5" t="s">
        <v>329</v>
      </c>
      <c r="D132" s="5"/>
      <c r="E132" s="51" t="s">
        <v>600</v>
      </c>
      <c r="F132" s="7" t="s">
        <v>10</v>
      </c>
      <c r="G132" s="7">
        <v>10</v>
      </c>
      <c r="H132" s="5" t="s">
        <v>330</v>
      </c>
      <c r="I132" s="19" t="s">
        <v>601</v>
      </c>
      <c r="K132" s="9"/>
      <c r="L132" s="24">
        <f>12500*22</f>
        <v>275000</v>
      </c>
      <c r="M132" s="25">
        <f t="shared" ref="M132:M158" si="6">K132+L132</f>
        <v>275000</v>
      </c>
      <c r="N132" s="25">
        <f t="shared" ref="N132:N158" si="7">M132*G132</f>
        <v>2750000</v>
      </c>
      <c r="O132" s="26">
        <v>1.5</v>
      </c>
      <c r="P132" s="24">
        <f>O132*M132</f>
        <v>412500</v>
      </c>
      <c r="Q132" s="24">
        <f>P132*G132</f>
        <v>4125000</v>
      </c>
      <c r="R132" s="27" t="s">
        <v>672</v>
      </c>
      <c r="S132" s="27"/>
    </row>
    <row r="133" spans="1:20" ht="45" x14ac:dyDescent="0.2">
      <c r="A133" s="7">
        <v>131</v>
      </c>
      <c r="B133" s="5" t="s">
        <v>331</v>
      </c>
      <c r="C133" s="5"/>
      <c r="D133" s="5"/>
      <c r="E133" s="51" t="s">
        <v>598</v>
      </c>
      <c r="F133" s="7" t="s">
        <v>10</v>
      </c>
      <c r="G133" s="7">
        <v>142</v>
      </c>
      <c r="H133" s="5" t="s">
        <v>332</v>
      </c>
      <c r="I133" s="19" t="s">
        <v>599</v>
      </c>
      <c r="K133" s="9"/>
      <c r="L133" s="24">
        <f>12500*13</f>
        <v>162500</v>
      </c>
      <c r="M133" s="25">
        <f t="shared" si="6"/>
        <v>162500</v>
      </c>
      <c r="N133" s="25">
        <f t="shared" si="7"/>
        <v>23075000</v>
      </c>
      <c r="O133" s="26">
        <v>1.5</v>
      </c>
      <c r="P133" s="24">
        <f>O133*M133</f>
        <v>243750</v>
      </c>
      <c r="Q133" s="24">
        <f>P133*G133</f>
        <v>34612500</v>
      </c>
      <c r="R133" s="27" t="s">
        <v>672</v>
      </c>
      <c r="S133" s="27"/>
    </row>
    <row r="134" spans="1:20" ht="33.75" x14ac:dyDescent="0.2">
      <c r="A134" s="7">
        <v>132</v>
      </c>
      <c r="B134" s="5" t="s">
        <v>333</v>
      </c>
      <c r="C134" s="5"/>
      <c r="D134" s="5"/>
      <c r="E134" s="51" t="s">
        <v>602</v>
      </c>
      <c r="F134" s="7" t="s">
        <v>10</v>
      </c>
      <c r="G134" s="7">
        <v>272</v>
      </c>
      <c r="H134" s="5" t="s">
        <v>334</v>
      </c>
      <c r="I134" s="19" t="s">
        <v>603</v>
      </c>
      <c r="K134" s="9"/>
      <c r="L134" s="24">
        <f>12500*25</f>
        <v>312500</v>
      </c>
      <c r="M134" s="25">
        <f t="shared" si="6"/>
        <v>312500</v>
      </c>
      <c r="N134" s="25">
        <f t="shared" si="7"/>
        <v>85000000</v>
      </c>
      <c r="O134" s="26">
        <v>1.5</v>
      </c>
      <c r="P134" s="24">
        <f>O134*M134</f>
        <v>468750</v>
      </c>
      <c r="Q134" s="24">
        <f>P134*G134</f>
        <v>127500000</v>
      </c>
      <c r="R134" s="27" t="s">
        <v>672</v>
      </c>
      <c r="S134" s="27"/>
    </row>
    <row r="135" spans="1:20" ht="33.75" x14ac:dyDescent="0.2">
      <c r="A135" s="7">
        <v>133</v>
      </c>
      <c r="B135" s="5" t="s">
        <v>335</v>
      </c>
      <c r="C135" s="5" t="s">
        <v>336</v>
      </c>
      <c r="D135" s="5"/>
      <c r="E135" s="51" t="s">
        <v>604</v>
      </c>
      <c r="F135" s="7" t="s">
        <v>10</v>
      </c>
      <c r="G135" s="7">
        <v>26</v>
      </c>
      <c r="H135" s="5" t="s">
        <v>336</v>
      </c>
      <c r="I135" s="19">
        <v>7</v>
      </c>
      <c r="J135" s="9" t="s">
        <v>605</v>
      </c>
      <c r="K135" s="9"/>
      <c r="L135" s="24">
        <f>12500*7</f>
        <v>87500</v>
      </c>
      <c r="M135" s="25">
        <f t="shared" si="6"/>
        <v>87500</v>
      </c>
      <c r="N135" s="25">
        <f t="shared" si="7"/>
        <v>2275000</v>
      </c>
      <c r="O135" s="26">
        <v>1.5</v>
      </c>
      <c r="P135" s="24">
        <f>O135*M135</f>
        <v>131250</v>
      </c>
      <c r="Q135" s="24">
        <f>P135*G135</f>
        <v>3412500</v>
      </c>
      <c r="R135" s="27" t="s">
        <v>672</v>
      </c>
      <c r="S135" s="27"/>
    </row>
    <row r="136" spans="1:20" ht="22.5" x14ac:dyDescent="0.2">
      <c r="A136" s="7">
        <v>134</v>
      </c>
      <c r="B136" s="5" t="s">
        <v>337</v>
      </c>
      <c r="C136" s="5" t="s">
        <v>338</v>
      </c>
      <c r="D136" s="5" t="s">
        <v>339</v>
      </c>
      <c r="E136" s="51" t="s">
        <v>606</v>
      </c>
      <c r="F136" s="7" t="s">
        <v>10</v>
      </c>
      <c r="G136" s="7">
        <v>26</v>
      </c>
      <c r="H136" s="5" t="s">
        <v>338</v>
      </c>
      <c r="I136" s="19" t="s">
        <v>607</v>
      </c>
      <c r="K136" s="9"/>
      <c r="L136" s="24">
        <v>37000</v>
      </c>
      <c r="M136" s="25">
        <f t="shared" si="6"/>
        <v>37000</v>
      </c>
      <c r="N136" s="25">
        <f t="shared" si="7"/>
        <v>962000</v>
      </c>
      <c r="O136" s="26">
        <v>1.5</v>
      </c>
      <c r="P136" s="24">
        <f>O136*M136</f>
        <v>55500</v>
      </c>
      <c r="Q136" s="24">
        <f>P136*G136</f>
        <v>1443000</v>
      </c>
      <c r="R136" s="27" t="s">
        <v>672</v>
      </c>
      <c r="S136" s="27"/>
    </row>
    <row r="137" spans="1:20" ht="22.5" x14ac:dyDescent="0.2">
      <c r="A137" s="7">
        <v>135</v>
      </c>
      <c r="B137" s="5" t="s">
        <v>340</v>
      </c>
      <c r="C137" s="5" t="s">
        <v>341</v>
      </c>
      <c r="D137" s="5" t="s">
        <v>342</v>
      </c>
      <c r="E137" s="51" t="s">
        <v>341</v>
      </c>
      <c r="F137" s="7" t="s">
        <v>10</v>
      </c>
      <c r="G137" s="7">
        <v>300</v>
      </c>
      <c r="H137" s="5" t="s">
        <v>341</v>
      </c>
      <c r="I137" s="19" t="s">
        <v>608</v>
      </c>
      <c r="K137" s="9"/>
      <c r="L137" s="24">
        <v>4800</v>
      </c>
      <c r="M137" s="25">
        <f t="shared" si="6"/>
        <v>4800</v>
      </c>
      <c r="N137" s="25">
        <f t="shared" si="7"/>
        <v>1440000</v>
      </c>
      <c r="O137" s="26">
        <v>1.5</v>
      </c>
      <c r="P137" s="24">
        <f>O137*M137</f>
        <v>7200</v>
      </c>
      <c r="Q137" s="24">
        <f>P137*G137</f>
        <v>2160000</v>
      </c>
      <c r="R137" s="27" t="s">
        <v>672</v>
      </c>
      <c r="S137" s="27"/>
    </row>
    <row r="138" spans="1:20" s="65" customFormat="1" x14ac:dyDescent="0.2">
      <c r="A138" s="58">
        <v>136</v>
      </c>
      <c r="B138" s="59" t="s">
        <v>343</v>
      </c>
      <c r="C138" s="59"/>
      <c r="D138" s="59"/>
      <c r="E138" s="59"/>
      <c r="F138" s="58" t="s">
        <v>10</v>
      </c>
      <c r="G138" s="58">
        <v>1500</v>
      </c>
      <c r="H138" s="59"/>
      <c r="I138" s="60"/>
      <c r="J138" s="61"/>
      <c r="K138" s="61"/>
      <c r="L138" s="62"/>
      <c r="M138" s="63"/>
      <c r="N138" s="63"/>
      <c r="O138" s="61">
        <v>1.5</v>
      </c>
      <c r="P138" s="62">
        <f>O138*M138</f>
        <v>0</v>
      </c>
      <c r="Q138" s="62">
        <f>P138*G138</f>
        <v>0</v>
      </c>
      <c r="R138" s="64"/>
      <c r="S138" s="64" t="s">
        <v>667</v>
      </c>
    </row>
    <row r="139" spans="1:20" s="65" customFormat="1" x14ac:dyDescent="0.2">
      <c r="A139" s="58">
        <v>137</v>
      </c>
      <c r="B139" s="59" t="s">
        <v>344</v>
      </c>
      <c r="C139" s="59"/>
      <c r="D139" s="59"/>
      <c r="E139" s="59"/>
      <c r="F139" s="58" t="s">
        <v>10</v>
      </c>
      <c r="G139" s="58">
        <v>1240</v>
      </c>
      <c r="H139" s="59"/>
      <c r="I139" s="60"/>
      <c r="J139" s="61"/>
      <c r="K139" s="61"/>
      <c r="L139" s="62"/>
      <c r="M139" s="63"/>
      <c r="N139" s="63"/>
      <c r="O139" s="61">
        <v>1.5</v>
      </c>
      <c r="P139" s="62">
        <f>O139*M139</f>
        <v>0</v>
      </c>
      <c r="Q139" s="62">
        <f>P139*G139</f>
        <v>0</v>
      </c>
      <c r="R139" s="64"/>
      <c r="S139" s="64" t="s">
        <v>667</v>
      </c>
    </row>
    <row r="140" spans="1:20" ht="33.75" x14ac:dyDescent="0.2">
      <c r="A140" s="7">
        <v>138</v>
      </c>
      <c r="B140" s="5" t="s">
        <v>345</v>
      </c>
      <c r="C140" s="5" t="s">
        <v>346</v>
      </c>
      <c r="D140" s="5"/>
      <c r="E140" s="51" t="s">
        <v>609</v>
      </c>
      <c r="F140" s="7" t="s">
        <v>10</v>
      </c>
      <c r="G140" s="7">
        <v>26</v>
      </c>
      <c r="H140" s="5" t="s">
        <v>346</v>
      </c>
      <c r="I140" s="19" t="s">
        <v>610</v>
      </c>
      <c r="K140" s="9"/>
      <c r="L140" s="24">
        <f>12500*212</f>
        <v>2650000</v>
      </c>
      <c r="M140" s="25">
        <f t="shared" si="6"/>
        <v>2650000</v>
      </c>
      <c r="N140" s="25">
        <f t="shared" si="7"/>
        <v>68900000</v>
      </c>
      <c r="O140" s="26">
        <v>1.5</v>
      </c>
      <c r="P140" s="24">
        <f>O140*M140</f>
        <v>3975000</v>
      </c>
      <c r="Q140" s="24">
        <f>P140*G140</f>
        <v>103350000</v>
      </c>
      <c r="R140" s="27" t="s">
        <v>672</v>
      </c>
      <c r="S140" s="27"/>
    </row>
    <row r="141" spans="1:20" ht="180" x14ac:dyDescent="0.2">
      <c r="A141" s="7">
        <v>139</v>
      </c>
      <c r="B141" s="5" t="s">
        <v>347</v>
      </c>
      <c r="C141" s="5" t="s">
        <v>348</v>
      </c>
      <c r="D141" s="5" t="s">
        <v>349</v>
      </c>
      <c r="E141" s="51" t="s">
        <v>611</v>
      </c>
      <c r="F141" s="7" t="s">
        <v>74</v>
      </c>
      <c r="G141" s="7">
        <v>2</v>
      </c>
      <c r="H141" s="5" t="s">
        <v>350</v>
      </c>
      <c r="I141" s="19" t="s">
        <v>612</v>
      </c>
      <c r="J141" s="14">
        <v>25</v>
      </c>
      <c r="K141" s="14">
        <f>12500*25*9</f>
        <v>2812500</v>
      </c>
      <c r="L141" s="24">
        <f>12500*5130</f>
        <v>64125000</v>
      </c>
      <c r="M141" s="25">
        <f t="shared" si="6"/>
        <v>66937500</v>
      </c>
      <c r="N141" s="25">
        <f t="shared" si="7"/>
        <v>133875000</v>
      </c>
      <c r="O141" s="26">
        <v>1.5</v>
      </c>
      <c r="P141" s="24">
        <f>O141*M141</f>
        <v>100406250</v>
      </c>
      <c r="Q141" s="24">
        <f>P141*G141</f>
        <v>200812500</v>
      </c>
      <c r="R141" s="27" t="s">
        <v>672</v>
      </c>
      <c r="S141" s="27"/>
    </row>
    <row r="142" spans="1:20" ht="146.25" x14ac:dyDescent="0.2">
      <c r="A142" s="7">
        <v>140</v>
      </c>
      <c r="B142" s="5" t="s">
        <v>351</v>
      </c>
      <c r="C142" s="5" t="s">
        <v>353</v>
      </c>
      <c r="D142" s="5" t="s">
        <v>398</v>
      </c>
      <c r="E142" s="51" t="s">
        <v>613</v>
      </c>
      <c r="F142" s="7" t="s">
        <v>74</v>
      </c>
      <c r="G142" s="7">
        <v>5</v>
      </c>
      <c r="H142" s="5" t="s">
        <v>354</v>
      </c>
      <c r="I142" s="19" t="s">
        <v>614</v>
      </c>
      <c r="J142" s="9">
        <v>6</v>
      </c>
      <c r="K142" s="9"/>
      <c r="L142" s="24">
        <f>12500*1300</f>
        <v>16250000</v>
      </c>
      <c r="M142" s="25">
        <f t="shared" si="6"/>
        <v>16250000</v>
      </c>
      <c r="N142" s="25">
        <f t="shared" si="7"/>
        <v>81250000</v>
      </c>
      <c r="O142" s="26">
        <v>1.5</v>
      </c>
      <c r="P142" s="24">
        <f>O142*M142</f>
        <v>24375000</v>
      </c>
      <c r="Q142" s="24">
        <f>P142*G142</f>
        <v>121875000</v>
      </c>
      <c r="R142" s="27" t="s">
        <v>672</v>
      </c>
      <c r="S142" s="27"/>
    </row>
    <row r="143" spans="1:20" ht="146.25" x14ac:dyDescent="0.2">
      <c r="A143" s="7">
        <v>141</v>
      </c>
      <c r="B143" s="5" t="s">
        <v>351</v>
      </c>
      <c r="C143" s="5" t="s">
        <v>353</v>
      </c>
      <c r="D143" s="5"/>
      <c r="E143" s="51" t="s">
        <v>615</v>
      </c>
      <c r="F143" s="7" t="s">
        <v>74</v>
      </c>
      <c r="G143" s="7">
        <v>5</v>
      </c>
      <c r="H143" s="5" t="s">
        <v>355</v>
      </c>
      <c r="I143" s="19" t="s">
        <v>616</v>
      </c>
      <c r="J143" s="9">
        <v>6</v>
      </c>
      <c r="K143" s="9">
        <f>12500*9*6</f>
        <v>675000</v>
      </c>
      <c r="L143" s="24">
        <f>12500*700</f>
        <v>8750000</v>
      </c>
      <c r="M143" s="25">
        <f t="shared" si="6"/>
        <v>9425000</v>
      </c>
      <c r="N143" s="25">
        <f t="shared" si="7"/>
        <v>47125000</v>
      </c>
      <c r="O143" s="26">
        <v>1.5</v>
      </c>
      <c r="P143" s="24">
        <f>O143*M143</f>
        <v>14137500</v>
      </c>
      <c r="Q143" s="24">
        <f>P143*G143</f>
        <v>70687500</v>
      </c>
      <c r="R143" s="27" t="s">
        <v>672</v>
      </c>
      <c r="S143" s="27"/>
    </row>
    <row r="144" spans="1:20" s="29" customFormat="1" ht="56.25" x14ac:dyDescent="0.2">
      <c r="A144" s="58">
        <v>142</v>
      </c>
      <c r="B144" s="59" t="s">
        <v>356</v>
      </c>
      <c r="C144" s="59"/>
      <c r="D144" s="59"/>
      <c r="E144" s="51"/>
      <c r="F144" s="58" t="s">
        <v>10</v>
      </c>
      <c r="G144" s="58">
        <v>2</v>
      </c>
      <c r="H144" s="59" t="s">
        <v>357</v>
      </c>
      <c r="I144" s="60"/>
      <c r="J144" s="61"/>
      <c r="K144" s="61"/>
      <c r="L144" s="62"/>
      <c r="M144" s="63"/>
      <c r="N144" s="63">
        <f t="shared" si="7"/>
        <v>0</v>
      </c>
      <c r="O144" s="61">
        <v>1.5</v>
      </c>
      <c r="P144" s="62">
        <f>O144*M144</f>
        <v>0</v>
      </c>
      <c r="Q144" s="62">
        <f>P144*G144</f>
        <v>0</v>
      </c>
      <c r="R144" s="64"/>
      <c r="S144" s="64" t="s">
        <v>667</v>
      </c>
      <c r="T144" s="65"/>
    </row>
    <row r="145" spans="1:19" ht="33.75" x14ac:dyDescent="0.2">
      <c r="A145" s="7">
        <v>143</v>
      </c>
      <c r="B145" s="5" t="s">
        <v>358</v>
      </c>
      <c r="C145" s="5" t="s">
        <v>359</v>
      </c>
      <c r="D145" s="5" t="s">
        <v>360</v>
      </c>
      <c r="E145" s="51" t="s">
        <v>661</v>
      </c>
      <c r="F145" s="7" t="s">
        <v>74</v>
      </c>
      <c r="G145" s="7">
        <v>750</v>
      </c>
      <c r="H145" s="5" t="s">
        <v>359</v>
      </c>
      <c r="I145" s="19" t="s">
        <v>617</v>
      </c>
      <c r="K145" s="9"/>
      <c r="L145" s="24">
        <f>12500*2.8</f>
        <v>35000</v>
      </c>
      <c r="M145" s="25">
        <f t="shared" si="6"/>
        <v>35000</v>
      </c>
      <c r="N145" s="25">
        <f t="shared" si="7"/>
        <v>26250000</v>
      </c>
      <c r="O145" s="26">
        <v>1.5</v>
      </c>
      <c r="P145" s="24">
        <f>O145*M145</f>
        <v>52500</v>
      </c>
      <c r="Q145" s="24">
        <f>P145*G145</f>
        <v>39375000</v>
      </c>
      <c r="R145" s="27" t="s">
        <v>673</v>
      </c>
      <c r="S145" s="27"/>
    </row>
    <row r="146" spans="1:19" ht="22.5" x14ac:dyDescent="0.2">
      <c r="A146" s="7">
        <v>144</v>
      </c>
      <c r="B146" s="5" t="s">
        <v>361</v>
      </c>
      <c r="C146" s="5"/>
      <c r="D146" s="5"/>
      <c r="E146" s="51" t="s">
        <v>620</v>
      </c>
      <c r="F146" s="7" t="s">
        <v>362</v>
      </c>
      <c r="G146" s="7">
        <v>25</v>
      </c>
      <c r="H146" s="5"/>
      <c r="I146" s="19" t="s">
        <v>621</v>
      </c>
      <c r="K146" s="9"/>
      <c r="L146" s="24">
        <v>32000</v>
      </c>
      <c r="M146" s="25">
        <f t="shared" si="6"/>
        <v>32000</v>
      </c>
      <c r="N146" s="25">
        <f t="shared" si="7"/>
        <v>800000</v>
      </c>
      <c r="O146" s="26">
        <v>1.5</v>
      </c>
      <c r="P146" s="24">
        <f>O146*M146</f>
        <v>48000</v>
      </c>
      <c r="Q146" s="24">
        <f>P146*G146</f>
        <v>1200000</v>
      </c>
      <c r="R146" s="27" t="s">
        <v>674</v>
      </c>
      <c r="S146" s="27"/>
    </row>
    <row r="147" spans="1:19" ht="56.25" x14ac:dyDescent="0.2">
      <c r="A147" s="7">
        <v>145</v>
      </c>
      <c r="B147" s="5" t="s">
        <v>363</v>
      </c>
      <c r="C147" s="5" t="s">
        <v>364</v>
      </c>
      <c r="D147" s="5"/>
      <c r="E147" s="51" t="s">
        <v>618</v>
      </c>
      <c r="F147" s="7" t="s">
        <v>74</v>
      </c>
      <c r="G147" s="7">
        <v>26</v>
      </c>
      <c r="H147" s="5" t="s">
        <v>365</v>
      </c>
      <c r="I147" s="19" t="s">
        <v>619</v>
      </c>
      <c r="K147" s="9"/>
      <c r="L147" s="24">
        <f>12500*23</f>
        <v>287500</v>
      </c>
      <c r="M147" s="25">
        <f t="shared" si="6"/>
        <v>287500</v>
      </c>
      <c r="N147" s="25">
        <f t="shared" si="7"/>
        <v>7475000</v>
      </c>
      <c r="O147" s="26">
        <v>1.5</v>
      </c>
      <c r="P147" s="24">
        <f>O147*M147</f>
        <v>431250</v>
      </c>
      <c r="Q147" s="24">
        <f>P147*G147</f>
        <v>11212500</v>
      </c>
      <c r="R147" s="27" t="s">
        <v>672</v>
      </c>
      <c r="S147" s="27"/>
    </row>
    <row r="148" spans="1:19" ht="78.75" x14ac:dyDescent="0.2">
      <c r="A148" s="7">
        <v>146</v>
      </c>
      <c r="B148" s="5" t="s">
        <v>366</v>
      </c>
      <c r="C148" s="5" t="s">
        <v>367</v>
      </c>
      <c r="D148" s="5"/>
      <c r="E148" s="51" t="s">
        <v>622</v>
      </c>
      <c r="F148" s="7" t="s">
        <v>10</v>
      </c>
      <c r="G148" s="7">
        <v>11</v>
      </c>
      <c r="H148" s="5" t="s">
        <v>368</v>
      </c>
      <c r="I148" s="19" t="s">
        <v>623</v>
      </c>
      <c r="J148" s="9" t="s">
        <v>624</v>
      </c>
      <c r="K148" s="9">
        <f>12500*9*5</f>
        <v>562500</v>
      </c>
      <c r="L148" s="24">
        <f>12500*165</f>
        <v>2062500</v>
      </c>
      <c r="M148" s="25">
        <f t="shared" si="6"/>
        <v>2625000</v>
      </c>
      <c r="N148" s="25">
        <f t="shared" si="7"/>
        <v>28875000</v>
      </c>
      <c r="O148" s="26">
        <v>1.5</v>
      </c>
      <c r="P148" s="24">
        <f>O148*M148</f>
        <v>3937500</v>
      </c>
      <c r="Q148" s="24">
        <f>P148*G148</f>
        <v>43312500</v>
      </c>
      <c r="R148" s="27" t="s">
        <v>672</v>
      </c>
      <c r="S148" s="27"/>
    </row>
    <row r="149" spans="1:19" s="65" customFormat="1" ht="22.5" x14ac:dyDescent="0.2">
      <c r="A149" s="58">
        <v>147</v>
      </c>
      <c r="B149" s="59" t="s">
        <v>369</v>
      </c>
      <c r="C149" s="59"/>
      <c r="D149" s="59"/>
      <c r="E149" s="59"/>
      <c r="F149" s="58" t="s">
        <v>10</v>
      </c>
      <c r="G149" s="58">
        <v>10</v>
      </c>
      <c r="H149" s="59" t="s">
        <v>370</v>
      </c>
      <c r="I149" s="60"/>
      <c r="J149" s="61"/>
      <c r="K149" s="61"/>
      <c r="L149" s="62"/>
      <c r="M149" s="63"/>
      <c r="N149" s="63">
        <f t="shared" si="7"/>
        <v>0</v>
      </c>
      <c r="O149" s="61">
        <v>1.5</v>
      </c>
      <c r="P149" s="62">
        <f>O149*M149</f>
        <v>0</v>
      </c>
      <c r="Q149" s="62">
        <f>P149*G149</f>
        <v>0</v>
      </c>
      <c r="R149" s="64"/>
      <c r="S149" s="64" t="s">
        <v>667</v>
      </c>
    </row>
    <row r="150" spans="1:19" ht="22.5" x14ac:dyDescent="0.2">
      <c r="A150" s="7">
        <v>148</v>
      </c>
      <c r="B150" s="5" t="s">
        <v>371</v>
      </c>
      <c r="C150" s="5" t="s">
        <v>372</v>
      </c>
      <c r="D150" s="5" t="s">
        <v>373</v>
      </c>
      <c r="E150" s="51" t="s">
        <v>625</v>
      </c>
      <c r="F150" s="7" t="s">
        <v>10</v>
      </c>
      <c r="G150" s="7">
        <v>13</v>
      </c>
      <c r="H150" s="5" t="s">
        <v>372</v>
      </c>
      <c r="I150" s="18" t="s">
        <v>662</v>
      </c>
      <c r="K150" s="9"/>
      <c r="L150" s="24">
        <f>12500*5</f>
        <v>62500</v>
      </c>
      <c r="M150" s="25">
        <f t="shared" si="6"/>
        <v>62500</v>
      </c>
      <c r="N150" s="25">
        <f t="shared" si="7"/>
        <v>812500</v>
      </c>
      <c r="O150" s="26">
        <v>1.5</v>
      </c>
      <c r="P150" s="24">
        <f>O150*M150</f>
        <v>93750</v>
      </c>
      <c r="Q150" s="24">
        <f>P150*G150</f>
        <v>1218750</v>
      </c>
      <c r="R150" s="27" t="s">
        <v>668</v>
      </c>
      <c r="S150" s="27"/>
    </row>
    <row r="151" spans="1:19" ht="22.5" x14ac:dyDescent="0.2">
      <c r="A151" s="7">
        <v>149</v>
      </c>
      <c r="B151" s="5" t="s">
        <v>374</v>
      </c>
      <c r="C151" s="5" t="s">
        <v>372</v>
      </c>
      <c r="D151" s="5">
        <v>2658250000</v>
      </c>
      <c r="E151" s="51" t="s">
        <v>626</v>
      </c>
      <c r="F151" s="7" t="s">
        <v>10</v>
      </c>
      <c r="G151" s="7">
        <v>6</v>
      </c>
      <c r="H151" s="5" t="s">
        <v>372</v>
      </c>
      <c r="I151" s="19">
        <v>8</v>
      </c>
      <c r="K151" s="9"/>
      <c r="L151" s="24">
        <f>12500*8</f>
        <v>100000</v>
      </c>
      <c r="M151" s="25">
        <f t="shared" si="6"/>
        <v>100000</v>
      </c>
      <c r="N151" s="25">
        <f t="shared" si="7"/>
        <v>600000</v>
      </c>
      <c r="O151" s="26">
        <v>1.5</v>
      </c>
      <c r="P151" s="24">
        <f>O151*M151</f>
        <v>150000</v>
      </c>
      <c r="Q151" s="24">
        <f>P151*G151</f>
        <v>900000</v>
      </c>
      <c r="R151" s="27" t="s">
        <v>668</v>
      </c>
      <c r="S151" s="27"/>
    </row>
    <row r="152" spans="1:19" ht="22.5" x14ac:dyDescent="0.2">
      <c r="A152" s="7">
        <v>150</v>
      </c>
      <c r="B152" s="5" t="s">
        <v>376</v>
      </c>
      <c r="C152" s="5" t="s">
        <v>377</v>
      </c>
      <c r="D152" s="5" t="s">
        <v>378</v>
      </c>
      <c r="E152" s="51" t="s">
        <v>627</v>
      </c>
      <c r="F152" s="7" t="s">
        <v>10</v>
      </c>
      <c r="G152" s="7">
        <v>3</v>
      </c>
      <c r="H152" s="5" t="s">
        <v>377</v>
      </c>
      <c r="I152" s="18" t="s">
        <v>663</v>
      </c>
      <c r="K152" s="9"/>
      <c r="L152" s="24">
        <f>12500*31</f>
        <v>387500</v>
      </c>
      <c r="M152" s="25">
        <f t="shared" si="6"/>
        <v>387500</v>
      </c>
      <c r="N152" s="25">
        <f t="shared" si="7"/>
        <v>1162500</v>
      </c>
      <c r="O152" s="26">
        <v>1.5</v>
      </c>
      <c r="P152" s="24">
        <f>O152*M152</f>
        <v>581250</v>
      </c>
      <c r="Q152" s="24">
        <f>P152*G152</f>
        <v>1743750</v>
      </c>
      <c r="R152" s="27" t="s">
        <v>668</v>
      </c>
      <c r="S152" s="27"/>
    </row>
    <row r="153" spans="1:19" s="65" customFormat="1" ht="33.75" x14ac:dyDescent="0.2">
      <c r="A153" s="58">
        <v>151</v>
      </c>
      <c r="B153" s="59" t="s">
        <v>379</v>
      </c>
      <c r="C153" s="59" t="s">
        <v>380</v>
      </c>
      <c r="D153" s="59"/>
      <c r="E153" s="59"/>
      <c r="F153" s="58" t="s">
        <v>10</v>
      </c>
      <c r="G153" s="58">
        <v>2</v>
      </c>
      <c r="H153" s="59" t="s">
        <v>381</v>
      </c>
      <c r="I153" s="60"/>
      <c r="J153" s="61"/>
      <c r="K153" s="61"/>
      <c r="L153" s="62"/>
      <c r="M153" s="63"/>
      <c r="N153" s="63">
        <f t="shared" si="7"/>
        <v>0</v>
      </c>
      <c r="O153" s="61">
        <v>1.5</v>
      </c>
      <c r="P153" s="62">
        <f>O153*M153</f>
        <v>0</v>
      </c>
      <c r="Q153" s="62">
        <f>P153*G153</f>
        <v>0</v>
      </c>
      <c r="R153" s="64"/>
      <c r="S153" s="64" t="s">
        <v>667</v>
      </c>
    </row>
    <row r="154" spans="1:19" ht="22.5" x14ac:dyDescent="0.2">
      <c r="A154" s="7">
        <v>152</v>
      </c>
      <c r="B154" s="5" t="s">
        <v>382</v>
      </c>
      <c r="C154" s="5" t="s">
        <v>383</v>
      </c>
      <c r="D154" s="5" t="s">
        <v>384</v>
      </c>
      <c r="E154" s="51" t="s">
        <v>628</v>
      </c>
      <c r="F154" s="7" t="s">
        <v>74</v>
      </c>
      <c r="G154" s="7">
        <v>1</v>
      </c>
      <c r="H154" s="5" t="s">
        <v>383</v>
      </c>
      <c r="I154" s="18" t="s">
        <v>664</v>
      </c>
      <c r="K154" s="9"/>
      <c r="L154" s="24">
        <f>12500*207</f>
        <v>2587500</v>
      </c>
      <c r="M154" s="25">
        <f t="shared" si="6"/>
        <v>2587500</v>
      </c>
      <c r="N154" s="25">
        <f t="shared" si="7"/>
        <v>2587500</v>
      </c>
      <c r="O154" s="26">
        <v>1.5</v>
      </c>
      <c r="P154" s="24">
        <f>O154*M154</f>
        <v>3881250</v>
      </c>
      <c r="Q154" s="24">
        <f>P154*G154</f>
        <v>3881250</v>
      </c>
      <c r="R154" s="27" t="s">
        <v>668</v>
      </c>
      <c r="S154" s="27"/>
    </row>
    <row r="155" spans="1:19" ht="22.5" x14ac:dyDescent="0.2">
      <c r="A155" s="7">
        <v>153</v>
      </c>
      <c r="B155" s="5" t="s">
        <v>385</v>
      </c>
      <c r="C155" s="5" t="s">
        <v>386</v>
      </c>
      <c r="D155" s="5" t="s">
        <v>387</v>
      </c>
      <c r="E155" s="51" t="s">
        <v>629</v>
      </c>
      <c r="F155" s="7" t="s">
        <v>74</v>
      </c>
      <c r="G155" s="7">
        <v>1</v>
      </c>
      <c r="H155" s="5" t="s">
        <v>386</v>
      </c>
      <c r="I155" s="19" t="s">
        <v>630</v>
      </c>
      <c r="K155" s="9"/>
      <c r="L155" s="24">
        <f>12500*840</f>
        <v>10500000</v>
      </c>
      <c r="M155" s="25">
        <f t="shared" si="6"/>
        <v>10500000</v>
      </c>
      <c r="N155" s="25">
        <f t="shared" si="7"/>
        <v>10500000</v>
      </c>
      <c r="O155" s="26">
        <v>1.5</v>
      </c>
      <c r="P155" s="24">
        <f>O155*M155</f>
        <v>15750000</v>
      </c>
      <c r="Q155" s="24">
        <f>P155*G155</f>
        <v>15750000</v>
      </c>
      <c r="R155" s="27" t="s">
        <v>668</v>
      </c>
      <c r="S155" s="27"/>
    </row>
    <row r="156" spans="1:19" ht="45" x14ac:dyDescent="0.2">
      <c r="A156" s="7">
        <v>154</v>
      </c>
      <c r="B156" s="5" t="s">
        <v>388</v>
      </c>
      <c r="C156" s="5" t="s">
        <v>389</v>
      </c>
      <c r="D156" s="5" t="s">
        <v>390</v>
      </c>
      <c r="E156" s="51" t="s">
        <v>631</v>
      </c>
      <c r="F156" s="7" t="s">
        <v>74</v>
      </c>
      <c r="G156" s="7">
        <v>1</v>
      </c>
      <c r="H156" s="5" t="s">
        <v>389</v>
      </c>
      <c r="I156" s="19" t="s">
        <v>632</v>
      </c>
      <c r="K156" s="9"/>
      <c r="L156" s="24">
        <f>12500*1094</f>
        <v>13675000</v>
      </c>
      <c r="M156" s="25">
        <f t="shared" si="6"/>
        <v>13675000</v>
      </c>
      <c r="N156" s="25">
        <f t="shared" si="7"/>
        <v>13675000</v>
      </c>
      <c r="O156" s="26">
        <v>1.5</v>
      </c>
      <c r="P156" s="24">
        <f>O156*M156</f>
        <v>20512500</v>
      </c>
      <c r="Q156" s="24">
        <f>P156*G156</f>
        <v>20512500</v>
      </c>
      <c r="R156" s="27" t="s">
        <v>668</v>
      </c>
      <c r="S156" s="27"/>
    </row>
    <row r="157" spans="1:19" ht="33.75" x14ac:dyDescent="0.2">
      <c r="A157" s="7">
        <v>155</v>
      </c>
      <c r="B157" s="5" t="s">
        <v>391</v>
      </c>
      <c r="C157" s="5" t="s">
        <v>392</v>
      </c>
      <c r="D157" s="5" t="s">
        <v>393</v>
      </c>
      <c r="E157" s="51" t="s">
        <v>633</v>
      </c>
      <c r="F157" s="7" t="s">
        <v>74</v>
      </c>
      <c r="G157" s="7">
        <v>5</v>
      </c>
      <c r="H157" s="5" t="s">
        <v>392</v>
      </c>
      <c r="I157" s="19" t="s">
        <v>634</v>
      </c>
      <c r="K157" s="9"/>
      <c r="L157" s="24">
        <f>12500*401</f>
        <v>5012500</v>
      </c>
      <c r="M157" s="25">
        <f t="shared" si="6"/>
        <v>5012500</v>
      </c>
      <c r="N157" s="25">
        <f t="shared" si="7"/>
        <v>25062500</v>
      </c>
      <c r="O157" s="26">
        <v>1.5</v>
      </c>
      <c r="P157" s="24">
        <f>O157*M157</f>
        <v>7518750</v>
      </c>
      <c r="Q157" s="24">
        <f>P157*G157</f>
        <v>37593750</v>
      </c>
      <c r="R157" s="27" t="s">
        <v>668</v>
      </c>
      <c r="S157" s="27"/>
    </row>
    <row r="158" spans="1:19" ht="33.75" x14ac:dyDescent="0.2">
      <c r="A158" s="22">
        <v>156</v>
      </c>
      <c r="B158" s="21" t="s">
        <v>394</v>
      </c>
      <c r="C158" s="21" t="s">
        <v>395</v>
      </c>
      <c r="D158" s="21" t="s">
        <v>396</v>
      </c>
      <c r="E158" s="52" t="s">
        <v>635</v>
      </c>
      <c r="F158" s="22" t="s">
        <v>74</v>
      </c>
      <c r="G158" s="22">
        <v>1</v>
      </c>
      <c r="H158" s="21" t="s">
        <v>395</v>
      </c>
      <c r="I158" s="19" t="s">
        <v>636</v>
      </c>
      <c r="J158" s="35"/>
      <c r="K158" s="35"/>
      <c r="L158" s="36">
        <f>12500*956</f>
        <v>11950000</v>
      </c>
      <c r="M158" s="37">
        <f t="shared" si="6"/>
        <v>11950000</v>
      </c>
      <c r="N158" s="37">
        <f t="shared" si="7"/>
        <v>11950000</v>
      </c>
      <c r="O158" s="38">
        <v>1.5</v>
      </c>
      <c r="P158" s="36">
        <f>O158*M158</f>
        <v>17925000</v>
      </c>
      <c r="Q158" s="36">
        <f>P158*G158</f>
        <v>17925000</v>
      </c>
      <c r="R158" s="27" t="s">
        <v>668</v>
      </c>
      <c r="S158" s="27"/>
    </row>
    <row r="159" spans="1:19" s="71" customFormat="1" ht="39.75" customHeight="1" x14ac:dyDescent="0.2">
      <c r="A159" s="66"/>
      <c r="B159" s="67" t="s">
        <v>676</v>
      </c>
      <c r="C159" s="66"/>
      <c r="D159" s="66"/>
      <c r="E159" s="66"/>
      <c r="F159" s="66"/>
      <c r="G159" s="66"/>
      <c r="H159" s="66"/>
      <c r="I159" s="68"/>
      <c r="J159" s="69"/>
      <c r="K159" s="69"/>
      <c r="L159" s="68"/>
      <c r="M159" s="69"/>
      <c r="N159" s="70">
        <f>SUM(N3:N158)</f>
        <v>3123834600</v>
      </c>
      <c r="O159" s="69"/>
      <c r="P159" s="68"/>
      <c r="Q159" s="72">
        <f>SUM(Q3:Q158)</f>
        <v>4685751900</v>
      </c>
      <c r="R159" s="69"/>
      <c r="S159" s="69"/>
    </row>
    <row r="160" spans="1:19" x14ac:dyDescent="0.2">
      <c r="A160" s="23"/>
      <c r="B160" s="23"/>
      <c r="C160" s="23"/>
      <c r="D160" s="23"/>
      <c r="E160" s="53"/>
      <c r="F160" s="23"/>
      <c r="G160" s="23"/>
      <c r="H160" s="23"/>
      <c r="I160" s="24"/>
      <c r="K160" s="9"/>
      <c r="L160" s="24"/>
      <c r="M160" s="26"/>
      <c r="N160" s="26"/>
      <c r="O160" s="26"/>
      <c r="P160" s="24"/>
      <c r="Q160" s="24"/>
      <c r="R160" s="26"/>
      <c r="S160" s="26"/>
    </row>
    <row r="161" spans="1:19" x14ac:dyDescent="0.2">
      <c r="A161" s="23"/>
      <c r="B161" s="23"/>
      <c r="C161" s="23"/>
      <c r="D161" s="23"/>
      <c r="E161" s="53"/>
      <c r="F161" s="23"/>
      <c r="G161" s="23"/>
      <c r="H161" s="23"/>
      <c r="I161" s="24"/>
      <c r="K161" s="9"/>
      <c r="L161" s="24"/>
      <c r="M161" s="26"/>
      <c r="N161" s="26"/>
      <c r="O161" s="26"/>
      <c r="P161" s="24"/>
      <c r="Q161" s="24"/>
      <c r="R161" s="26"/>
      <c r="S161" s="26"/>
    </row>
    <row r="162" spans="1:19" x14ac:dyDescent="0.2">
      <c r="A162" s="23"/>
      <c r="B162" s="23"/>
      <c r="C162" s="23"/>
      <c r="D162" s="23"/>
      <c r="E162" s="53"/>
      <c r="F162" s="23"/>
      <c r="G162" s="23"/>
      <c r="H162" s="23"/>
      <c r="I162" s="24"/>
      <c r="K162" s="9"/>
      <c r="L162" s="24"/>
      <c r="M162" s="26"/>
      <c r="N162" s="26"/>
      <c r="O162" s="26"/>
      <c r="P162" s="24"/>
      <c r="Q162" s="24"/>
      <c r="R162" s="26"/>
      <c r="S162" s="43"/>
    </row>
    <row r="163" spans="1:19" x14ac:dyDescent="0.2">
      <c r="J163" s="39"/>
      <c r="K163" s="39"/>
      <c r="L163" s="40"/>
      <c r="M163" s="41"/>
      <c r="N163" s="41"/>
      <c r="O163" s="41"/>
      <c r="P163" s="40"/>
      <c r="Q163" s="40"/>
      <c r="R163" s="41"/>
      <c r="S163" s="43"/>
    </row>
    <row r="164" spans="1:19" x14ac:dyDescent="0.2">
      <c r="K164" s="9"/>
      <c r="L164" s="24"/>
      <c r="M164" s="26"/>
      <c r="N164" s="26"/>
      <c r="O164" s="26"/>
      <c r="P164" s="24"/>
      <c r="Q164" s="24"/>
      <c r="R164" s="26"/>
      <c r="S164" s="43"/>
    </row>
    <row r="165" spans="1:19" x14ac:dyDescent="0.2">
      <c r="K165" s="9"/>
      <c r="L165" s="24"/>
      <c r="M165" s="26"/>
      <c r="N165" s="26"/>
      <c r="O165" s="26"/>
      <c r="P165" s="24"/>
      <c r="Q165" s="24"/>
      <c r="R165" s="26"/>
      <c r="S165" s="43"/>
    </row>
    <row r="166" spans="1:19" x14ac:dyDescent="0.2">
      <c r="K166" s="9"/>
      <c r="L166" s="24"/>
      <c r="M166" s="26"/>
      <c r="N166" s="26"/>
      <c r="O166" s="26"/>
      <c r="P166" s="24"/>
      <c r="Q166" s="24"/>
      <c r="R166" s="26"/>
      <c r="S166" s="43"/>
    </row>
    <row r="167" spans="1:19" x14ac:dyDescent="0.2">
      <c r="K167" s="9"/>
      <c r="L167" s="24"/>
      <c r="M167" s="26"/>
      <c r="N167" s="26"/>
      <c r="O167" s="26"/>
      <c r="P167" s="24"/>
      <c r="Q167" s="24"/>
      <c r="R167" s="26"/>
      <c r="S167" s="43"/>
    </row>
    <row r="168" spans="1:19" x14ac:dyDescent="0.2">
      <c r="K168" s="9"/>
      <c r="L168" s="24"/>
      <c r="M168" s="26"/>
      <c r="N168" s="26"/>
      <c r="O168" s="26"/>
      <c r="P168" s="24"/>
      <c r="Q168" s="24"/>
      <c r="R168" s="26"/>
      <c r="S168" s="43"/>
    </row>
    <row r="169" spans="1:19" x14ac:dyDescent="0.2">
      <c r="K169" s="9"/>
      <c r="L169" s="24"/>
      <c r="M169" s="26"/>
      <c r="N169" s="26"/>
      <c r="O169" s="26"/>
      <c r="P169" s="24"/>
      <c r="Q169" s="24"/>
      <c r="R169" s="26"/>
      <c r="S169" s="43"/>
    </row>
    <row r="170" spans="1:19" x14ac:dyDescent="0.2">
      <c r="K170" s="9"/>
      <c r="L170" s="24"/>
      <c r="M170" s="26"/>
      <c r="N170" s="26"/>
      <c r="O170" s="26"/>
      <c r="P170" s="24"/>
      <c r="Q170" s="24"/>
      <c r="R170" s="26"/>
      <c r="S170" s="43"/>
    </row>
    <row r="171" spans="1:19" x14ac:dyDescent="0.2">
      <c r="K171" s="9"/>
      <c r="L171" s="24"/>
      <c r="M171" s="26"/>
      <c r="N171" s="26"/>
      <c r="O171" s="26"/>
      <c r="P171" s="24"/>
      <c r="Q171" s="24"/>
      <c r="R171" s="26"/>
      <c r="S171" s="43"/>
    </row>
    <row r="172" spans="1:19" x14ac:dyDescent="0.2">
      <c r="K172" s="9"/>
      <c r="L172" s="24"/>
      <c r="M172" s="26"/>
      <c r="N172" s="26"/>
      <c r="O172" s="26"/>
      <c r="P172" s="24"/>
      <c r="Q172" s="24"/>
      <c r="R172" s="26"/>
      <c r="S172" s="43"/>
    </row>
    <row r="173" spans="1:19" x14ac:dyDescent="0.2">
      <c r="K173" s="9"/>
      <c r="L173" s="24"/>
      <c r="M173" s="26"/>
      <c r="N173" s="26"/>
      <c r="O173" s="26"/>
      <c r="P173" s="24"/>
      <c r="Q173" s="24"/>
      <c r="R173" s="26"/>
      <c r="S173" s="43"/>
    </row>
    <row r="174" spans="1:19" x14ac:dyDescent="0.2">
      <c r="K174" s="9"/>
      <c r="L174" s="24"/>
      <c r="M174" s="26"/>
      <c r="N174" s="26"/>
      <c r="O174" s="26"/>
      <c r="P174" s="24"/>
      <c r="Q174" s="24"/>
      <c r="R174" s="26"/>
      <c r="S174" s="43"/>
    </row>
    <row r="175" spans="1:19" x14ac:dyDescent="0.2">
      <c r="K175" s="9"/>
      <c r="L175" s="24"/>
      <c r="M175" s="26"/>
      <c r="N175" s="26"/>
      <c r="O175" s="26"/>
      <c r="P175" s="24"/>
      <c r="Q175" s="24"/>
      <c r="R175" s="26"/>
      <c r="S175" s="43"/>
    </row>
    <row r="176" spans="1:19" x14ac:dyDescent="0.2">
      <c r="K176" s="9"/>
      <c r="L176" s="24"/>
      <c r="M176" s="26"/>
      <c r="N176" s="26"/>
      <c r="O176" s="26"/>
      <c r="P176" s="24"/>
      <c r="Q176" s="24"/>
      <c r="R176" s="26"/>
      <c r="S176" s="43"/>
    </row>
    <row r="177" spans="11:19" x14ac:dyDescent="0.2">
      <c r="K177" s="9"/>
      <c r="L177" s="24"/>
      <c r="M177" s="26"/>
      <c r="N177" s="26"/>
      <c r="O177" s="26"/>
      <c r="P177" s="24"/>
      <c r="Q177" s="24"/>
      <c r="R177" s="26"/>
      <c r="S177" s="43"/>
    </row>
    <row r="178" spans="11:19" x14ac:dyDescent="0.2">
      <c r="K178" s="9"/>
      <c r="L178" s="24"/>
      <c r="M178" s="26"/>
      <c r="N178" s="26"/>
      <c r="O178" s="26"/>
      <c r="P178" s="24"/>
      <c r="Q178" s="24"/>
      <c r="R178" s="26"/>
      <c r="S178" s="43"/>
    </row>
    <row r="179" spans="11:19" x14ac:dyDescent="0.2">
      <c r="K179" s="9"/>
      <c r="L179" s="24"/>
      <c r="M179" s="26"/>
      <c r="N179" s="26"/>
      <c r="O179" s="26"/>
      <c r="P179" s="24"/>
      <c r="Q179" s="24"/>
      <c r="R179" s="26"/>
      <c r="S179" s="43"/>
    </row>
    <row r="180" spans="11:19" x14ac:dyDescent="0.2">
      <c r="K180" s="9"/>
      <c r="L180" s="24"/>
      <c r="M180" s="26"/>
      <c r="N180" s="26"/>
      <c r="O180" s="26"/>
      <c r="P180" s="24"/>
      <c r="Q180" s="24"/>
      <c r="R180" s="26"/>
      <c r="S180" s="43"/>
    </row>
    <row r="181" spans="11:19" x14ac:dyDescent="0.2">
      <c r="K181" s="9"/>
      <c r="L181" s="24"/>
      <c r="M181" s="26"/>
      <c r="N181" s="26"/>
      <c r="O181" s="26"/>
      <c r="P181" s="24"/>
      <c r="Q181" s="24"/>
      <c r="R181" s="26"/>
      <c r="S181" s="43"/>
    </row>
    <row r="182" spans="11:19" x14ac:dyDescent="0.2">
      <c r="K182" s="9"/>
      <c r="L182" s="24"/>
      <c r="M182" s="26"/>
      <c r="N182" s="26"/>
      <c r="O182" s="26"/>
      <c r="P182" s="24"/>
      <c r="Q182" s="24"/>
      <c r="R182" s="26"/>
      <c r="S182" s="43"/>
    </row>
    <row r="183" spans="11:19" x14ac:dyDescent="0.2">
      <c r="K183" s="9"/>
      <c r="L183" s="24"/>
      <c r="M183" s="26"/>
      <c r="N183" s="26"/>
      <c r="O183" s="26"/>
      <c r="P183" s="24"/>
      <c r="Q183" s="24"/>
      <c r="R183" s="26"/>
      <c r="S183" s="43"/>
    </row>
    <row r="184" spans="11:19" x14ac:dyDescent="0.2">
      <c r="K184" s="9"/>
      <c r="L184" s="24"/>
      <c r="M184" s="26"/>
      <c r="N184" s="26"/>
      <c r="O184" s="26"/>
      <c r="P184" s="24"/>
      <c r="Q184" s="24"/>
      <c r="R184" s="26"/>
      <c r="S184" s="43"/>
    </row>
    <row r="185" spans="11:19" x14ac:dyDescent="0.2">
      <c r="K185" s="9"/>
      <c r="L185" s="24"/>
      <c r="M185" s="26"/>
      <c r="N185" s="26"/>
      <c r="O185" s="26"/>
      <c r="P185" s="24"/>
      <c r="Q185" s="24"/>
      <c r="R185" s="26"/>
      <c r="S185" s="43"/>
    </row>
    <row r="186" spans="11:19" x14ac:dyDescent="0.2">
      <c r="K186" s="9"/>
      <c r="L186" s="24"/>
      <c r="M186" s="26"/>
      <c r="N186" s="26"/>
      <c r="O186" s="26"/>
      <c r="P186" s="24"/>
      <c r="Q186" s="24"/>
      <c r="R186" s="26"/>
      <c r="S186" s="43"/>
    </row>
    <row r="187" spans="11:19" x14ac:dyDescent="0.2">
      <c r="K187" s="9"/>
      <c r="L187" s="24"/>
      <c r="M187" s="26"/>
      <c r="N187" s="26"/>
      <c r="O187" s="26"/>
      <c r="P187" s="24"/>
      <c r="Q187" s="24"/>
      <c r="R187" s="26"/>
      <c r="S187" s="43"/>
    </row>
    <row r="188" spans="11:19" x14ac:dyDescent="0.2">
      <c r="K188" s="9"/>
      <c r="L188" s="24"/>
      <c r="M188" s="26"/>
      <c r="N188" s="26"/>
      <c r="O188" s="26"/>
      <c r="P188" s="24"/>
      <c r="Q188" s="24"/>
      <c r="R188" s="26"/>
      <c r="S188" s="43"/>
    </row>
    <row r="189" spans="11:19" x14ac:dyDescent="0.2">
      <c r="K189" s="9"/>
      <c r="L189" s="24"/>
      <c r="M189" s="26"/>
      <c r="N189" s="26"/>
      <c r="O189" s="26"/>
      <c r="P189" s="24"/>
      <c r="Q189" s="24"/>
      <c r="R189" s="26"/>
      <c r="S189" s="43"/>
    </row>
    <row r="190" spans="11:19" x14ac:dyDescent="0.2">
      <c r="K190" s="9"/>
      <c r="L190" s="24"/>
      <c r="M190" s="26"/>
      <c r="N190" s="26"/>
      <c r="O190" s="26"/>
      <c r="P190" s="24"/>
      <c r="Q190" s="24"/>
      <c r="R190" s="26"/>
      <c r="S190" s="43"/>
    </row>
    <row r="191" spans="11:19" x14ac:dyDescent="0.2">
      <c r="K191" s="9"/>
      <c r="L191" s="24"/>
      <c r="M191" s="26"/>
      <c r="N191" s="26"/>
      <c r="O191" s="26"/>
      <c r="P191" s="24"/>
      <c r="Q191" s="24"/>
      <c r="R191" s="26"/>
      <c r="S191" s="43"/>
    </row>
    <row r="192" spans="11:19" x14ac:dyDescent="0.2">
      <c r="K192" s="9"/>
      <c r="L192" s="24"/>
      <c r="M192" s="26"/>
      <c r="N192" s="26"/>
      <c r="O192" s="26"/>
      <c r="P192" s="24"/>
      <c r="Q192" s="24"/>
      <c r="R192" s="26"/>
      <c r="S192" s="43"/>
    </row>
    <row r="193" spans="11:19" x14ac:dyDescent="0.2">
      <c r="K193" s="9"/>
      <c r="L193" s="24"/>
      <c r="M193" s="26"/>
      <c r="N193" s="26"/>
      <c r="O193" s="26"/>
      <c r="P193" s="24"/>
      <c r="Q193" s="24"/>
      <c r="R193" s="26"/>
      <c r="S193" s="43"/>
    </row>
    <row r="194" spans="11:19" x14ac:dyDescent="0.2">
      <c r="K194" s="9"/>
      <c r="L194" s="24"/>
      <c r="M194" s="26"/>
      <c r="N194" s="26"/>
      <c r="O194" s="26"/>
      <c r="P194" s="24"/>
      <c r="Q194" s="24"/>
      <c r="R194" s="26"/>
      <c r="S194" s="43"/>
    </row>
    <row r="195" spans="11:19" x14ac:dyDescent="0.2">
      <c r="K195" s="9"/>
      <c r="L195" s="24"/>
      <c r="M195" s="26"/>
      <c r="N195" s="26"/>
      <c r="O195" s="26"/>
      <c r="P195" s="24"/>
      <c r="Q195" s="24"/>
      <c r="R195" s="26"/>
      <c r="S195" s="43"/>
    </row>
    <row r="196" spans="11:19" x14ac:dyDescent="0.2">
      <c r="K196" s="9"/>
      <c r="L196" s="24"/>
      <c r="M196" s="26"/>
      <c r="N196" s="26"/>
      <c r="O196" s="26"/>
      <c r="P196" s="24"/>
      <c r="Q196" s="24"/>
      <c r="R196" s="26"/>
      <c r="S196" s="43"/>
    </row>
    <row r="197" spans="11:19" x14ac:dyDescent="0.2">
      <c r="K197" s="9"/>
      <c r="L197" s="24"/>
      <c r="M197" s="26"/>
      <c r="N197" s="26"/>
      <c r="O197" s="26"/>
      <c r="P197" s="24"/>
      <c r="Q197" s="24"/>
      <c r="R197" s="26"/>
      <c r="S197" s="43"/>
    </row>
    <row r="198" spans="11:19" x14ac:dyDescent="0.2">
      <c r="K198" s="9"/>
      <c r="L198" s="24"/>
      <c r="M198" s="26"/>
      <c r="N198" s="26"/>
      <c r="O198" s="26"/>
      <c r="P198" s="24"/>
      <c r="Q198" s="24"/>
      <c r="R198" s="26"/>
      <c r="S198" s="43"/>
    </row>
    <row r="199" spans="11:19" x14ac:dyDescent="0.2">
      <c r="K199" s="9"/>
      <c r="L199" s="24"/>
      <c r="M199" s="26"/>
      <c r="N199" s="26"/>
      <c r="O199" s="26"/>
      <c r="P199" s="24"/>
      <c r="Q199" s="24"/>
      <c r="R199" s="26"/>
      <c r="S199" s="43"/>
    </row>
    <row r="200" spans="11:19" x14ac:dyDescent="0.2">
      <c r="K200" s="9"/>
      <c r="L200" s="24"/>
      <c r="M200" s="26"/>
      <c r="N200" s="26"/>
      <c r="O200" s="26"/>
      <c r="P200" s="24"/>
      <c r="Q200" s="24"/>
      <c r="R200" s="26"/>
      <c r="S200" s="43"/>
    </row>
    <row r="201" spans="11:19" x14ac:dyDescent="0.2">
      <c r="K201" s="9"/>
      <c r="L201" s="24"/>
      <c r="M201" s="26"/>
      <c r="N201" s="26"/>
      <c r="O201" s="26"/>
      <c r="P201" s="24"/>
      <c r="Q201" s="24"/>
      <c r="R201" s="26"/>
      <c r="S201" s="43"/>
    </row>
    <row r="202" spans="11:19" x14ac:dyDescent="0.2">
      <c r="K202" s="9"/>
      <c r="L202" s="24"/>
      <c r="M202" s="26"/>
      <c r="N202" s="26"/>
      <c r="O202" s="26"/>
      <c r="P202" s="24"/>
      <c r="Q202" s="24"/>
      <c r="R202" s="26"/>
      <c r="S202" s="43"/>
    </row>
    <row r="203" spans="11:19" x14ac:dyDescent="0.2">
      <c r="K203" s="9"/>
      <c r="L203" s="24"/>
      <c r="M203" s="26"/>
      <c r="N203" s="26"/>
      <c r="O203" s="26"/>
      <c r="P203" s="24"/>
      <c r="Q203" s="24"/>
      <c r="R203" s="26"/>
      <c r="S203" s="43"/>
    </row>
    <row r="204" spans="11:19" x14ac:dyDescent="0.2">
      <c r="K204" s="9"/>
      <c r="L204" s="24"/>
      <c r="M204" s="26"/>
      <c r="N204" s="26"/>
      <c r="O204" s="26"/>
      <c r="P204" s="24"/>
      <c r="Q204" s="24"/>
      <c r="R204" s="26"/>
      <c r="S204" s="43"/>
    </row>
    <row r="205" spans="11:19" x14ac:dyDescent="0.2">
      <c r="K205" s="9"/>
      <c r="L205" s="24"/>
      <c r="M205" s="26"/>
      <c r="N205" s="26"/>
      <c r="O205" s="26"/>
      <c r="P205" s="24"/>
      <c r="Q205" s="24"/>
      <c r="R205" s="26"/>
      <c r="S205" s="43"/>
    </row>
    <row r="206" spans="11:19" x14ac:dyDescent="0.2">
      <c r="K206" s="9"/>
      <c r="L206" s="24"/>
      <c r="M206" s="26"/>
      <c r="N206" s="26"/>
      <c r="O206" s="26"/>
      <c r="P206" s="24"/>
      <c r="Q206" s="24"/>
      <c r="R206" s="26"/>
      <c r="S206" s="43"/>
    </row>
    <row r="207" spans="11:19" x14ac:dyDescent="0.2">
      <c r="K207" s="9"/>
      <c r="L207" s="24"/>
      <c r="M207" s="26"/>
      <c r="N207" s="26"/>
      <c r="O207" s="26"/>
      <c r="P207" s="24"/>
      <c r="Q207" s="24"/>
      <c r="R207" s="26"/>
      <c r="S207" s="43"/>
    </row>
    <row r="208" spans="11:19" x14ac:dyDescent="0.2">
      <c r="K208" s="9"/>
      <c r="L208" s="24"/>
      <c r="M208" s="26"/>
      <c r="N208" s="26"/>
      <c r="O208" s="26"/>
      <c r="P208" s="24"/>
      <c r="Q208" s="24"/>
      <c r="R208" s="26"/>
      <c r="S208" s="43"/>
    </row>
    <row r="209" spans="11:19" x14ac:dyDescent="0.2">
      <c r="K209" s="9"/>
      <c r="L209" s="24"/>
      <c r="M209" s="26"/>
      <c r="N209" s="26"/>
      <c r="O209" s="26"/>
      <c r="P209" s="24"/>
      <c r="Q209" s="24"/>
      <c r="R209" s="26"/>
      <c r="S209" s="43"/>
    </row>
    <row r="210" spans="11:19" x14ac:dyDescent="0.2">
      <c r="K210" s="9"/>
      <c r="L210" s="24"/>
      <c r="M210" s="26"/>
      <c r="N210" s="26"/>
      <c r="O210" s="26"/>
      <c r="P210" s="24"/>
      <c r="Q210" s="24"/>
      <c r="R210" s="26"/>
      <c r="S210" s="43"/>
    </row>
    <row r="211" spans="11:19" x14ac:dyDescent="0.2">
      <c r="K211" s="9"/>
      <c r="L211" s="24"/>
      <c r="M211" s="26"/>
      <c r="N211" s="26"/>
      <c r="O211" s="26"/>
      <c r="P211" s="24"/>
      <c r="Q211" s="24"/>
      <c r="R211" s="26"/>
      <c r="S211" s="43"/>
    </row>
    <row r="212" spans="11:19" x14ac:dyDescent="0.2">
      <c r="K212" s="9"/>
      <c r="L212" s="24"/>
      <c r="M212" s="26"/>
      <c r="N212" s="26"/>
      <c r="O212" s="26"/>
      <c r="P212" s="24"/>
      <c r="Q212" s="24"/>
      <c r="R212" s="26"/>
      <c r="S212" s="43"/>
    </row>
    <row r="213" spans="11:19" x14ac:dyDescent="0.2">
      <c r="K213" s="9"/>
      <c r="L213" s="24"/>
      <c r="M213" s="26"/>
      <c r="N213" s="26"/>
      <c r="O213" s="26"/>
      <c r="P213" s="24"/>
      <c r="Q213" s="24"/>
      <c r="R213" s="26"/>
      <c r="S213" s="43"/>
    </row>
    <row r="214" spans="11:19" x14ac:dyDescent="0.2">
      <c r="K214" s="9"/>
      <c r="L214" s="24"/>
      <c r="M214" s="26"/>
      <c r="N214" s="26"/>
      <c r="O214" s="26"/>
      <c r="P214" s="24"/>
      <c r="Q214" s="24"/>
      <c r="R214" s="26"/>
      <c r="S214" s="43"/>
    </row>
    <row r="215" spans="11:19" x14ac:dyDescent="0.2">
      <c r="K215" s="9"/>
      <c r="L215" s="24"/>
      <c r="M215" s="26"/>
      <c r="N215" s="26"/>
      <c r="O215" s="26"/>
      <c r="P215" s="24"/>
      <c r="Q215" s="24"/>
      <c r="R215" s="26"/>
      <c r="S215" s="43"/>
    </row>
    <row r="216" spans="11:19" x14ac:dyDescent="0.2">
      <c r="K216" s="9"/>
      <c r="L216" s="24"/>
      <c r="M216" s="26"/>
      <c r="N216" s="26"/>
      <c r="O216" s="26"/>
      <c r="P216" s="24"/>
      <c r="Q216" s="24"/>
      <c r="R216" s="26"/>
      <c r="S216" s="43"/>
    </row>
    <row r="217" spans="11:19" x14ac:dyDescent="0.2">
      <c r="K217" s="9"/>
      <c r="L217" s="24"/>
      <c r="M217" s="26"/>
      <c r="N217" s="26"/>
      <c r="O217" s="26"/>
      <c r="P217" s="24"/>
      <c r="Q217" s="24"/>
      <c r="R217" s="26"/>
      <c r="S217" s="43"/>
    </row>
    <row r="218" spans="11:19" x14ac:dyDescent="0.2">
      <c r="K218" s="9"/>
      <c r="L218" s="24"/>
      <c r="M218" s="26"/>
      <c r="N218" s="26"/>
      <c r="O218" s="26"/>
      <c r="P218" s="24"/>
      <c r="Q218" s="24"/>
      <c r="R218" s="26"/>
      <c r="S218" s="43"/>
    </row>
    <row r="219" spans="11:19" x14ac:dyDescent="0.2">
      <c r="K219" s="9"/>
      <c r="L219" s="24"/>
      <c r="M219" s="26"/>
      <c r="N219" s="26"/>
      <c r="O219" s="26"/>
      <c r="P219" s="24"/>
      <c r="Q219" s="24"/>
      <c r="R219" s="26"/>
      <c r="S219" s="43"/>
    </row>
    <row r="220" spans="11:19" x14ac:dyDescent="0.2">
      <c r="K220" s="9"/>
      <c r="L220" s="24"/>
      <c r="M220" s="26"/>
      <c r="N220" s="26"/>
      <c r="O220" s="26"/>
      <c r="P220" s="24"/>
      <c r="Q220" s="24"/>
      <c r="R220" s="26"/>
      <c r="S220" s="43"/>
    </row>
    <row r="221" spans="11:19" x14ac:dyDescent="0.2">
      <c r="K221" s="9"/>
      <c r="L221" s="24"/>
      <c r="M221" s="26"/>
      <c r="N221" s="26"/>
      <c r="O221" s="26"/>
      <c r="P221" s="24"/>
      <c r="Q221" s="24"/>
      <c r="R221" s="26"/>
      <c r="S221" s="43"/>
    </row>
    <row r="222" spans="11:19" x14ac:dyDescent="0.2">
      <c r="K222" s="9"/>
      <c r="L222" s="24"/>
      <c r="M222" s="26"/>
      <c r="N222" s="26"/>
      <c r="O222" s="26"/>
      <c r="P222" s="24"/>
      <c r="Q222" s="24"/>
      <c r="R222" s="26"/>
      <c r="S222" s="43"/>
    </row>
    <row r="223" spans="11:19" x14ac:dyDescent="0.2">
      <c r="K223" s="9"/>
      <c r="L223" s="24"/>
      <c r="M223" s="26"/>
      <c r="N223" s="26"/>
      <c r="O223" s="26"/>
      <c r="P223" s="24"/>
      <c r="Q223" s="24"/>
      <c r="R223" s="26"/>
      <c r="S223" s="43"/>
    </row>
    <row r="224" spans="11:19" x14ac:dyDescent="0.2">
      <c r="K224" s="9"/>
      <c r="L224" s="24"/>
      <c r="M224" s="26"/>
      <c r="N224" s="26"/>
      <c r="O224" s="26"/>
      <c r="P224" s="24"/>
      <c r="Q224" s="24"/>
      <c r="R224" s="26"/>
      <c r="S224" s="43"/>
    </row>
    <row r="225" spans="11:19" x14ac:dyDescent="0.2">
      <c r="K225" s="9"/>
      <c r="L225" s="24"/>
      <c r="M225" s="26"/>
      <c r="N225" s="26"/>
      <c r="O225" s="26"/>
      <c r="P225" s="24"/>
      <c r="Q225" s="24"/>
      <c r="R225" s="26"/>
      <c r="S225" s="43"/>
    </row>
    <row r="226" spans="11:19" x14ac:dyDescent="0.2">
      <c r="K226" s="9"/>
      <c r="L226" s="24"/>
      <c r="M226" s="26"/>
      <c r="N226" s="26"/>
      <c r="O226" s="26"/>
      <c r="P226" s="24"/>
      <c r="Q226" s="24"/>
      <c r="R226" s="26"/>
      <c r="S226" s="43"/>
    </row>
    <row r="227" spans="11:19" x14ac:dyDescent="0.2">
      <c r="K227" s="9"/>
      <c r="L227" s="24"/>
      <c r="M227" s="26"/>
      <c r="N227" s="26"/>
      <c r="O227" s="26"/>
      <c r="P227" s="24"/>
      <c r="Q227" s="24"/>
      <c r="R227" s="26"/>
      <c r="S227" s="43"/>
    </row>
    <row r="228" spans="11:19" x14ac:dyDescent="0.2">
      <c r="K228" s="9"/>
      <c r="L228" s="24"/>
      <c r="M228" s="26"/>
      <c r="N228" s="26"/>
      <c r="O228" s="26"/>
      <c r="P228" s="24"/>
      <c r="Q228" s="24"/>
      <c r="R228" s="26"/>
      <c r="S228" s="43"/>
    </row>
    <row r="229" spans="11:19" x14ac:dyDescent="0.2">
      <c r="K229" s="9"/>
      <c r="L229" s="24"/>
      <c r="M229" s="26"/>
      <c r="N229" s="26"/>
      <c r="O229" s="26"/>
      <c r="P229" s="24"/>
      <c r="Q229" s="24"/>
      <c r="R229" s="26"/>
      <c r="S229" s="43"/>
    </row>
    <row r="230" spans="11:19" x14ac:dyDescent="0.2">
      <c r="K230" s="9"/>
      <c r="L230" s="24"/>
      <c r="M230" s="26"/>
      <c r="N230" s="26"/>
      <c r="O230" s="26"/>
      <c r="P230" s="24"/>
      <c r="Q230" s="24"/>
      <c r="R230" s="26"/>
      <c r="S230" s="43"/>
    </row>
    <row r="231" spans="11:19" x14ac:dyDescent="0.2">
      <c r="K231" s="9"/>
      <c r="L231" s="24"/>
      <c r="M231" s="26"/>
      <c r="N231" s="26"/>
      <c r="O231" s="26"/>
      <c r="P231" s="24"/>
      <c r="Q231" s="24"/>
      <c r="R231" s="26"/>
      <c r="S231" s="43"/>
    </row>
    <row r="232" spans="11:19" x14ac:dyDescent="0.2">
      <c r="K232" s="9"/>
      <c r="L232" s="24"/>
      <c r="M232" s="26"/>
      <c r="N232" s="26"/>
      <c r="O232" s="26"/>
      <c r="P232" s="24"/>
      <c r="Q232" s="24"/>
      <c r="R232" s="26"/>
      <c r="S232" s="43"/>
    </row>
    <row r="233" spans="11:19" x14ac:dyDescent="0.2">
      <c r="K233" s="9"/>
      <c r="L233" s="24"/>
      <c r="M233" s="26"/>
      <c r="N233" s="26"/>
      <c r="O233" s="26"/>
      <c r="P233" s="24"/>
      <c r="Q233" s="24"/>
      <c r="R233" s="26"/>
      <c r="S233" s="43"/>
    </row>
    <row r="234" spans="11:19" x14ac:dyDescent="0.2">
      <c r="K234" s="9"/>
      <c r="L234" s="24"/>
      <c r="M234" s="26"/>
      <c r="N234" s="26"/>
      <c r="O234" s="26"/>
      <c r="P234" s="24"/>
      <c r="Q234" s="24"/>
      <c r="R234" s="26"/>
      <c r="S234" s="43"/>
    </row>
    <row r="235" spans="11:19" x14ac:dyDescent="0.2">
      <c r="K235" s="9"/>
      <c r="L235" s="24"/>
      <c r="M235" s="26"/>
      <c r="N235" s="26"/>
      <c r="O235" s="26"/>
      <c r="P235" s="24"/>
      <c r="Q235" s="24"/>
      <c r="R235" s="26"/>
      <c r="S235" s="43"/>
    </row>
    <row r="236" spans="11:19" x14ac:dyDescent="0.2">
      <c r="K236" s="9"/>
      <c r="L236" s="24"/>
      <c r="M236" s="26"/>
      <c r="N236" s="26"/>
      <c r="O236" s="26"/>
      <c r="P236" s="24"/>
      <c r="Q236" s="24"/>
      <c r="R236" s="26"/>
      <c r="S236" s="43"/>
    </row>
    <row r="237" spans="11:19" x14ac:dyDescent="0.2">
      <c r="K237" s="9"/>
      <c r="L237" s="24"/>
      <c r="M237" s="26"/>
      <c r="N237" s="26"/>
      <c r="O237" s="26"/>
      <c r="P237" s="24"/>
      <c r="Q237" s="24"/>
      <c r="R237" s="26"/>
      <c r="S237" s="43"/>
    </row>
    <row r="238" spans="11:19" x14ac:dyDescent="0.2">
      <c r="K238" s="9"/>
      <c r="L238" s="24"/>
      <c r="M238" s="26"/>
      <c r="N238" s="26"/>
      <c r="O238" s="26"/>
      <c r="P238" s="24"/>
      <c r="Q238" s="24"/>
      <c r="R238" s="26"/>
      <c r="S238" s="43"/>
    </row>
    <row r="239" spans="11:19" x14ac:dyDescent="0.2">
      <c r="K239" s="9"/>
      <c r="L239" s="24"/>
      <c r="M239" s="26"/>
      <c r="N239" s="26"/>
      <c r="O239" s="26"/>
      <c r="P239" s="24"/>
      <c r="Q239" s="24"/>
      <c r="R239" s="26"/>
      <c r="S239" s="43"/>
    </row>
    <row r="240" spans="11:19" x14ac:dyDescent="0.2">
      <c r="K240" s="9"/>
      <c r="L240" s="24"/>
      <c r="M240" s="26"/>
      <c r="N240" s="26"/>
      <c r="O240" s="26"/>
      <c r="P240" s="24"/>
      <c r="Q240" s="24"/>
      <c r="R240" s="26"/>
      <c r="S240" s="43"/>
    </row>
    <row r="241" spans="11:19" x14ac:dyDescent="0.2">
      <c r="K241" s="9"/>
      <c r="L241" s="24"/>
      <c r="M241" s="26"/>
      <c r="N241" s="26"/>
      <c r="O241" s="26"/>
      <c r="P241" s="24"/>
      <c r="Q241" s="24"/>
      <c r="R241" s="26"/>
      <c r="S241" s="43"/>
    </row>
    <row r="242" spans="11:19" x14ac:dyDescent="0.2">
      <c r="K242" s="9"/>
      <c r="L242" s="24"/>
      <c r="M242" s="26"/>
      <c r="N242" s="26"/>
      <c r="O242" s="26"/>
      <c r="P242" s="24"/>
      <c r="Q242" s="24"/>
      <c r="R242" s="26"/>
      <c r="S242" s="43"/>
    </row>
    <row r="243" spans="11:19" x14ac:dyDescent="0.2">
      <c r="K243" s="9"/>
      <c r="L243" s="24"/>
      <c r="M243" s="26"/>
      <c r="N243" s="26"/>
      <c r="O243" s="26"/>
      <c r="P243" s="24"/>
      <c r="Q243" s="24"/>
      <c r="R243" s="26"/>
      <c r="S243" s="43"/>
    </row>
    <row r="244" spans="11:19" x14ac:dyDescent="0.2">
      <c r="K244" s="9"/>
      <c r="L244" s="24"/>
      <c r="M244" s="26"/>
      <c r="N244" s="26"/>
      <c r="O244" s="26"/>
      <c r="P244" s="24"/>
      <c r="Q244" s="24"/>
      <c r="R244" s="26"/>
      <c r="S244" s="43"/>
    </row>
    <row r="245" spans="11:19" x14ac:dyDescent="0.2">
      <c r="K245" s="9"/>
      <c r="L245" s="24"/>
      <c r="M245" s="26"/>
      <c r="N245" s="26"/>
      <c r="O245" s="26"/>
      <c r="P245" s="24"/>
      <c r="Q245" s="24"/>
      <c r="R245" s="26"/>
      <c r="S245" s="43"/>
    </row>
    <row r="246" spans="11:19" x14ac:dyDescent="0.2">
      <c r="K246" s="9"/>
      <c r="L246" s="24"/>
      <c r="M246" s="26"/>
      <c r="N246" s="26"/>
      <c r="O246" s="26"/>
      <c r="P246" s="24"/>
      <c r="Q246" s="24"/>
      <c r="R246" s="26"/>
      <c r="S246" s="43"/>
    </row>
    <row r="247" spans="11:19" x14ac:dyDescent="0.2">
      <c r="K247" s="9"/>
      <c r="L247" s="24"/>
      <c r="M247" s="26"/>
      <c r="N247" s="26"/>
      <c r="O247" s="26"/>
      <c r="P247" s="24"/>
      <c r="Q247" s="24"/>
      <c r="R247" s="26"/>
      <c r="S247" s="43"/>
    </row>
    <row r="248" spans="11:19" x14ac:dyDescent="0.2">
      <c r="K248" s="9"/>
      <c r="L248" s="24"/>
      <c r="M248" s="26"/>
      <c r="N248" s="26"/>
      <c r="O248" s="26"/>
      <c r="P248" s="24"/>
      <c r="Q248" s="24"/>
      <c r="R248" s="26"/>
      <c r="S248" s="43"/>
    </row>
    <row r="249" spans="11:19" x14ac:dyDescent="0.2">
      <c r="K249" s="9"/>
      <c r="L249" s="24"/>
      <c r="M249" s="26"/>
      <c r="N249" s="26"/>
      <c r="O249" s="26"/>
      <c r="P249" s="24"/>
      <c r="Q249" s="24"/>
      <c r="R249" s="26"/>
      <c r="S249" s="43"/>
    </row>
    <row r="250" spans="11:19" x14ac:dyDescent="0.2">
      <c r="K250" s="9"/>
      <c r="L250" s="24"/>
      <c r="M250" s="26"/>
      <c r="N250" s="26"/>
      <c r="O250" s="26"/>
      <c r="P250" s="24"/>
      <c r="Q250" s="24"/>
      <c r="R250" s="26"/>
      <c r="S250" s="43"/>
    </row>
    <row r="251" spans="11:19" x14ac:dyDescent="0.2">
      <c r="K251" s="9"/>
      <c r="L251" s="24"/>
      <c r="M251" s="26"/>
      <c r="N251" s="26"/>
      <c r="O251" s="26"/>
      <c r="P251" s="24"/>
      <c r="Q251" s="24"/>
      <c r="R251" s="26"/>
      <c r="S251" s="43"/>
    </row>
    <row r="252" spans="11:19" x14ac:dyDescent="0.2">
      <c r="K252" s="9"/>
      <c r="L252" s="24"/>
      <c r="M252" s="26"/>
      <c r="N252" s="26"/>
      <c r="O252" s="26"/>
      <c r="P252" s="24"/>
      <c r="Q252" s="24"/>
      <c r="R252" s="26"/>
      <c r="S252" s="43"/>
    </row>
    <row r="253" spans="11:19" x14ac:dyDescent="0.2">
      <c r="K253" s="9"/>
      <c r="L253" s="24"/>
      <c r="M253" s="26"/>
      <c r="N253" s="26"/>
      <c r="O253" s="26"/>
      <c r="P253" s="24"/>
      <c r="Q253" s="24"/>
      <c r="R253" s="26"/>
      <c r="S253" s="43"/>
    </row>
    <row r="254" spans="11:19" x14ac:dyDescent="0.2">
      <c r="K254" s="9"/>
      <c r="L254" s="24"/>
      <c r="M254" s="26"/>
      <c r="N254" s="26"/>
      <c r="O254" s="26"/>
      <c r="P254" s="24"/>
      <c r="Q254" s="24"/>
      <c r="R254" s="26"/>
      <c r="S254" s="43"/>
    </row>
    <row r="255" spans="11:19" x14ac:dyDescent="0.2">
      <c r="K255" s="9"/>
      <c r="L255" s="24"/>
      <c r="M255" s="26"/>
      <c r="N255" s="26"/>
      <c r="O255" s="26"/>
      <c r="P255" s="24"/>
      <c r="Q255" s="24"/>
      <c r="R255" s="26"/>
      <c r="S255" s="43"/>
    </row>
    <row r="256" spans="11:19" x14ac:dyDescent="0.2">
      <c r="K256" s="9"/>
      <c r="L256" s="24"/>
      <c r="M256" s="26"/>
      <c r="N256" s="26"/>
      <c r="O256" s="26"/>
      <c r="P256" s="24"/>
      <c r="Q256" s="24"/>
      <c r="R256" s="26"/>
      <c r="S256" s="43"/>
    </row>
    <row r="257" spans="11:19" x14ac:dyDescent="0.2">
      <c r="K257" s="9"/>
      <c r="L257" s="24"/>
      <c r="M257" s="26"/>
      <c r="N257" s="26"/>
      <c r="O257" s="26"/>
      <c r="P257" s="24"/>
      <c r="Q257" s="24"/>
      <c r="R257" s="26"/>
      <c r="S257" s="43"/>
    </row>
    <row r="258" spans="11:19" x14ac:dyDescent="0.2">
      <c r="K258" s="9"/>
      <c r="L258" s="24"/>
      <c r="M258" s="26"/>
      <c r="N258" s="26"/>
      <c r="O258" s="26"/>
      <c r="P258" s="24"/>
      <c r="Q258" s="24"/>
      <c r="R258" s="26"/>
      <c r="S258" s="43"/>
    </row>
    <row r="259" spans="11:19" x14ac:dyDescent="0.2">
      <c r="K259" s="9"/>
      <c r="L259" s="24"/>
      <c r="M259" s="26"/>
      <c r="N259" s="26"/>
      <c r="O259" s="26"/>
      <c r="P259" s="24"/>
      <c r="Q259" s="24"/>
      <c r="R259" s="26"/>
      <c r="S259" s="43"/>
    </row>
    <row r="260" spans="11:19" x14ac:dyDescent="0.2">
      <c r="K260" s="9"/>
      <c r="L260" s="24"/>
      <c r="M260" s="26"/>
      <c r="N260" s="26"/>
      <c r="O260" s="26"/>
      <c r="P260" s="24"/>
      <c r="Q260" s="24"/>
      <c r="R260" s="26"/>
      <c r="S260" s="43"/>
    </row>
    <row r="261" spans="11:19" x14ac:dyDescent="0.2">
      <c r="K261" s="9"/>
      <c r="L261" s="24"/>
      <c r="M261" s="26"/>
      <c r="N261" s="26"/>
      <c r="O261" s="26"/>
      <c r="P261" s="24"/>
      <c r="Q261" s="24"/>
      <c r="R261" s="26"/>
      <c r="S261" s="43"/>
    </row>
    <row r="262" spans="11:19" x14ac:dyDescent="0.2">
      <c r="K262" s="9"/>
      <c r="L262" s="24"/>
      <c r="M262" s="26"/>
      <c r="N262" s="26"/>
      <c r="O262" s="26"/>
      <c r="P262" s="24"/>
      <c r="Q262" s="24"/>
      <c r="R262" s="26"/>
      <c r="S262" s="43"/>
    </row>
    <row r="263" spans="11:19" x14ac:dyDescent="0.2">
      <c r="K263" s="9"/>
      <c r="L263" s="24"/>
      <c r="M263" s="26"/>
      <c r="N263" s="26"/>
      <c r="O263" s="26"/>
      <c r="P263" s="24"/>
      <c r="Q263" s="24"/>
      <c r="R263" s="26"/>
      <c r="S263" s="43"/>
    </row>
    <row r="264" spans="11:19" x14ac:dyDescent="0.2">
      <c r="K264" s="9"/>
      <c r="L264" s="24"/>
      <c r="M264" s="26"/>
      <c r="N264" s="26"/>
      <c r="O264" s="26"/>
      <c r="P264" s="24"/>
      <c r="Q264" s="24"/>
      <c r="R264" s="26"/>
      <c r="S264" s="43"/>
    </row>
    <row r="265" spans="11:19" x14ac:dyDescent="0.2">
      <c r="K265" s="9"/>
      <c r="L265" s="24"/>
      <c r="M265" s="26"/>
      <c r="N265" s="26"/>
      <c r="O265" s="26"/>
      <c r="P265" s="24"/>
      <c r="Q265" s="24"/>
      <c r="R265" s="26"/>
      <c r="S265" s="43"/>
    </row>
    <row r="266" spans="11:19" x14ac:dyDescent="0.2">
      <c r="K266" s="9"/>
      <c r="L266" s="24"/>
      <c r="M266" s="26"/>
      <c r="N266" s="26"/>
      <c r="O266" s="26"/>
      <c r="P266" s="24"/>
      <c r="Q266" s="24"/>
      <c r="R266" s="26"/>
      <c r="S266" s="43"/>
    </row>
    <row r="267" spans="11:19" x14ac:dyDescent="0.2">
      <c r="K267" s="9"/>
      <c r="L267" s="24"/>
      <c r="M267" s="26"/>
      <c r="N267" s="26"/>
      <c r="O267" s="26"/>
      <c r="P267" s="24"/>
      <c r="Q267" s="24"/>
      <c r="R267" s="26"/>
      <c r="S267" s="43"/>
    </row>
    <row r="268" spans="11:19" x14ac:dyDescent="0.2">
      <c r="K268" s="9"/>
      <c r="L268" s="24"/>
      <c r="M268" s="26"/>
      <c r="N268" s="26"/>
      <c r="O268" s="26"/>
      <c r="P268" s="24"/>
      <c r="Q268" s="24"/>
      <c r="R268" s="26"/>
      <c r="S268" s="43"/>
    </row>
    <row r="269" spans="11:19" x14ac:dyDescent="0.2">
      <c r="K269" s="9"/>
      <c r="L269" s="24"/>
      <c r="M269" s="26"/>
      <c r="N269" s="26"/>
      <c r="O269" s="26"/>
      <c r="P269" s="24"/>
      <c r="Q269" s="24"/>
      <c r="R269" s="26"/>
      <c r="S269" s="43"/>
    </row>
    <row r="270" spans="11:19" x14ac:dyDescent="0.2">
      <c r="K270" s="9"/>
      <c r="L270" s="24"/>
      <c r="M270" s="26"/>
      <c r="N270" s="26"/>
      <c r="O270" s="26"/>
      <c r="P270" s="24"/>
      <c r="Q270" s="24"/>
      <c r="R270" s="26"/>
      <c r="S270" s="43"/>
    </row>
    <row r="271" spans="11:19" x14ac:dyDescent="0.2">
      <c r="K271" s="9"/>
      <c r="L271" s="24"/>
      <c r="M271" s="26"/>
      <c r="N271" s="26"/>
      <c r="O271" s="26"/>
      <c r="P271" s="24"/>
      <c r="Q271" s="24"/>
      <c r="R271" s="26"/>
      <c r="S271" s="43"/>
    </row>
    <row r="272" spans="11:19" x14ac:dyDescent="0.2">
      <c r="K272" s="9"/>
      <c r="L272" s="24"/>
      <c r="M272" s="26"/>
      <c r="N272" s="26"/>
      <c r="O272" s="26"/>
      <c r="P272" s="24"/>
      <c r="Q272" s="24"/>
      <c r="R272" s="26"/>
      <c r="S272" s="43"/>
    </row>
    <row r="273" spans="11:19" x14ac:dyDescent="0.2">
      <c r="K273" s="9"/>
      <c r="L273" s="24"/>
      <c r="M273" s="26"/>
      <c r="N273" s="26"/>
      <c r="O273" s="26"/>
      <c r="P273" s="24"/>
      <c r="Q273" s="42"/>
      <c r="R273" s="43"/>
      <c r="S273" s="43"/>
    </row>
    <row r="274" spans="11:19" x14ac:dyDescent="0.2">
      <c r="K274" s="9"/>
      <c r="L274" s="24"/>
      <c r="M274" s="26"/>
      <c r="N274" s="26"/>
      <c r="O274" s="26"/>
      <c r="P274" s="24"/>
      <c r="Q274" s="42"/>
      <c r="R274" s="43"/>
      <c r="S274" s="43"/>
    </row>
    <row r="275" spans="11:19" x14ac:dyDescent="0.2">
      <c r="K275" s="9"/>
      <c r="L275" s="24"/>
      <c r="M275" s="26"/>
      <c r="N275" s="26"/>
      <c r="O275" s="26"/>
      <c r="P275" s="24"/>
      <c r="Q275" s="42"/>
      <c r="R275" s="43"/>
      <c r="S275" s="43"/>
    </row>
    <row r="276" spans="11:19" x14ac:dyDescent="0.2">
      <c r="K276" s="9"/>
      <c r="L276" s="24"/>
      <c r="M276" s="26"/>
      <c r="N276" s="26"/>
      <c r="O276" s="26"/>
      <c r="P276" s="24"/>
      <c r="Q276" s="42"/>
      <c r="R276" s="43"/>
      <c r="S276" s="43"/>
    </row>
    <row r="277" spans="11:19" x14ac:dyDescent="0.2">
      <c r="K277" s="9"/>
      <c r="L277" s="24"/>
      <c r="M277" s="26"/>
      <c r="N277" s="26"/>
      <c r="O277" s="26"/>
      <c r="P277" s="24"/>
      <c r="Q277" s="42"/>
      <c r="R277" s="43"/>
      <c r="S277" s="43"/>
    </row>
    <row r="278" spans="11:19" x14ac:dyDescent="0.2">
      <c r="K278" s="9"/>
      <c r="L278" s="24"/>
      <c r="M278" s="26"/>
      <c r="N278" s="26"/>
      <c r="O278" s="26"/>
      <c r="P278" s="24"/>
      <c r="Q278" s="42"/>
      <c r="R278" s="43"/>
      <c r="S278" s="43"/>
    </row>
    <row r="279" spans="11:19" x14ac:dyDescent="0.2">
      <c r="K279" s="9"/>
      <c r="L279" s="24"/>
      <c r="M279" s="26"/>
      <c r="N279" s="26"/>
      <c r="O279" s="26"/>
      <c r="P279" s="24"/>
      <c r="Q279" s="42"/>
      <c r="R279" s="43"/>
      <c r="S279" s="43"/>
    </row>
    <row r="280" spans="11:19" x14ac:dyDescent="0.2">
      <c r="K280" s="9"/>
      <c r="L280" s="24"/>
      <c r="M280" s="26"/>
      <c r="N280" s="26"/>
      <c r="O280" s="26"/>
      <c r="P280" s="24"/>
      <c r="Q280" s="42"/>
      <c r="R280" s="43"/>
      <c r="S280" s="43"/>
    </row>
  </sheetData>
  <autoFilter ref="J2:R159"/>
  <pageMargins left="0.25" right="0.25" top="0.75" bottom="0.75" header="0.3" footer="0.3"/>
  <pageSetup paperSize="8" scale="54" fitToHeight="0"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TDSheet</vt: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Guzarov, Jamshid Q.</cp:lastModifiedBy>
  <cp:lastPrinted>2024-01-19T12:16:27Z</cp:lastPrinted>
  <dcterms:modified xsi:type="dcterms:W3CDTF">2024-01-19T12:16:30Z</dcterms:modified>
</cp:coreProperties>
</file>